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cuments\NetBeansProjects\tipo\presupower\src\main\resources\"/>
    </mc:Choice>
  </mc:AlternateContent>
  <xr:revisionPtr revIDLastSave="0" documentId="13_ncr:1_{C35DE9DB-E237-481C-A599-6C7D39C73E1C}" xr6:coauthVersionLast="47" xr6:coauthVersionMax="47" xr10:uidLastSave="{00000000-0000-0000-0000-000000000000}"/>
  <bookViews>
    <workbookView xWindow="-120" yWindow="-120" windowWidth="20730" windowHeight="11760" tabRatio="712" xr2:uid="{7F6E6A39-1BF1-4C08-AB9C-BEFFDC132DE0}"/>
  </bookViews>
  <sheets>
    <sheet name="Cantidades" sheetId="1" r:id="rId1"/>
    <sheet name="APU" sheetId="2" r:id="rId2"/>
    <sheet name="Materiales unitario" sheetId="3" r:id="rId3"/>
    <sheet name="aprox_parciales" sheetId="7" r:id="rId4"/>
    <sheet name="aprox_tableros" sheetId="8" r:id="rId5"/>
    <sheet name="H-MO" sheetId="4" r:id="rId6"/>
    <sheet name="Precios-Interelectricas" sheetId="5" r:id="rId7"/>
    <sheet name="Codigos interelectricas" sheetId="6" r:id="rId8"/>
    <sheet name="plantas" sheetId="9" r:id="rId9"/>
  </sheets>
  <externalReferences>
    <externalReference r:id="rId10"/>
  </externalReferences>
  <definedNames>
    <definedName name="_xlnm._FilterDatabase" localSheetId="1" hidden="1">APU!$B$1:$T$22521</definedName>
    <definedName name="_xlnm._FilterDatabase" localSheetId="2" hidden="1">'Materiales unitario'!$H$1:$H$557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81" i="2" l="1"/>
  <c r="G12575" i="2"/>
  <c r="G12574" i="2"/>
  <c r="E12573" i="2"/>
  <c r="G12573" i="2" s="1"/>
  <c r="E12572" i="2"/>
  <c r="G12572" i="2" s="1"/>
  <c r="E12571" i="2"/>
  <c r="G12571" i="2" s="1"/>
  <c r="E12570" i="2"/>
  <c r="G12570" i="2" s="1"/>
  <c r="E12546" i="2"/>
  <c r="G12546" i="2" s="1"/>
  <c r="D12546" i="2"/>
  <c r="C12546" i="2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G12537" i="2"/>
  <c r="G12531" i="2"/>
  <c r="G12530" i="2"/>
  <c r="E12529" i="2"/>
  <c r="G12529" i="2" s="1"/>
  <c r="E12528" i="2"/>
  <c r="G12528" i="2" s="1"/>
  <c r="E12527" i="2"/>
  <c r="G12527" i="2" s="1"/>
  <c r="E12526" i="2"/>
  <c r="G12526" i="2" s="1"/>
  <c r="E12506" i="2"/>
  <c r="G12506" i="2" s="1"/>
  <c r="D12506" i="2"/>
  <c r="C12506" i="2"/>
  <c r="E12505" i="2"/>
  <c r="G12505" i="2" s="1"/>
  <c r="D12505" i="2"/>
  <c r="C12505" i="2"/>
  <c r="E12504" i="2"/>
  <c r="G12504" i="2" s="1"/>
  <c r="D12504" i="2"/>
  <c r="C12504" i="2"/>
  <c r="E12503" i="2"/>
  <c r="G12503" i="2" s="1"/>
  <c r="D12503" i="2"/>
  <c r="C12503" i="2"/>
  <c r="E12502" i="2"/>
  <c r="G12502" i="2" s="1"/>
  <c r="D12502" i="2"/>
  <c r="C12502" i="2"/>
  <c r="G12493" i="2"/>
  <c r="G12487" i="2"/>
  <c r="G12486" i="2"/>
  <c r="G12485" i="2"/>
  <c r="E12485" i="2"/>
  <c r="E12484" i="2"/>
  <c r="G12484" i="2" s="1"/>
  <c r="E12483" i="2"/>
  <c r="G12483" i="2" s="1"/>
  <c r="E12482" i="2"/>
  <c r="G12482" i="2" s="1"/>
  <c r="E12458" i="2"/>
  <c r="G12458" i="2" s="1"/>
  <c r="G12479" i="2" s="1"/>
  <c r="D12458" i="2"/>
  <c r="C12458" i="2"/>
  <c r="G12449" i="2"/>
  <c r="G12443" i="2"/>
  <c r="G12442" i="2"/>
  <c r="E12441" i="2"/>
  <c r="G12441" i="2" s="1"/>
  <c r="E12440" i="2"/>
  <c r="G12440" i="2" s="1"/>
  <c r="E12439" i="2"/>
  <c r="G12439" i="2" s="1"/>
  <c r="E12438" i="2"/>
  <c r="G12438" i="2" s="1"/>
  <c r="E12416" i="2"/>
  <c r="G12416" i="2" s="1"/>
  <c r="D12416" i="2"/>
  <c r="C12416" i="2"/>
  <c r="E12415" i="2"/>
  <c r="G12415" i="2" s="1"/>
  <c r="D12415" i="2"/>
  <c r="C12415" i="2"/>
  <c r="E12414" i="2"/>
  <c r="G12414" i="2" s="1"/>
  <c r="D12414" i="2"/>
  <c r="C12414" i="2"/>
  <c r="G12405" i="2"/>
  <c r="G12399" i="2"/>
  <c r="G12398" i="2"/>
  <c r="E12397" i="2"/>
  <c r="G12397" i="2" s="1"/>
  <c r="G12396" i="2"/>
  <c r="E12396" i="2"/>
  <c r="E12395" i="2"/>
  <c r="G12395" i="2" s="1"/>
  <c r="E12394" i="2"/>
  <c r="G12394" i="2" s="1"/>
  <c r="E12374" i="2"/>
  <c r="G12374" i="2" s="1"/>
  <c r="D12374" i="2"/>
  <c r="C12374" i="2"/>
  <c r="E12373" i="2"/>
  <c r="G12373" i="2" s="1"/>
  <c r="D12373" i="2"/>
  <c r="C12373" i="2"/>
  <c r="E12372" i="2"/>
  <c r="G12372" i="2" s="1"/>
  <c r="D12372" i="2"/>
  <c r="C12372" i="2"/>
  <c r="E12371" i="2"/>
  <c r="G12371" i="2" s="1"/>
  <c r="D12371" i="2"/>
  <c r="C12371" i="2"/>
  <c r="E12370" i="2"/>
  <c r="G12370" i="2" s="1"/>
  <c r="D12370" i="2"/>
  <c r="C12370" i="2"/>
  <c r="D417" i="3"/>
  <c r="G12361" i="2"/>
  <c r="G12355" i="2"/>
  <c r="G12354" i="2"/>
  <c r="E12353" i="2"/>
  <c r="G12353" i="2" s="1"/>
  <c r="E12352" i="2"/>
  <c r="G12352" i="2" s="1"/>
  <c r="E12351" i="2"/>
  <c r="G12351" i="2" s="1"/>
  <c r="E12350" i="2"/>
  <c r="G12350" i="2" s="1"/>
  <c r="E12327" i="2"/>
  <c r="G12327" i="2" s="1"/>
  <c r="D12327" i="2"/>
  <c r="C12327" i="2"/>
  <c r="E12326" i="2"/>
  <c r="G12326" i="2" s="1"/>
  <c r="D12326" i="2"/>
  <c r="C12326" i="2"/>
  <c r="C12283" i="2"/>
  <c r="D12283" i="2"/>
  <c r="E12283" i="2"/>
  <c r="G12283" i="2" s="1"/>
  <c r="G12317" i="2"/>
  <c r="G12311" i="2"/>
  <c r="G12310" i="2"/>
  <c r="E12309" i="2"/>
  <c r="G12309" i="2" s="1"/>
  <c r="E12308" i="2"/>
  <c r="G12308" i="2" s="1"/>
  <c r="E12307" i="2"/>
  <c r="G12307" i="2" s="1"/>
  <c r="E12306" i="2"/>
  <c r="G12306" i="2" s="1"/>
  <c r="E12282" i="2"/>
  <c r="G12282" i="2" s="1"/>
  <c r="D12282" i="2"/>
  <c r="C12282" i="2"/>
  <c r="G12273" i="2"/>
  <c r="G12267" i="2"/>
  <c r="G12266" i="2"/>
  <c r="E12265" i="2"/>
  <c r="G12265" i="2" s="1"/>
  <c r="E12264" i="2"/>
  <c r="G12264" i="2" s="1"/>
  <c r="E12263" i="2"/>
  <c r="G12263" i="2" s="1"/>
  <c r="E12262" i="2"/>
  <c r="G12262" i="2" s="1"/>
  <c r="E12238" i="2"/>
  <c r="G12238" i="2" s="1"/>
  <c r="G12259" i="2" s="1"/>
  <c r="D12238" i="2"/>
  <c r="C12238" i="2"/>
  <c r="G12229" i="2"/>
  <c r="G12223" i="2"/>
  <c r="G12222" i="2"/>
  <c r="E12221" i="2"/>
  <c r="G12221" i="2" s="1"/>
  <c r="E12220" i="2"/>
  <c r="G12220" i="2" s="1"/>
  <c r="E12219" i="2"/>
  <c r="G12219" i="2" s="1"/>
  <c r="E12218" i="2"/>
  <c r="G12218" i="2" s="1"/>
  <c r="E12194" i="2"/>
  <c r="G12194" i="2" s="1"/>
  <c r="G12215" i="2" s="1"/>
  <c r="D12194" i="2"/>
  <c r="C12194" i="2"/>
  <c r="C1159" i="2"/>
  <c r="D1159" i="2"/>
  <c r="E1159" i="2"/>
  <c r="G1159" i="2" s="1"/>
  <c r="D414" i="3"/>
  <c r="G12185" i="2"/>
  <c r="G12179" i="2"/>
  <c r="G12178" i="2"/>
  <c r="G12177" i="2"/>
  <c r="E12177" i="2"/>
  <c r="E12176" i="2"/>
  <c r="G12176" i="2" s="1"/>
  <c r="E12175" i="2"/>
  <c r="G12175" i="2" s="1"/>
  <c r="E12174" i="2"/>
  <c r="G12174" i="2" s="1"/>
  <c r="G12180" i="2" s="1"/>
  <c r="E12150" i="2"/>
  <c r="G12150" i="2" s="1"/>
  <c r="G12171" i="2" s="1"/>
  <c r="D12150" i="2"/>
  <c r="C12150" i="2"/>
  <c r="G12141" i="2"/>
  <c r="G12135" i="2"/>
  <c r="G12134" i="2"/>
  <c r="E12133" i="2"/>
  <c r="G12133" i="2" s="1"/>
  <c r="E12132" i="2"/>
  <c r="G12132" i="2" s="1"/>
  <c r="E12131" i="2"/>
  <c r="G12131" i="2" s="1"/>
  <c r="E12130" i="2"/>
  <c r="G12130" i="2" s="1"/>
  <c r="E12106" i="2"/>
  <c r="G12106" i="2" s="1"/>
  <c r="G12127" i="2" s="1"/>
  <c r="D12106" i="2"/>
  <c r="C12106" i="2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G12097" i="2"/>
  <c r="G12091" i="2"/>
  <c r="G12090" i="2"/>
  <c r="G12089" i="2"/>
  <c r="E12089" i="2"/>
  <c r="E12088" i="2"/>
  <c r="G12088" i="2" s="1"/>
  <c r="E12087" i="2"/>
  <c r="G12087" i="2" s="1"/>
  <c r="E12086" i="2"/>
  <c r="G12086" i="2" s="1"/>
  <c r="G12092" i="2" s="1"/>
  <c r="E12062" i="2"/>
  <c r="G12062" i="2" s="1"/>
  <c r="G12083" i="2" s="1"/>
  <c r="D12062" i="2"/>
  <c r="C12062" i="2"/>
  <c r="G12053" i="2"/>
  <c r="G12047" i="2"/>
  <c r="G12046" i="2"/>
  <c r="E12045" i="2"/>
  <c r="G12045" i="2" s="1"/>
  <c r="E12044" i="2"/>
  <c r="G12044" i="2" s="1"/>
  <c r="E12043" i="2"/>
  <c r="G12043" i="2" s="1"/>
  <c r="E12042" i="2"/>
  <c r="G12042" i="2" s="1"/>
  <c r="E12018" i="2"/>
  <c r="G12018" i="2" s="1"/>
  <c r="G12039" i="2" s="1"/>
  <c r="D12018" i="2"/>
  <c r="C12018" i="2"/>
  <c r="D411" i="3"/>
  <c r="D410" i="3"/>
  <c r="G12009" i="2"/>
  <c r="G12003" i="2"/>
  <c r="G12002" i="2"/>
  <c r="E12001" i="2"/>
  <c r="G12001" i="2" s="1"/>
  <c r="E12000" i="2"/>
  <c r="G12000" i="2" s="1"/>
  <c r="E11999" i="2"/>
  <c r="G11999" i="2" s="1"/>
  <c r="E11998" i="2"/>
  <c r="G11998" i="2" s="1"/>
  <c r="E11974" i="2"/>
  <c r="G11974" i="2" s="1"/>
  <c r="G11995" i="2" s="1"/>
  <c r="D11974" i="2"/>
  <c r="C11974" i="2"/>
  <c r="D409" i="3"/>
  <c r="G11965" i="2"/>
  <c r="G11959" i="2"/>
  <c r="G11958" i="2"/>
  <c r="E11957" i="2"/>
  <c r="G11957" i="2" s="1"/>
  <c r="E11956" i="2"/>
  <c r="G11956" i="2" s="1"/>
  <c r="E11955" i="2"/>
  <c r="G11955" i="2" s="1"/>
  <c r="E11954" i="2"/>
  <c r="G11954" i="2" s="1"/>
  <c r="E11930" i="2"/>
  <c r="G11930" i="2" s="1"/>
  <c r="G11951" i="2" s="1"/>
  <c r="D11930" i="2"/>
  <c r="C11930" i="2"/>
  <c r="G11921" i="2"/>
  <c r="G11915" i="2"/>
  <c r="G11914" i="2"/>
  <c r="E11913" i="2"/>
  <c r="G11913" i="2" s="1"/>
  <c r="E11912" i="2"/>
  <c r="G11912" i="2" s="1"/>
  <c r="E11911" i="2"/>
  <c r="G11911" i="2" s="1"/>
  <c r="E11910" i="2"/>
  <c r="G11910" i="2" s="1"/>
  <c r="E11888" i="2"/>
  <c r="G11888" i="2" s="1"/>
  <c r="D11888" i="2"/>
  <c r="C11888" i="2"/>
  <c r="E11887" i="2"/>
  <c r="G11887" i="2" s="1"/>
  <c r="D11887" i="2"/>
  <c r="C11887" i="2"/>
  <c r="E11886" i="2"/>
  <c r="G11886" i="2" s="1"/>
  <c r="D11886" i="2"/>
  <c r="C11886" i="2"/>
  <c r="G11877" i="2"/>
  <c r="G11871" i="2"/>
  <c r="G11870" i="2"/>
  <c r="G11869" i="2"/>
  <c r="E11869" i="2"/>
  <c r="E11868" i="2"/>
  <c r="G11868" i="2" s="1"/>
  <c r="E11867" i="2"/>
  <c r="G11867" i="2" s="1"/>
  <c r="E11866" i="2"/>
  <c r="G11866" i="2" s="1"/>
  <c r="G11872" i="2" s="1"/>
  <c r="E11850" i="2"/>
  <c r="G11850" i="2" s="1"/>
  <c r="D11850" i="2"/>
  <c r="C11850" i="2"/>
  <c r="E11849" i="2"/>
  <c r="G11849" i="2" s="1"/>
  <c r="D11849" i="2"/>
  <c r="C11849" i="2"/>
  <c r="E11848" i="2"/>
  <c r="G11848" i="2" s="1"/>
  <c r="D11848" i="2"/>
  <c r="C11848" i="2"/>
  <c r="E11847" i="2"/>
  <c r="G11847" i="2" s="1"/>
  <c r="D11847" i="2"/>
  <c r="C11847" i="2"/>
  <c r="E11846" i="2"/>
  <c r="G11846" i="2" s="1"/>
  <c r="D11846" i="2"/>
  <c r="C11846" i="2"/>
  <c r="E11845" i="2"/>
  <c r="G11845" i="2" s="1"/>
  <c r="D11845" i="2"/>
  <c r="C11845" i="2"/>
  <c r="E11844" i="2"/>
  <c r="G11844" i="2" s="1"/>
  <c r="D11844" i="2"/>
  <c r="C11844" i="2"/>
  <c r="E11843" i="2"/>
  <c r="G11843" i="2" s="1"/>
  <c r="D11843" i="2"/>
  <c r="C11843" i="2"/>
  <c r="E11842" i="2"/>
  <c r="G11842" i="2" s="1"/>
  <c r="D11842" i="2"/>
  <c r="C11842" i="2"/>
  <c r="C11799" i="2"/>
  <c r="D11799" i="2"/>
  <c r="E11799" i="2"/>
  <c r="G11799" i="2" s="1"/>
  <c r="G11833" i="2"/>
  <c r="G11827" i="2"/>
  <c r="G11826" i="2"/>
  <c r="E11825" i="2"/>
  <c r="G11825" i="2" s="1"/>
  <c r="E11824" i="2"/>
  <c r="G11824" i="2" s="1"/>
  <c r="E11823" i="2"/>
  <c r="G11823" i="2" s="1"/>
  <c r="E11822" i="2"/>
  <c r="G11822" i="2" s="1"/>
  <c r="E11798" i="2"/>
  <c r="G11798" i="2" s="1"/>
  <c r="D11798" i="2"/>
  <c r="C11798" i="2"/>
  <c r="G11789" i="2"/>
  <c r="G11783" i="2"/>
  <c r="G11782" i="2"/>
  <c r="E11781" i="2"/>
  <c r="G11781" i="2" s="1"/>
  <c r="E11780" i="2"/>
  <c r="G11780" i="2" s="1"/>
  <c r="E11779" i="2"/>
  <c r="G11779" i="2" s="1"/>
  <c r="E11778" i="2"/>
  <c r="G11778" i="2" s="1"/>
  <c r="E11754" i="2"/>
  <c r="G11754" i="2" s="1"/>
  <c r="G11775" i="2" s="1"/>
  <c r="D11754" i="2"/>
  <c r="C11754" i="2"/>
  <c r="G11745" i="2"/>
  <c r="G11739" i="2"/>
  <c r="G11738" i="2"/>
  <c r="E11737" i="2"/>
  <c r="G11737" i="2" s="1"/>
  <c r="E11736" i="2"/>
  <c r="G11736" i="2" s="1"/>
  <c r="E11735" i="2"/>
  <c r="G11735" i="2" s="1"/>
  <c r="E11734" i="2"/>
  <c r="G11734" i="2" s="1"/>
  <c r="E11710" i="2"/>
  <c r="G11710" i="2" s="1"/>
  <c r="G11731" i="2" s="1"/>
  <c r="D11710" i="2"/>
  <c r="C11710" i="2"/>
  <c r="G11701" i="2"/>
  <c r="G11695" i="2"/>
  <c r="G11694" i="2"/>
  <c r="G11693" i="2"/>
  <c r="E11693" i="2"/>
  <c r="G11692" i="2"/>
  <c r="E11692" i="2"/>
  <c r="E11691" i="2"/>
  <c r="G11691" i="2" s="1"/>
  <c r="E11690" i="2"/>
  <c r="G11690" i="2" s="1"/>
  <c r="G11696" i="2" s="1"/>
  <c r="E11675" i="2"/>
  <c r="G11675" i="2" s="1"/>
  <c r="D11675" i="2"/>
  <c r="C11675" i="2"/>
  <c r="E11674" i="2"/>
  <c r="G11674" i="2" s="1"/>
  <c r="D11674" i="2"/>
  <c r="C11674" i="2"/>
  <c r="E11673" i="2"/>
  <c r="G11673" i="2" s="1"/>
  <c r="D11673" i="2"/>
  <c r="C11673" i="2"/>
  <c r="E11672" i="2"/>
  <c r="G11672" i="2" s="1"/>
  <c r="D11672" i="2"/>
  <c r="C11672" i="2"/>
  <c r="E11671" i="2"/>
  <c r="G11671" i="2" s="1"/>
  <c r="D11671" i="2"/>
  <c r="C11671" i="2"/>
  <c r="E11670" i="2"/>
  <c r="G11670" i="2" s="1"/>
  <c r="D11670" i="2"/>
  <c r="C11670" i="2"/>
  <c r="E11669" i="2"/>
  <c r="G11669" i="2" s="1"/>
  <c r="D11669" i="2"/>
  <c r="C11669" i="2"/>
  <c r="E11668" i="2"/>
  <c r="G11668" i="2" s="1"/>
  <c r="D11668" i="2"/>
  <c r="C11668" i="2"/>
  <c r="E11667" i="2"/>
  <c r="G11667" i="2" s="1"/>
  <c r="D11667" i="2"/>
  <c r="C11667" i="2"/>
  <c r="E11666" i="2"/>
  <c r="G11666" i="2" s="1"/>
  <c r="D11666" i="2"/>
  <c r="C11666" i="2"/>
  <c r="G11657" i="2"/>
  <c r="G11651" i="2"/>
  <c r="G11650" i="2"/>
  <c r="G11649" i="2"/>
  <c r="E11649" i="2"/>
  <c r="E11648" i="2"/>
  <c r="G11648" i="2" s="1"/>
  <c r="E11647" i="2"/>
  <c r="G11647" i="2" s="1"/>
  <c r="E11646" i="2"/>
  <c r="G11646" i="2" s="1"/>
  <c r="G11652" i="2" s="1"/>
  <c r="E11623" i="2"/>
  <c r="G11623" i="2" s="1"/>
  <c r="D11623" i="2"/>
  <c r="C11623" i="2"/>
  <c r="E11622" i="2"/>
  <c r="G11622" i="2" s="1"/>
  <c r="D11622" i="2"/>
  <c r="C11622" i="2"/>
  <c r="G11613" i="2"/>
  <c r="G11607" i="2"/>
  <c r="G11606" i="2"/>
  <c r="G11605" i="2"/>
  <c r="E11605" i="2"/>
  <c r="E11604" i="2"/>
  <c r="G11604" i="2" s="1"/>
  <c r="E11603" i="2"/>
  <c r="G11603" i="2" s="1"/>
  <c r="E11602" i="2"/>
  <c r="G11602" i="2" s="1"/>
  <c r="E11579" i="2"/>
  <c r="G11579" i="2" s="1"/>
  <c r="D11579" i="2"/>
  <c r="C11579" i="2"/>
  <c r="E11578" i="2"/>
  <c r="G11578" i="2" s="1"/>
  <c r="D11578" i="2"/>
  <c r="C11578" i="2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G11569" i="2"/>
  <c r="G11563" i="2"/>
  <c r="G11562" i="2"/>
  <c r="G11561" i="2"/>
  <c r="E11561" i="2"/>
  <c r="E11560" i="2"/>
  <c r="G11560" i="2" s="1"/>
  <c r="E11559" i="2"/>
  <c r="G11559" i="2" s="1"/>
  <c r="E11558" i="2"/>
  <c r="G11558" i="2" s="1"/>
  <c r="E11536" i="2"/>
  <c r="G11536" i="2" s="1"/>
  <c r="D11536" i="2"/>
  <c r="C11536" i="2"/>
  <c r="E11535" i="2"/>
  <c r="G11535" i="2" s="1"/>
  <c r="D11535" i="2"/>
  <c r="C11535" i="2"/>
  <c r="E11534" i="2"/>
  <c r="G11534" i="2" s="1"/>
  <c r="D11534" i="2"/>
  <c r="C11534" i="2"/>
  <c r="D406" i="3"/>
  <c r="G11525" i="2"/>
  <c r="G11519" i="2"/>
  <c r="G11518" i="2"/>
  <c r="E11517" i="2"/>
  <c r="G11517" i="2" s="1"/>
  <c r="E11516" i="2"/>
  <c r="G11516" i="2" s="1"/>
  <c r="E11515" i="2"/>
  <c r="G11515" i="2" s="1"/>
  <c r="E11514" i="2"/>
  <c r="G11514" i="2" s="1"/>
  <c r="E11492" i="2"/>
  <c r="G11492" i="2" s="1"/>
  <c r="D11492" i="2"/>
  <c r="C11492" i="2"/>
  <c r="E11491" i="2"/>
  <c r="G11491" i="2" s="1"/>
  <c r="D11491" i="2"/>
  <c r="C11491" i="2"/>
  <c r="E11490" i="2"/>
  <c r="G11490" i="2" s="1"/>
  <c r="D11490" i="2"/>
  <c r="C11490" i="2"/>
  <c r="D405" i="3"/>
  <c r="G11481" i="2"/>
  <c r="G11475" i="2"/>
  <c r="G11474" i="2"/>
  <c r="E11473" i="2"/>
  <c r="G11473" i="2" s="1"/>
  <c r="E11472" i="2"/>
  <c r="G11472" i="2" s="1"/>
  <c r="E11471" i="2"/>
  <c r="G11471" i="2" s="1"/>
  <c r="E11470" i="2"/>
  <c r="G11470" i="2" s="1"/>
  <c r="E11448" i="2"/>
  <c r="G11448" i="2" s="1"/>
  <c r="D11448" i="2"/>
  <c r="C11448" i="2"/>
  <c r="E11447" i="2"/>
  <c r="G11447" i="2" s="1"/>
  <c r="D11447" i="2"/>
  <c r="C11447" i="2"/>
  <c r="E11446" i="2"/>
  <c r="G11446" i="2" s="1"/>
  <c r="D11446" i="2"/>
  <c r="C11446" i="2"/>
  <c r="D404" i="3"/>
  <c r="G11437" i="2"/>
  <c r="G11431" i="2"/>
  <c r="G11430" i="2"/>
  <c r="E11429" i="2"/>
  <c r="G11429" i="2" s="1"/>
  <c r="E11428" i="2"/>
  <c r="G11428" i="2" s="1"/>
  <c r="E11427" i="2"/>
  <c r="G11427" i="2" s="1"/>
  <c r="E11426" i="2"/>
  <c r="G11426" i="2" s="1"/>
  <c r="E11405" i="2"/>
  <c r="G11405" i="2" s="1"/>
  <c r="D11405" i="2"/>
  <c r="C11405" i="2"/>
  <c r="E11404" i="2"/>
  <c r="G11404" i="2" s="1"/>
  <c r="D11404" i="2"/>
  <c r="C11404" i="2"/>
  <c r="E11403" i="2"/>
  <c r="G11403" i="2" s="1"/>
  <c r="D11403" i="2"/>
  <c r="C11403" i="2"/>
  <c r="E11402" i="2"/>
  <c r="G11402" i="2" s="1"/>
  <c r="D11402" i="2"/>
  <c r="C11402" i="2"/>
  <c r="G11393" i="2"/>
  <c r="G11387" i="2"/>
  <c r="G11386" i="2"/>
  <c r="G11385" i="2"/>
  <c r="E11385" i="2"/>
  <c r="E11384" i="2"/>
  <c r="G11384" i="2" s="1"/>
  <c r="E11383" i="2"/>
  <c r="G11383" i="2" s="1"/>
  <c r="E11382" i="2"/>
  <c r="G11382" i="2" s="1"/>
  <c r="E11366" i="2"/>
  <c r="G11366" i="2" s="1"/>
  <c r="D11366" i="2"/>
  <c r="C11366" i="2"/>
  <c r="E11365" i="2"/>
  <c r="G11365" i="2" s="1"/>
  <c r="D11365" i="2"/>
  <c r="C11365" i="2"/>
  <c r="E11364" i="2"/>
  <c r="G11364" i="2" s="1"/>
  <c r="D11364" i="2"/>
  <c r="C11364" i="2"/>
  <c r="E11363" i="2"/>
  <c r="G11363" i="2" s="1"/>
  <c r="D11363" i="2"/>
  <c r="C11363" i="2"/>
  <c r="E11362" i="2"/>
  <c r="G11362" i="2" s="1"/>
  <c r="D11362" i="2"/>
  <c r="C11362" i="2"/>
  <c r="E11361" i="2"/>
  <c r="G11361" i="2" s="1"/>
  <c r="D11361" i="2"/>
  <c r="C11361" i="2"/>
  <c r="E11360" i="2"/>
  <c r="G11360" i="2" s="1"/>
  <c r="D11360" i="2"/>
  <c r="C11360" i="2"/>
  <c r="E11359" i="2"/>
  <c r="G11359" i="2" s="1"/>
  <c r="D11359" i="2"/>
  <c r="C11359" i="2"/>
  <c r="E11358" i="2"/>
  <c r="G11358" i="2" s="1"/>
  <c r="D11358" i="2"/>
  <c r="C11358" i="2"/>
  <c r="D401" i="3"/>
  <c r="G11349" i="2"/>
  <c r="G11343" i="2"/>
  <c r="G11342" i="2"/>
  <c r="E11341" i="2"/>
  <c r="G11341" i="2" s="1"/>
  <c r="E11340" i="2"/>
  <c r="G11340" i="2" s="1"/>
  <c r="E11339" i="2"/>
  <c r="G11339" i="2" s="1"/>
  <c r="E11338" i="2"/>
  <c r="G11338" i="2" s="1"/>
  <c r="E11323" i="2"/>
  <c r="G11323" i="2" s="1"/>
  <c r="D11323" i="2"/>
  <c r="C11323" i="2"/>
  <c r="E11322" i="2"/>
  <c r="G11322" i="2" s="1"/>
  <c r="D11322" i="2"/>
  <c r="C11322" i="2"/>
  <c r="E11321" i="2"/>
  <c r="G11321" i="2" s="1"/>
  <c r="D11321" i="2"/>
  <c r="C11321" i="2"/>
  <c r="E11320" i="2"/>
  <c r="G11320" i="2" s="1"/>
  <c r="D11320" i="2"/>
  <c r="C11320" i="2"/>
  <c r="E11319" i="2"/>
  <c r="G11319" i="2" s="1"/>
  <c r="D11319" i="2"/>
  <c r="C11319" i="2"/>
  <c r="E11318" i="2"/>
  <c r="G11318" i="2" s="1"/>
  <c r="D11318" i="2"/>
  <c r="C11318" i="2"/>
  <c r="E11317" i="2"/>
  <c r="G11317" i="2" s="1"/>
  <c r="D11317" i="2"/>
  <c r="C11317" i="2"/>
  <c r="E11316" i="2"/>
  <c r="G11316" i="2" s="1"/>
  <c r="D11316" i="2"/>
  <c r="C11316" i="2"/>
  <c r="E11315" i="2"/>
  <c r="G11315" i="2" s="1"/>
  <c r="D11315" i="2"/>
  <c r="C11315" i="2"/>
  <c r="E11314" i="2"/>
  <c r="G11314" i="2" s="1"/>
  <c r="D11314" i="2"/>
  <c r="C11314" i="2"/>
  <c r="G11305" i="2"/>
  <c r="G11299" i="2"/>
  <c r="G11298" i="2"/>
  <c r="E11297" i="2"/>
  <c r="G11297" i="2" s="1"/>
  <c r="E11296" i="2"/>
  <c r="G11296" i="2" s="1"/>
  <c r="E11295" i="2"/>
  <c r="G11295" i="2" s="1"/>
  <c r="E11294" i="2"/>
  <c r="G11294" i="2" s="1"/>
  <c r="E11279" i="2"/>
  <c r="G11279" i="2" s="1"/>
  <c r="D11279" i="2"/>
  <c r="C11279" i="2"/>
  <c r="E11278" i="2"/>
  <c r="G11278" i="2" s="1"/>
  <c r="D11278" i="2"/>
  <c r="C11278" i="2"/>
  <c r="E11277" i="2"/>
  <c r="G11277" i="2" s="1"/>
  <c r="D11277" i="2"/>
  <c r="C11277" i="2"/>
  <c r="E11276" i="2"/>
  <c r="G11276" i="2" s="1"/>
  <c r="D11276" i="2"/>
  <c r="C11276" i="2"/>
  <c r="E11275" i="2"/>
  <c r="G11275" i="2" s="1"/>
  <c r="D11275" i="2"/>
  <c r="C11275" i="2"/>
  <c r="E11274" i="2"/>
  <c r="G11274" i="2" s="1"/>
  <c r="D11274" i="2"/>
  <c r="C11274" i="2"/>
  <c r="E11273" i="2"/>
  <c r="G11273" i="2" s="1"/>
  <c r="D11273" i="2"/>
  <c r="C11273" i="2"/>
  <c r="E11272" i="2"/>
  <c r="G11272" i="2" s="1"/>
  <c r="D11272" i="2"/>
  <c r="C11272" i="2"/>
  <c r="E11271" i="2"/>
  <c r="G11271" i="2" s="1"/>
  <c r="D11271" i="2"/>
  <c r="C11271" i="2"/>
  <c r="E11270" i="2"/>
  <c r="G11270" i="2" s="1"/>
  <c r="D11270" i="2"/>
  <c r="C11270" i="2"/>
  <c r="D218" i="3"/>
  <c r="C11235" i="2"/>
  <c r="D11235" i="2"/>
  <c r="E11235" i="2"/>
  <c r="G11235" i="2" s="1"/>
  <c r="D400" i="3"/>
  <c r="G11261" i="2"/>
  <c r="G11255" i="2"/>
  <c r="G11254" i="2"/>
  <c r="E11253" i="2"/>
  <c r="G11253" i="2" s="1"/>
  <c r="E11252" i="2"/>
  <c r="G11252" i="2" s="1"/>
  <c r="E11251" i="2"/>
  <c r="G11251" i="2" s="1"/>
  <c r="E11250" i="2"/>
  <c r="G11250" i="2" s="1"/>
  <c r="E11234" i="2"/>
  <c r="G11234" i="2" s="1"/>
  <c r="D11234" i="2"/>
  <c r="C11234" i="2"/>
  <c r="E11233" i="2"/>
  <c r="G11233" i="2" s="1"/>
  <c r="D11233" i="2"/>
  <c r="C11233" i="2"/>
  <c r="E11232" i="2"/>
  <c r="G11232" i="2" s="1"/>
  <c r="D11232" i="2"/>
  <c r="C11232" i="2"/>
  <c r="E11231" i="2"/>
  <c r="G11231" i="2" s="1"/>
  <c r="D11231" i="2"/>
  <c r="C11231" i="2"/>
  <c r="E11230" i="2"/>
  <c r="G11230" i="2" s="1"/>
  <c r="D11230" i="2"/>
  <c r="C11230" i="2"/>
  <c r="E11229" i="2"/>
  <c r="G11229" i="2" s="1"/>
  <c r="D11229" i="2"/>
  <c r="C11229" i="2"/>
  <c r="E11228" i="2"/>
  <c r="G11228" i="2" s="1"/>
  <c r="D11228" i="2"/>
  <c r="C11228" i="2"/>
  <c r="E11227" i="2"/>
  <c r="G11227" i="2" s="1"/>
  <c r="D11227" i="2"/>
  <c r="C11227" i="2"/>
  <c r="E11226" i="2"/>
  <c r="G11226" i="2" s="1"/>
  <c r="D11226" i="2"/>
  <c r="C11226" i="2"/>
  <c r="G11217" i="2"/>
  <c r="G11211" i="2"/>
  <c r="G11210" i="2"/>
  <c r="E11209" i="2"/>
  <c r="G11209" i="2" s="1"/>
  <c r="E11208" i="2"/>
  <c r="G11208" i="2" s="1"/>
  <c r="E11207" i="2"/>
  <c r="G11207" i="2" s="1"/>
  <c r="E11206" i="2"/>
  <c r="G11206" i="2" s="1"/>
  <c r="E11190" i="2"/>
  <c r="G11190" i="2" s="1"/>
  <c r="D11190" i="2"/>
  <c r="C11190" i="2"/>
  <c r="E11189" i="2"/>
  <c r="G11189" i="2" s="1"/>
  <c r="D11189" i="2"/>
  <c r="C11189" i="2"/>
  <c r="E11188" i="2"/>
  <c r="G11188" i="2" s="1"/>
  <c r="D11188" i="2"/>
  <c r="C11188" i="2"/>
  <c r="E11187" i="2"/>
  <c r="G11187" i="2" s="1"/>
  <c r="D11187" i="2"/>
  <c r="C11187" i="2"/>
  <c r="E11186" i="2"/>
  <c r="G11186" i="2" s="1"/>
  <c r="D11186" i="2"/>
  <c r="C11186" i="2"/>
  <c r="E11185" i="2"/>
  <c r="G11185" i="2" s="1"/>
  <c r="D11185" i="2"/>
  <c r="C11185" i="2"/>
  <c r="E11184" i="2"/>
  <c r="G11184" i="2" s="1"/>
  <c r="D11184" i="2"/>
  <c r="C11184" i="2"/>
  <c r="E11183" i="2"/>
  <c r="G11183" i="2" s="1"/>
  <c r="D11183" i="2"/>
  <c r="C11183" i="2"/>
  <c r="E11182" i="2"/>
  <c r="G11182" i="2" s="1"/>
  <c r="D11182" i="2"/>
  <c r="C11182" i="2"/>
  <c r="G11173" i="2"/>
  <c r="G11167" i="2"/>
  <c r="G11166" i="2"/>
  <c r="G11165" i="2"/>
  <c r="E11165" i="2"/>
  <c r="E11164" i="2"/>
  <c r="G11164" i="2" s="1"/>
  <c r="E11163" i="2"/>
  <c r="G11163" i="2" s="1"/>
  <c r="E11162" i="2"/>
  <c r="G11162" i="2" s="1"/>
  <c r="E11146" i="2"/>
  <c r="G11146" i="2" s="1"/>
  <c r="D11146" i="2"/>
  <c r="C11146" i="2"/>
  <c r="E11145" i="2"/>
  <c r="G11145" i="2" s="1"/>
  <c r="D11145" i="2"/>
  <c r="C11145" i="2"/>
  <c r="E11144" i="2"/>
  <c r="G11144" i="2" s="1"/>
  <c r="D11144" i="2"/>
  <c r="C11144" i="2"/>
  <c r="E11143" i="2"/>
  <c r="G11143" i="2" s="1"/>
  <c r="D11143" i="2"/>
  <c r="C11143" i="2"/>
  <c r="E11142" i="2"/>
  <c r="G11142" i="2" s="1"/>
  <c r="D11142" i="2"/>
  <c r="C11142" i="2"/>
  <c r="E11141" i="2"/>
  <c r="G11141" i="2" s="1"/>
  <c r="D11141" i="2"/>
  <c r="C11141" i="2"/>
  <c r="E11140" i="2"/>
  <c r="G11140" i="2" s="1"/>
  <c r="D11140" i="2"/>
  <c r="C11140" i="2"/>
  <c r="E11139" i="2"/>
  <c r="G11139" i="2" s="1"/>
  <c r="D11139" i="2"/>
  <c r="C11139" i="2"/>
  <c r="E11138" i="2"/>
  <c r="G11138" i="2" s="1"/>
  <c r="D11138" i="2"/>
  <c r="C11138" i="2"/>
  <c r="G11129" i="2"/>
  <c r="G11123" i="2"/>
  <c r="G11122" i="2"/>
  <c r="E11121" i="2"/>
  <c r="G11121" i="2" s="1"/>
  <c r="E11120" i="2"/>
  <c r="G11120" i="2" s="1"/>
  <c r="E11119" i="2"/>
  <c r="G11119" i="2" s="1"/>
  <c r="E11118" i="2"/>
  <c r="G11118" i="2" s="1"/>
  <c r="E11102" i="2"/>
  <c r="G11102" i="2" s="1"/>
  <c r="D11102" i="2"/>
  <c r="C11102" i="2"/>
  <c r="E11101" i="2"/>
  <c r="G11101" i="2" s="1"/>
  <c r="D11101" i="2"/>
  <c r="C11101" i="2"/>
  <c r="E11100" i="2"/>
  <c r="G11100" i="2" s="1"/>
  <c r="D11100" i="2"/>
  <c r="C11100" i="2"/>
  <c r="E11099" i="2"/>
  <c r="G11099" i="2" s="1"/>
  <c r="D11099" i="2"/>
  <c r="C11099" i="2"/>
  <c r="E11098" i="2"/>
  <c r="G11098" i="2" s="1"/>
  <c r="D11098" i="2"/>
  <c r="C11098" i="2"/>
  <c r="E11097" i="2"/>
  <c r="G11097" i="2" s="1"/>
  <c r="D11097" i="2"/>
  <c r="C11097" i="2"/>
  <c r="E11096" i="2"/>
  <c r="G11096" i="2" s="1"/>
  <c r="D11096" i="2"/>
  <c r="C11096" i="2"/>
  <c r="E11095" i="2"/>
  <c r="G11095" i="2" s="1"/>
  <c r="D11095" i="2"/>
  <c r="C11095" i="2"/>
  <c r="E11094" i="2"/>
  <c r="G11094" i="2" s="1"/>
  <c r="D11094" i="2"/>
  <c r="C11094" i="2"/>
  <c r="G11085" i="2"/>
  <c r="G11079" i="2"/>
  <c r="G11078" i="2"/>
  <c r="G11077" i="2"/>
  <c r="E11077" i="2"/>
  <c r="E11076" i="2"/>
  <c r="G11076" i="2" s="1"/>
  <c r="E11075" i="2"/>
  <c r="G11075" i="2" s="1"/>
  <c r="E11074" i="2"/>
  <c r="G11074" i="2" s="1"/>
  <c r="E11050" i="2"/>
  <c r="G11050" i="2" s="1"/>
  <c r="G11071" i="2" s="1"/>
  <c r="D11050" i="2"/>
  <c r="C11050" i="2"/>
  <c r="G11041" i="2"/>
  <c r="G11035" i="2"/>
  <c r="G11034" i="2"/>
  <c r="E11033" i="2"/>
  <c r="G11033" i="2" s="1"/>
  <c r="E11032" i="2"/>
  <c r="G11032" i="2" s="1"/>
  <c r="E11031" i="2"/>
  <c r="G11031" i="2" s="1"/>
  <c r="E11030" i="2"/>
  <c r="G11030" i="2" s="1"/>
  <c r="E11006" i="2"/>
  <c r="G11006" i="2" s="1"/>
  <c r="G11027" i="2" s="1"/>
  <c r="D11006" i="2"/>
  <c r="C11006" i="2"/>
  <c r="G10997" i="2"/>
  <c r="G10991" i="2"/>
  <c r="G10990" i="2"/>
  <c r="E10989" i="2"/>
  <c r="G10989" i="2" s="1"/>
  <c r="E10988" i="2"/>
  <c r="G10988" i="2" s="1"/>
  <c r="E10987" i="2"/>
  <c r="G10987" i="2" s="1"/>
  <c r="E10986" i="2"/>
  <c r="G10986" i="2" s="1"/>
  <c r="E10962" i="2"/>
  <c r="G10962" i="2" s="1"/>
  <c r="G10983" i="2" s="1"/>
  <c r="D10962" i="2"/>
  <c r="C10962" i="2"/>
  <c r="D396" i="3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303" i="1"/>
  <c r="P303" i="1"/>
  <c r="Q303" i="1"/>
  <c r="G10953" i="2"/>
  <c r="G10947" i="2"/>
  <c r="G10946" i="2"/>
  <c r="E10945" i="2"/>
  <c r="G10945" i="2" s="1"/>
  <c r="E10944" i="2"/>
  <c r="G10944" i="2" s="1"/>
  <c r="E10943" i="2"/>
  <c r="G10943" i="2" s="1"/>
  <c r="G10942" i="2"/>
  <c r="E10942" i="2"/>
  <c r="E10918" i="2"/>
  <c r="G10918" i="2" s="1"/>
  <c r="G10939" i="2" s="1"/>
  <c r="D10918" i="2"/>
  <c r="C10918" i="2"/>
  <c r="D395" i="3"/>
  <c r="G10909" i="2"/>
  <c r="G10903" i="2"/>
  <c r="G10902" i="2"/>
  <c r="E10901" i="2"/>
  <c r="G10901" i="2" s="1"/>
  <c r="E10900" i="2"/>
  <c r="G10900" i="2" s="1"/>
  <c r="E10899" i="2"/>
  <c r="G10899" i="2" s="1"/>
  <c r="E10898" i="2"/>
  <c r="G10898" i="2" s="1"/>
  <c r="E10874" i="2"/>
  <c r="G10874" i="2" s="1"/>
  <c r="G10895" i="2" s="1"/>
  <c r="D10874" i="2"/>
  <c r="C10874" i="2"/>
  <c r="G10865" i="2"/>
  <c r="G10859" i="2"/>
  <c r="G10858" i="2"/>
  <c r="E10857" i="2"/>
  <c r="G10857" i="2" s="1"/>
  <c r="E10856" i="2"/>
  <c r="G10856" i="2" s="1"/>
  <c r="E10855" i="2"/>
  <c r="G10855" i="2" s="1"/>
  <c r="E10854" i="2"/>
  <c r="G10854" i="2" s="1"/>
  <c r="E10830" i="2"/>
  <c r="G10830" i="2" s="1"/>
  <c r="G10851" i="2" s="1"/>
  <c r="D10830" i="2"/>
  <c r="C10830" i="2"/>
  <c r="D394" i="3"/>
  <c r="G10821" i="2"/>
  <c r="G10815" i="2"/>
  <c r="G10814" i="2"/>
  <c r="E10813" i="2"/>
  <c r="G10813" i="2" s="1"/>
  <c r="E10812" i="2"/>
  <c r="G10812" i="2" s="1"/>
  <c r="E10811" i="2"/>
  <c r="G10811" i="2" s="1"/>
  <c r="E10810" i="2"/>
  <c r="G10810" i="2" s="1"/>
  <c r="E10790" i="2"/>
  <c r="G10790" i="2" s="1"/>
  <c r="D10790" i="2"/>
  <c r="C10790" i="2"/>
  <c r="E10789" i="2"/>
  <c r="G10789" i="2" s="1"/>
  <c r="D10789" i="2"/>
  <c r="C10789" i="2"/>
  <c r="E10788" i="2"/>
  <c r="G10788" i="2" s="1"/>
  <c r="D10788" i="2"/>
  <c r="C10788" i="2"/>
  <c r="E10787" i="2"/>
  <c r="G10787" i="2" s="1"/>
  <c r="D10787" i="2"/>
  <c r="C10787" i="2"/>
  <c r="E10786" i="2"/>
  <c r="G10786" i="2" s="1"/>
  <c r="D10786" i="2"/>
  <c r="C10786" i="2"/>
  <c r="G10777" i="2"/>
  <c r="G10771" i="2"/>
  <c r="G10770" i="2"/>
  <c r="E10769" i="2"/>
  <c r="G10769" i="2" s="1"/>
  <c r="E10768" i="2"/>
  <c r="G10768" i="2" s="1"/>
  <c r="E10767" i="2"/>
  <c r="G10767" i="2" s="1"/>
  <c r="E10766" i="2"/>
  <c r="G10766" i="2" s="1"/>
  <c r="E10746" i="2"/>
  <c r="G10746" i="2" s="1"/>
  <c r="D10746" i="2"/>
  <c r="C10746" i="2"/>
  <c r="E10745" i="2"/>
  <c r="G10745" i="2" s="1"/>
  <c r="D10745" i="2"/>
  <c r="C10745" i="2"/>
  <c r="E10744" i="2"/>
  <c r="G10744" i="2" s="1"/>
  <c r="D10744" i="2"/>
  <c r="C10744" i="2"/>
  <c r="E10743" i="2"/>
  <c r="G10743" i="2" s="1"/>
  <c r="D10743" i="2"/>
  <c r="C10743" i="2"/>
  <c r="E10742" i="2"/>
  <c r="G10742" i="2" s="1"/>
  <c r="D10742" i="2"/>
  <c r="C10742" i="2"/>
  <c r="G745" i="2"/>
  <c r="G739" i="2"/>
  <c r="G738" i="2"/>
  <c r="G737" i="2"/>
  <c r="E737" i="2"/>
  <c r="E736" i="2"/>
  <c r="G736" i="2" s="1"/>
  <c r="G735" i="2"/>
  <c r="E735" i="2"/>
  <c r="E734" i="2"/>
  <c r="G734" i="2" s="1"/>
  <c r="E711" i="2"/>
  <c r="G711" i="2" s="1"/>
  <c r="D711" i="2"/>
  <c r="C711" i="2"/>
  <c r="E710" i="2"/>
  <c r="G710" i="2" s="1"/>
  <c r="D710" i="2"/>
  <c r="C710" i="2"/>
  <c r="G10733" i="2"/>
  <c r="G10727" i="2"/>
  <c r="G10726" i="2"/>
  <c r="E10725" i="2"/>
  <c r="G10725" i="2" s="1"/>
  <c r="E10724" i="2"/>
  <c r="G10724" i="2" s="1"/>
  <c r="E10723" i="2"/>
  <c r="G10723" i="2" s="1"/>
  <c r="E10722" i="2"/>
  <c r="G10722" i="2" s="1"/>
  <c r="E10699" i="2"/>
  <c r="G10699" i="2" s="1"/>
  <c r="D10699" i="2"/>
  <c r="C10699" i="2"/>
  <c r="E10698" i="2"/>
  <c r="G10698" i="2" s="1"/>
  <c r="D10698" i="2"/>
  <c r="C10698" i="2"/>
  <c r="G10689" i="2"/>
  <c r="G10683" i="2"/>
  <c r="G10682" i="2"/>
  <c r="E10681" i="2"/>
  <c r="G10681" i="2" s="1"/>
  <c r="E10680" i="2"/>
  <c r="G10680" i="2" s="1"/>
  <c r="E10679" i="2"/>
  <c r="G10679" i="2" s="1"/>
  <c r="E10678" i="2"/>
  <c r="G10678" i="2" s="1"/>
  <c r="E10655" i="2"/>
  <c r="G10655" i="2" s="1"/>
  <c r="D10655" i="2"/>
  <c r="C10655" i="2"/>
  <c r="E10654" i="2"/>
  <c r="G10654" i="2" s="1"/>
  <c r="D10654" i="2"/>
  <c r="C10654" i="2"/>
  <c r="G10645" i="2"/>
  <c r="G10639" i="2"/>
  <c r="G10638" i="2"/>
  <c r="E10637" i="2"/>
  <c r="G10637" i="2" s="1"/>
  <c r="E10636" i="2"/>
  <c r="G10636" i="2" s="1"/>
  <c r="E10635" i="2"/>
  <c r="G10635" i="2" s="1"/>
  <c r="E10634" i="2"/>
  <c r="G10634" i="2" s="1"/>
  <c r="E10611" i="2"/>
  <c r="G10611" i="2" s="1"/>
  <c r="D10611" i="2"/>
  <c r="C10611" i="2"/>
  <c r="E10610" i="2"/>
  <c r="G10610" i="2" s="1"/>
  <c r="D10610" i="2"/>
  <c r="C10610" i="2"/>
  <c r="G10601" i="2"/>
  <c r="G10595" i="2"/>
  <c r="G10594" i="2"/>
  <c r="E10593" i="2"/>
  <c r="G10593" i="2" s="1"/>
  <c r="E10592" i="2"/>
  <c r="G10592" i="2" s="1"/>
  <c r="E10591" i="2"/>
  <c r="G10591" i="2" s="1"/>
  <c r="E10590" i="2"/>
  <c r="G10590" i="2" s="1"/>
  <c r="E10567" i="2"/>
  <c r="G10567" i="2" s="1"/>
  <c r="D10567" i="2"/>
  <c r="C10567" i="2"/>
  <c r="E10566" i="2"/>
  <c r="G10566" i="2" s="1"/>
  <c r="D10566" i="2"/>
  <c r="C10566" i="2"/>
  <c r="D392" i="3"/>
  <c r="D391" i="3"/>
  <c r="C10525" i="2"/>
  <c r="D10525" i="2"/>
  <c r="E10525" i="2"/>
  <c r="G10525" i="2" s="1"/>
  <c r="C10526" i="2"/>
  <c r="D10526" i="2"/>
  <c r="E10526" i="2"/>
  <c r="G10526" i="2" s="1"/>
  <c r="C10527" i="2"/>
  <c r="D10527" i="2"/>
  <c r="E10527" i="2"/>
  <c r="G10527" i="2" s="1"/>
  <c r="D390" i="3"/>
  <c r="D388" i="3"/>
  <c r="D387" i="3"/>
  <c r="G10557" i="2"/>
  <c r="G10551" i="2"/>
  <c r="G10550" i="2"/>
  <c r="E10549" i="2"/>
  <c r="G10549" i="2" s="1"/>
  <c r="E10548" i="2"/>
  <c r="G10548" i="2" s="1"/>
  <c r="E10547" i="2"/>
  <c r="G10547" i="2" s="1"/>
  <c r="E10546" i="2"/>
  <c r="G10546" i="2" s="1"/>
  <c r="E10524" i="2"/>
  <c r="G10524" i="2" s="1"/>
  <c r="D10524" i="2"/>
  <c r="C10524" i="2"/>
  <c r="E10523" i="2"/>
  <c r="G10523" i="2" s="1"/>
  <c r="D10523" i="2"/>
  <c r="C10523" i="2"/>
  <c r="E10522" i="2"/>
  <c r="G10522" i="2" s="1"/>
  <c r="D10522" i="2"/>
  <c r="C10522" i="2"/>
  <c r="D386" i="3"/>
  <c r="G10513" i="2"/>
  <c r="G10507" i="2"/>
  <c r="G10506" i="2"/>
  <c r="E10505" i="2"/>
  <c r="G10505" i="2" s="1"/>
  <c r="E10504" i="2"/>
  <c r="G10504" i="2" s="1"/>
  <c r="E10503" i="2"/>
  <c r="G10503" i="2" s="1"/>
  <c r="E10502" i="2"/>
  <c r="G10502" i="2" s="1"/>
  <c r="E10480" i="2"/>
  <c r="G10480" i="2" s="1"/>
  <c r="D10480" i="2"/>
  <c r="C10480" i="2"/>
  <c r="E10479" i="2"/>
  <c r="G10479" i="2" s="1"/>
  <c r="D10479" i="2"/>
  <c r="C10479" i="2"/>
  <c r="E10478" i="2"/>
  <c r="G10478" i="2" s="1"/>
  <c r="D10478" i="2"/>
  <c r="C10478" i="2"/>
  <c r="G10469" i="2"/>
  <c r="G10463" i="2"/>
  <c r="G10462" i="2"/>
  <c r="E10461" i="2"/>
  <c r="G10461" i="2" s="1"/>
  <c r="E10460" i="2"/>
  <c r="G10460" i="2" s="1"/>
  <c r="E10459" i="2"/>
  <c r="G10459" i="2" s="1"/>
  <c r="E10458" i="2"/>
  <c r="G10458" i="2" s="1"/>
  <c r="E10438" i="2"/>
  <c r="G10438" i="2" s="1"/>
  <c r="D10438" i="2"/>
  <c r="C10438" i="2"/>
  <c r="E10437" i="2"/>
  <c r="G10437" i="2" s="1"/>
  <c r="D10437" i="2"/>
  <c r="C10437" i="2"/>
  <c r="E10436" i="2"/>
  <c r="G10436" i="2" s="1"/>
  <c r="D10436" i="2"/>
  <c r="C10436" i="2"/>
  <c r="E10435" i="2"/>
  <c r="G10435" i="2" s="1"/>
  <c r="D10435" i="2"/>
  <c r="C10435" i="2"/>
  <c r="E10434" i="2"/>
  <c r="G10434" i="2" s="1"/>
  <c r="D10434" i="2"/>
  <c r="C10434" i="2"/>
  <c r="G10425" i="2"/>
  <c r="G10419" i="2"/>
  <c r="G10418" i="2"/>
  <c r="E10417" i="2"/>
  <c r="G10417" i="2" s="1"/>
  <c r="E10416" i="2"/>
  <c r="G10416" i="2" s="1"/>
  <c r="E10415" i="2"/>
  <c r="G10415" i="2" s="1"/>
  <c r="E10414" i="2"/>
  <c r="G10414" i="2" s="1"/>
  <c r="E10394" i="2"/>
  <c r="G10394" i="2" s="1"/>
  <c r="D10394" i="2"/>
  <c r="C10394" i="2"/>
  <c r="E10393" i="2"/>
  <c r="G10393" i="2" s="1"/>
  <c r="D10393" i="2"/>
  <c r="C10393" i="2"/>
  <c r="E10392" i="2"/>
  <c r="G10392" i="2" s="1"/>
  <c r="D10392" i="2"/>
  <c r="C10392" i="2"/>
  <c r="E10391" i="2"/>
  <c r="G10391" i="2" s="1"/>
  <c r="D10391" i="2"/>
  <c r="C10391" i="2"/>
  <c r="E10390" i="2"/>
  <c r="G10390" i="2" s="1"/>
  <c r="D10390" i="2"/>
  <c r="C10390" i="2"/>
  <c r="G10381" i="2"/>
  <c r="G10375" i="2"/>
  <c r="G10374" i="2"/>
  <c r="E10373" i="2"/>
  <c r="G10373" i="2" s="1"/>
  <c r="E10372" i="2"/>
  <c r="G10372" i="2" s="1"/>
  <c r="E10371" i="2"/>
  <c r="G10371" i="2" s="1"/>
  <c r="E10370" i="2"/>
  <c r="G10370" i="2" s="1"/>
  <c r="E10348" i="2"/>
  <c r="G10348" i="2" s="1"/>
  <c r="D10348" i="2"/>
  <c r="C10348" i="2"/>
  <c r="E10347" i="2"/>
  <c r="G10347" i="2" s="1"/>
  <c r="D10347" i="2"/>
  <c r="C10347" i="2"/>
  <c r="E10346" i="2"/>
  <c r="G10346" i="2" s="1"/>
  <c r="D10346" i="2"/>
  <c r="C10346" i="2"/>
  <c r="G10337" i="2"/>
  <c r="G10331" i="2"/>
  <c r="G10330" i="2"/>
  <c r="E10329" i="2"/>
  <c r="G10329" i="2" s="1"/>
  <c r="E10328" i="2"/>
  <c r="G10328" i="2" s="1"/>
  <c r="E10327" i="2"/>
  <c r="G10327" i="2" s="1"/>
  <c r="E10326" i="2"/>
  <c r="G10326" i="2" s="1"/>
  <c r="E10302" i="2"/>
  <c r="G10302" i="2" s="1"/>
  <c r="G10323" i="2" s="1"/>
  <c r="D10302" i="2"/>
  <c r="C10302" i="2"/>
  <c r="E28" i="9"/>
  <c r="G10293" i="2"/>
  <c r="G10287" i="2"/>
  <c r="G10286" i="2"/>
  <c r="E10285" i="2"/>
  <c r="G10285" i="2" s="1"/>
  <c r="E10284" i="2"/>
  <c r="G10284" i="2" s="1"/>
  <c r="E10283" i="2"/>
  <c r="G10283" i="2" s="1"/>
  <c r="E10282" i="2"/>
  <c r="G10282" i="2" s="1"/>
  <c r="E10258" i="2"/>
  <c r="G10258" i="2" s="1"/>
  <c r="D10258" i="2"/>
  <c r="C10258" i="2"/>
  <c r="E10216" i="2"/>
  <c r="G10216" i="2" s="1"/>
  <c r="D10216" i="2"/>
  <c r="C10216" i="2"/>
  <c r="G10249" i="2"/>
  <c r="G10243" i="2"/>
  <c r="G10242" i="2"/>
  <c r="E10241" i="2"/>
  <c r="G10241" i="2" s="1"/>
  <c r="E10240" i="2"/>
  <c r="G10240" i="2" s="1"/>
  <c r="E10239" i="2"/>
  <c r="G10239" i="2" s="1"/>
  <c r="E10238" i="2"/>
  <c r="G10238" i="2" s="1"/>
  <c r="E10215" i="2"/>
  <c r="G10215" i="2" s="1"/>
  <c r="D10215" i="2"/>
  <c r="C10215" i="2"/>
  <c r="E10214" i="2"/>
  <c r="G10214" i="2" s="1"/>
  <c r="D10214" i="2"/>
  <c r="C10214" i="2"/>
  <c r="G10205" i="2"/>
  <c r="G10199" i="2"/>
  <c r="G10198" i="2"/>
  <c r="E10197" i="2"/>
  <c r="G10197" i="2" s="1"/>
  <c r="E10196" i="2"/>
  <c r="G10196" i="2" s="1"/>
  <c r="E10195" i="2"/>
  <c r="G10195" i="2" s="1"/>
  <c r="E10194" i="2"/>
  <c r="G10194" i="2" s="1"/>
  <c r="E10171" i="2"/>
  <c r="G10171" i="2" s="1"/>
  <c r="D10171" i="2"/>
  <c r="C10171" i="2"/>
  <c r="E10170" i="2"/>
  <c r="G10170" i="2" s="1"/>
  <c r="D10170" i="2"/>
  <c r="C10170" i="2"/>
  <c r="C10128" i="2"/>
  <c r="G10161" i="2"/>
  <c r="G10155" i="2"/>
  <c r="G10154" i="2"/>
  <c r="E10153" i="2"/>
  <c r="G10153" i="2" s="1"/>
  <c r="E10152" i="2"/>
  <c r="G10152" i="2" s="1"/>
  <c r="E10151" i="2"/>
  <c r="G10151" i="2" s="1"/>
  <c r="E10150" i="2"/>
  <c r="G10150" i="2" s="1"/>
  <c r="E10128" i="2"/>
  <c r="G10128" i="2" s="1"/>
  <c r="D10128" i="2"/>
  <c r="E10127" i="2"/>
  <c r="G10127" i="2" s="1"/>
  <c r="D10127" i="2"/>
  <c r="C10127" i="2"/>
  <c r="E10126" i="2"/>
  <c r="G10126" i="2" s="1"/>
  <c r="D10126" i="2"/>
  <c r="C10126" i="2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G10117" i="2"/>
  <c r="G10111" i="2"/>
  <c r="G10110" i="2"/>
  <c r="E10109" i="2"/>
  <c r="G10109" i="2" s="1"/>
  <c r="E10108" i="2"/>
  <c r="G10108" i="2" s="1"/>
  <c r="E10107" i="2"/>
  <c r="G10107" i="2" s="1"/>
  <c r="E10106" i="2"/>
  <c r="G10106" i="2" s="1"/>
  <c r="E10084" i="2"/>
  <c r="G10084" i="2" s="1"/>
  <c r="D10084" i="2"/>
  <c r="C10084" i="2"/>
  <c r="E10083" i="2"/>
  <c r="G10083" i="2" s="1"/>
  <c r="D10083" i="2"/>
  <c r="C10083" i="2"/>
  <c r="E10082" i="2"/>
  <c r="G10082" i="2" s="1"/>
  <c r="D10082" i="2"/>
  <c r="C10082" i="2"/>
  <c r="C10038" i="2"/>
  <c r="D10038" i="2"/>
  <c r="E10038" i="2"/>
  <c r="G10038" i="2" s="1"/>
  <c r="C10039" i="2"/>
  <c r="D10039" i="2"/>
  <c r="E10039" i="2"/>
  <c r="G10039" i="2" s="1"/>
  <c r="C10040" i="2"/>
  <c r="D10040" i="2"/>
  <c r="E10040" i="2"/>
  <c r="G10040" i="2" s="1"/>
  <c r="C10041" i="2"/>
  <c r="D10041" i="2"/>
  <c r="E10041" i="2"/>
  <c r="G10041" i="2" s="1"/>
  <c r="C10042" i="2"/>
  <c r="D10042" i="2"/>
  <c r="E10042" i="2"/>
  <c r="G10042" i="2" s="1"/>
  <c r="Q237" i="1"/>
  <c r="P237" i="1"/>
  <c r="O237" i="1"/>
  <c r="G10073" i="2"/>
  <c r="G10067" i="2"/>
  <c r="G10066" i="2"/>
  <c r="E10065" i="2"/>
  <c r="G10065" i="2" s="1"/>
  <c r="E10064" i="2"/>
  <c r="G10064" i="2" s="1"/>
  <c r="E10063" i="2"/>
  <c r="G10063" i="2" s="1"/>
  <c r="G10062" i="2"/>
  <c r="E10062" i="2"/>
  <c r="G10029" i="2"/>
  <c r="G10023" i="2"/>
  <c r="G10022" i="2"/>
  <c r="E10021" i="2"/>
  <c r="G10021" i="2" s="1"/>
  <c r="G10020" i="2"/>
  <c r="E10020" i="2"/>
  <c r="E10019" i="2"/>
  <c r="G10019" i="2" s="1"/>
  <c r="E10018" i="2"/>
  <c r="G10018" i="2" s="1"/>
  <c r="E9996" i="2"/>
  <c r="G9996" i="2" s="1"/>
  <c r="D9996" i="2"/>
  <c r="C9996" i="2"/>
  <c r="E9995" i="2"/>
  <c r="G9995" i="2" s="1"/>
  <c r="D9995" i="2"/>
  <c r="C9995" i="2"/>
  <c r="E9994" i="2"/>
  <c r="G9994" i="2" s="1"/>
  <c r="D9994" i="2"/>
  <c r="C9994" i="2"/>
  <c r="G9985" i="2"/>
  <c r="G9979" i="2"/>
  <c r="G9978" i="2"/>
  <c r="E9977" i="2"/>
  <c r="G9977" i="2" s="1"/>
  <c r="E9976" i="2"/>
  <c r="G9976" i="2" s="1"/>
  <c r="E9975" i="2"/>
  <c r="G9975" i="2" s="1"/>
  <c r="E9974" i="2"/>
  <c r="G9974" i="2" s="1"/>
  <c r="E9954" i="2"/>
  <c r="G9954" i="2" s="1"/>
  <c r="D9954" i="2"/>
  <c r="C9954" i="2"/>
  <c r="E9953" i="2"/>
  <c r="G9953" i="2" s="1"/>
  <c r="D9953" i="2"/>
  <c r="C9953" i="2"/>
  <c r="E9952" i="2"/>
  <c r="G9952" i="2" s="1"/>
  <c r="D9952" i="2"/>
  <c r="C9952" i="2"/>
  <c r="E9951" i="2"/>
  <c r="G9951" i="2" s="1"/>
  <c r="D9951" i="2"/>
  <c r="C9951" i="2"/>
  <c r="E9950" i="2"/>
  <c r="G9950" i="2" s="1"/>
  <c r="D9950" i="2"/>
  <c r="C9950" i="2"/>
  <c r="G12576" i="2" l="1"/>
  <c r="G12567" i="2"/>
  <c r="G12523" i="2"/>
  <c r="G12532" i="2"/>
  <c r="G12488" i="2"/>
  <c r="G12435" i="2"/>
  <c r="G12444" i="2"/>
  <c r="G12391" i="2"/>
  <c r="G12400" i="2"/>
  <c r="G12347" i="2"/>
  <c r="G12303" i="2"/>
  <c r="G12356" i="2"/>
  <c r="G12312" i="2"/>
  <c r="G12268" i="2"/>
  <c r="G12224" i="2"/>
  <c r="G12136" i="2"/>
  <c r="G12048" i="2"/>
  <c r="G12004" i="2"/>
  <c r="G11960" i="2"/>
  <c r="G11907" i="2"/>
  <c r="G11916" i="2"/>
  <c r="G11863" i="2"/>
  <c r="G11819" i="2"/>
  <c r="G11828" i="2"/>
  <c r="G11784" i="2"/>
  <c r="G11740" i="2"/>
  <c r="G11643" i="2"/>
  <c r="G11687" i="2"/>
  <c r="G11608" i="2"/>
  <c r="G11599" i="2"/>
  <c r="G11564" i="2"/>
  <c r="G11036" i="2"/>
  <c r="G11080" i="2"/>
  <c r="G10596" i="2"/>
  <c r="G11124" i="2"/>
  <c r="G11555" i="2"/>
  <c r="G11511" i="2"/>
  <c r="G11520" i="2"/>
  <c r="G11467" i="2"/>
  <c r="G11476" i="2"/>
  <c r="G11423" i="2"/>
  <c r="G11432" i="2"/>
  <c r="G11379" i="2"/>
  <c r="G11388" i="2"/>
  <c r="G11335" i="2"/>
  <c r="G11291" i="2"/>
  <c r="G11344" i="2"/>
  <c r="G11300" i="2"/>
  <c r="G11247" i="2"/>
  <c r="G11256" i="2"/>
  <c r="G11203" i="2"/>
  <c r="G11212" i="2"/>
  <c r="G11168" i="2"/>
  <c r="G11159" i="2"/>
  <c r="G11115" i="2"/>
  <c r="G10992" i="2"/>
  <c r="G10948" i="2"/>
  <c r="G10904" i="2"/>
  <c r="G10860" i="2"/>
  <c r="G10807" i="2"/>
  <c r="G10816" i="2"/>
  <c r="G10763" i="2"/>
  <c r="G10772" i="2"/>
  <c r="G740" i="2"/>
  <c r="G731" i="2"/>
  <c r="G10719" i="2"/>
  <c r="G10728" i="2"/>
  <c r="G10675" i="2"/>
  <c r="G10684" i="2"/>
  <c r="G10631" i="2"/>
  <c r="G10640" i="2"/>
  <c r="G10587" i="2"/>
  <c r="G10543" i="2"/>
  <c r="G10552" i="2"/>
  <c r="G10499" i="2"/>
  <c r="G10508" i="2"/>
  <c r="G10367" i="2"/>
  <c r="G10455" i="2"/>
  <c r="G10464" i="2"/>
  <c r="G10411" i="2"/>
  <c r="G10420" i="2"/>
  <c r="G10376" i="2"/>
  <c r="G10332" i="2"/>
  <c r="G10279" i="2"/>
  <c r="G10288" i="2"/>
  <c r="G10235" i="2"/>
  <c r="G10244" i="2"/>
  <c r="G10191" i="2"/>
  <c r="G10200" i="2"/>
  <c r="G10147" i="2"/>
  <c r="G10156" i="2"/>
  <c r="G10103" i="2"/>
  <c r="G10112" i="2"/>
  <c r="G10059" i="2"/>
  <c r="G10068" i="2"/>
  <c r="G10024" i="2"/>
  <c r="G10015" i="2"/>
  <c r="G9971" i="2"/>
  <c r="G9980" i="2"/>
  <c r="G9941" i="2" l="1"/>
  <c r="G9935" i="2"/>
  <c r="G9934" i="2"/>
  <c r="E9933" i="2"/>
  <c r="G9933" i="2" s="1"/>
  <c r="E9932" i="2"/>
  <c r="G9932" i="2" s="1"/>
  <c r="E9931" i="2"/>
  <c r="G9931" i="2" s="1"/>
  <c r="E9930" i="2"/>
  <c r="G9930" i="2" s="1"/>
  <c r="E9910" i="2"/>
  <c r="G9910" i="2" s="1"/>
  <c r="D9910" i="2"/>
  <c r="C9910" i="2"/>
  <c r="E9909" i="2"/>
  <c r="G9909" i="2" s="1"/>
  <c r="D9909" i="2"/>
  <c r="C9909" i="2"/>
  <c r="E9908" i="2"/>
  <c r="G9908" i="2" s="1"/>
  <c r="D9908" i="2"/>
  <c r="C9908" i="2"/>
  <c r="E9907" i="2"/>
  <c r="G9907" i="2" s="1"/>
  <c r="D9907" i="2"/>
  <c r="C9907" i="2"/>
  <c r="E9906" i="2"/>
  <c r="G9906" i="2" s="1"/>
  <c r="D9906" i="2"/>
  <c r="C9906" i="2"/>
  <c r="G9897" i="2"/>
  <c r="G9891" i="2"/>
  <c r="G9890" i="2"/>
  <c r="E9889" i="2"/>
  <c r="G9889" i="2" s="1"/>
  <c r="E9888" i="2"/>
  <c r="G9888" i="2" s="1"/>
  <c r="E9887" i="2"/>
  <c r="G9887" i="2" s="1"/>
  <c r="E9886" i="2"/>
  <c r="G9886" i="2" s="1"/>
  <c r="E9862" i="2"/>
  <c r="G9862" i="2" s="1"/>
  <c r="D9862" i="2"/>
  <c r="C9862" i="2"/>
  <c r="C9820" i="2"/>
  <c r="D9820" i="2"/>
  <c r="E9820" i="2"/>
  <c r="G9820" i="2" s="1"/>
  <c r="C9821" i="2"/>
  <c r="D9821" i="2"/>
  <c r="E9821" i="2"/>
  <c r="G9821" i="2" s="1"/>
  <c r="C9822" i="2"/>
  <c r="D9822" i="2"/>
  <c r="E9822" i="2"/>
  <c r="G9822" i="2" s="1"/>
  <c r="C9823" i="2"/>
  <c r="D9823" i="2"/>
  <c r="E9823" i="2"/>
  <c r="G9823" i="2" s="1"/>
  <c r="G9853" i="2"/>
  <c r="G9847" i="2"/>
  <c r="G9846" i="2"/>
  <c r="E9845" i="2"/>
  <c r="G9845" i="2" s="1"/>
  <c r="E9844" i="2"/>
  <c r="G9844" i="2" s="1"/>
  <c r="E9843" i="2"/>
  <c r="G9843" i="2" s="1"/>
  <c r="E9842" i="2"/>
  <c r="G9842" i="2" s="1"/>
  <c r="E9819" i="2"/>
  <c r="G9819" i="2" s="1"/>
  <c r="D9819" i="2"/>
  <c r="C9819" i="2"/>
  <c r="E9818" i="2"/>
  <c r="G9818" i="2" s="1"/>
  <c r="D9818" i="2"/>
  <c r="C9818" i="2"/>
  <c r="G9809" i="2"/>
  <c r="G9803" i="2"/>
  <c r="G9802" i="2"/>
  <c r="E9801" i="2"/>
  <c r="G9801" i="2" s="1"/>
  <c r="E9800" i="2"/>
  <c r="G9800" i="2" s="1"/>
  <c r="E9799" i="2"/>
  <c r="G9799" i="2" s="1"/>
  <c r="E9798" i="2"/>
  <c r="G9798" i="2" s="1"/>
  <c r="E9775" i="2"/>
  <c r="G9775" i="2" s="1"/>
  <c r="D9775" i="2"/>
  <c r="C9775" i="2"/>
  <c r="E9774" i="2"/>
  <c r="G9774" i="2" s="1"/>
  <c r="D9774" i="2"/>
  <c r="C9774" i="2"/>
  <c r="G9927" i="2" l="1"/>
  <c r="G9936" i="2"/>
  <c r="G9883" i="2"/>
  <c r="G9892" i="2"/>
  <c r="G9795" i="2"/>
  <c r="G9839" i="2"/>
  <c r="G9848" i="2"/>
  <c r="G9804" i="2"/>
  <c r="G9765" i="2" l="1"/>
  <c r="G9759" i="2"/>
  <c r="G9758" i="2"/>
  <c r="E9757" i="2"/>
  <c r="G9757" i="2" s="1"/>
  <c r="E9756" i="2"/>
  <c r="G9756" i="2" s="1"/>
  <c r="G9755" i="2"/>
  <c r="E9755" i="2"/>
  <c r="E9754" i="2"/>
  <c r="G9754" i="2" s="1"/>
  <c r="E9731" i="2"/>
  <c r="G9731" i="2" s="1"/>
  <c r="D9731" i="2"/>
  <c r="C9731" i="2"/>
  <c r="E9730" i="2"/>
  <c r="G9730" i="2" s="1"/>
  <c r="D9730" i="2"/>
  <c r="C9730" i="2"/>
  <c r="G9721" i="2"/>
  <c r="G9715" i="2"/>
  <c r="G9714" i="2"/>
  <c r="G9713" i="2"/>
  <c r="E9713" i="2"/>
  <c r="E9712" i="2"/>
  <c r="G9712" i="2" s="1"/>
  <c r="E9711" i="2"/>
  <c r="G9711" i="2" s="1"/>
  <c r="E9710" i="2"/>
  <c r="G9710" i="2" s="1"/>
  <c r="E9686" i="2"/>
  <c r="G9686" i="2" s="1"/>
  <c r="G9707" i="2" s="1"/>
  <c r="D9686" i="2"/>
  <c r="C9686" i="2"/>
  <c r="G9677" i="2"/>
  <c r="G9671" i="2"/>
  <c r="G9670" i="2"/>
  <c r="E9669" i="2"/>
  <c r="G9669" i="2" s="1"/>
  <c r="E9668" i="2"/>
  <c r="G9668" i="2" s="1"/>
  <c r="E9667" i="2"/>
  <c r="G9667" i="2" s="1"/>
  <c r="E9666" i="2"/>
  <c r="G9666" i="2" s="1"/>
  <c r="E9642" i="2"/>
  <c r="G9642" i="2" s="1"/>
  <c r="G9663" i="2" s="1"/>
  <c r="D9642" i="2"/>
  <c r="C9642" i="2"/>
  <c r="G9633" i="2"/>
  <c r="G9627" i="2"/>
  <c r="G9626" i="2"/>
  <c r="G9625" i="2"/>
  <c r="E9625" i="2"/>
  <c r="E9624" i="2"/>
  <c r="G9624" i="2" s="1"/>
  <c r="E9623" i="2"/>
  <c r="G9623" i="2" s="1"/>
  <c r="E9622" i="2"/>
  <c r="G9622" i="2" s="1"/>
  <c r="E9598" i="2"/>
  <c r="G9598" i="2" s="1"/>
  <c r="G9619" i="2" s="1"/>
  <c r="D9598" i="2"/>
  <c r="C9598" i="2"/>
  <c r="G9589" i="2"/>
  <c r="G9583" i="2"/>
  <c r="G9582" i="2"/>
  <c r="G9581" i="2"/>
  <c r="E9581" i="2"/>
  <c r="E9580" i="2"/>
  <c r="G9580" i="2" s="1"/>
  <c r="E9579" i="2"/>
  <c r="G9579" i="2" s="1"/>
  <c r="E9578" i="2"/>
  <c r="G9578" i="2" s="1"/>
  <c r="E9558" i="2"/>
  <c r="G9558" i="2" s="1"/>
  <c r="D9558" i="2"/>
  <c r="C9558" i="2"/>
  <c r="E9557" i="2"/>
  <c r="G9557" i="2" s="1"/>
  <c r="D9557" i="2"/>
  <c r="C9557" i="2"/>
  <c r="E9556" i="2"/>
  <c r="G9556" i="2" s="1"/>
  <c r="D9556" i="2"/>
  <c r="C9556" i="2"/>
  <c r="E9555" i="2"/>
  <c r="G9555" i="2" s="1"/>
  <c r="D9555" i="2"/>
  <c r="C9555" i="2"/>
  <c r="E9554" i="2"/>
  <c r="G9554" i="2" s="1"/>
  <c r="D9554" i="2"/>
  <c r="C9554" i="2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G9545" i="2"/>
  <c r="G9539" i="2"/>
  <c r="G9538" i="2"/>
  <c r="E9537" i="2"/>
  <c r="G9537" i="2" s="1"/>
  <c r="E9536" i="2"/>
  <c r="G9536" i="2" s="1"/>
  <c r="E9535" i="2"/>
  <c r="G9535" i="2" s="1"/>
  <c r="E9534" i="2"/>
  <c r="G9534" i="2" s="1"/>
  <c r="E9514" i="2"/>
  <c r="G9514" i="2" s="1"/>
  <c r="D9514" i="2"/>
  <c r="C9514" i="2"/>
  <c r="E9513" i="2"/>
  <c r="G9513" i="2" s="1"/>
  <c r="D9513" i="2"/>
  <c r="C9513" i="2"/>
  <c r="E9512" i="2"/>
  <c r="G9512" i="2" s="1"/>
  <c r="D9512" i="2"/>
  <c r="C9512" i="2"/>
  <c r="E9511" i="2"/>
  <c r="G9511" i="2" s="1"/>
  <c r="D9511" i="2"/>
  <c r="C9511" i="2"/>
  <c r="E9510" i="2"/>
  <c r="G9510" i="2" s="1"/>
  <c r="D9510" i="2"/>
  <c r="C9510" i="2"/>
  <c r="G9501" i="2"/>
  <c r="G9495" i="2"/>
  <c r="G9494" i="2"/>
  <c r="E9493" i="2"/>
  <c r="G9493" i="2" s="1"/>
  <c r="E9492" i="2"/>
  <c r="G9492" i="2" s="1"/>
  <c r="E9491" i="2"/>
  <c r="G9491" i="2" s="1"/>
  <c r="E9490" i="2"/>
  <c r="G9490" i="2" s="1"/>
  <c r="E9466" i="2"/>
  <c r="G9466" i="2" s="1"/>
  <c r="D9466" i="2"/>
  <c r="C9466" i="2"/>
  <c r="E9424" i="2"/>
  <c r="G9424" i="2" s="1"/>
  <c r="D9424" i="2"/>
  <c r="C9424" i="2"/>
  <c r="G9457" i="2"/>
  <c r="G9451" i="2"/>
  <c r="G9450" i="2"/>
  <c r="E9449" i="2"/>
  <c r="G9449" i="2" s="1"/>
  <c r="E9448" i="2"/>
  <c r="G9448" i="2" s="1"/>
  <c r="E9447" i="2"/>
  <c r="G9447" i="2" s="1"/>
  <c r="E9446" i="2"/>
  <c r="G9446" i="2" s="1"/>
  <c r="E9423" i="2"/>
  <c r="G9423" i="2" s="1"/>
  <c r="D9423" i="2"/>
  <c r="C9423" i="2"/>
  <c r="E9422" i="2"/>
  <c r="G9422" i="2" s="1"/>
  <c r="D9422" i="2"/>
  <c r="C9422" i="2"/>
  <c r="G9751" i="2" l="1"/>
  <c r="G9760" i="2"/>
  <c r="G9716" i="2"/>
  <c r="G9672" i="2"/>
  <c r="G9628" i="2"/>
  <c r="G9575" i="2"/>
  <c r="G9584" i="2"/>
  <c r="G9540" i="2"/>
  <c r="G9531" i="2"/>
  <c r="G9496" i="2"/>
  <c r="G9487" i="2"/>
  <c r="G9443" i="2"/>
  <c r="G9452" i="2"/>
  <c r="G9413" i="2" l="1"/>
  <c r="G9407" i="2"/>
  <c r="G9406" i="2"/>
  <c r="E9405" i="2"/>
  <c r="G9405" i="2" s="1"/>
  <c r="E9404" i="2"/>
  <c r="G9404" i="2" s="1"/>
  <c r="E9403" i="2"/>
  <c r="G9403" i="2" s="1"/>
  <c r="E9402" i="2"/>
  <c r="G9402" i="2" s="1"/>
  <c r="E9379" i="2"/>
  <c r="G9379" i="2" s="1"/>
  <c r="D9379" i="2"/>
  <c r="C9379" i="2"/>
  <c r="E9378" i="2"/>
  <c r="G9378" i="2" s="1"/>
  <c r="D9378" i="2"/>
  <c r="C9378" i="2"/>
  <c r="G9369" i="2"/>
  <c r="G9363" i="2"/>
  <c r="G9362" i="2"/>
  <c r="E9361" i="2"/>
  <c r="G9361" i="2" s="1"/>
  <c r="E9360" i="2"/>
  <c r="G9360" i="2" s="1"/>
  <c r="E9359" i="2"/>
  <c r="G9359" i="2" s="1"/>
  <c r="E9358" i="2"/>
  <c r="G9358" i="2" s="1"/>
  <c r="E9336" i="2"/>
  <c r="G9336" i="2" s="1"/>
  <c r="D9336" i="2"/>
  <c r="C9336" i="2"/>
  <c r="E9335" i="2"/>
  <c r="G9335" i="2" s="1"/>
  <c r="D9335" i="2"/>
  <c r="C9335" i="2"/>
  <c r="E9334" i="2"/>
  <c r="G9334" i="2" s="1"/>
  <c r="D9334" i="2"/>
  <c r="C9334" i="2"/>
  <c r="G9325" i="2"/>
  <c r="G9319" i="2"/>
  <c r="G9318" i="2"/>
  <c r="E9317" i="2"/>
  <c r="G9317" i="2" s="1"/>
  <c r="E9316" i="2"/>
  <c r="G9316" i="2" s="1"/>
  <c r="E9315" i="2"/>
  <c r="G9315" i="2" s="1"/>
  <c r="E9314" i="2"/>
  <c r="G9314" i="2" s="1"/>
  <c r="E9294" i="2"/>
  <c r="G9294" i="2" s="1"/>
  <c r="D9294" i="2"/>
  <c r="C9294" i="2"/>
  <c r="E9293" i="2"/>
  <c r="G9293" i="2" s="1"/>
  <c r="D9293" i="2"/>
  <c r="C9293" i="2"/>
  <c r="E9292" i="2"/>
  <c r="G9292" i="2" s="1"/>
  <c r="D9292" i="2"/>
  <c r="C9292" i="2"/>
  <c r="E9291" i="2"/>
  <c r="G9291" i="2" s="1"/>
  <c r="D9291" i="2"/>
  <c r="C9291" i="2"/>
  <c r="E9290" i="2"/>
  <c r="G9290" i="2" s="1"/>
  <c r="D9290" i="2"/>
  <c r="C9290" i="2"/>
  <c r="G9281" i="2"/>
  <c r="G9275" i="2"/>
  <c r="G9274" i="2"/>
  <c r="G9273" i="2"/>
  <c r="E9273" i="2"/>
  <c r="E9272" i="2"/>
  <c r="G9272" i="2" s="1"/>
  <c r="E9271" i="2"/>
  <c r="G9271" i="2" s="1"/>
  <c r="E9270" i="2"/>
  <c r="G9270" i="2" s="1"/>
  <c r="E9250" i="2"/>
  <c r="G9250" i="2" s="1"/>
  <c r="D9250" i="2"/>
  <c r="C9250" i="2"/>
  <c r="E9249" i="2"/>
  <c r="G9249" i="2" s="1"/>
  <c r="D9249" i="2"/>
  <c r="C9249" i="2"/>
  <c r="E9248" i="2"/>
  <c r="G9248" i="2" s="1"/>
  <c r="D9248" i="2"/>
  <c r="C9248" i="2"/>
  <c r="E9247" i="2"/>
  <c r="G9247" i="2" s="1"/>
  <c r="D9247" i="2"/>
  <c r="C9247" i="2"/>
  <c r="E9246" i="2"/>
  <c r="G9246" i="2" s="1"/>
  <c r="D9246" i="2"/>
  <c r="C9246" i="2"/>
  <c r="G9237" i="2"/>
  <c r="G9231" i="2"/>
  <c r="G9230" i="2"/>
  <c r="G9229" i="2"/>
  <c r="E9229" i="2"/>
  <c r="E9228" i="2"/>
  <c r="G9228" i="2" s="1"/>
  <c r="E9227" i="2"/>
  <c r="G9227" i="2" s="1"/>
  <c r="E9226" i="2"/>
  <c r="G9226" i="2" s="1"/>
  <c r="E9208" i="2"/>
  <c r="G9208" i="2" s="1"/>
  <c r="D9208" i="2"/>
  <c r="C9208" i="2"/>
  <c r="E9207" i="2"/>
  <c r="G9207" i="2" s="1"/>
  <c r="D9207" i="2"/>
  <c r="C9207" i="2"/>
  <c r="E9206" i="2"/>
  <c r="G9206" i="2" s="1"/>
  <c r="D9206" i="2"/>
  <c r="C9206" i="2"/>
  <c r="E9205" i="2"/>
  <c r="G9205" i="2" s="1"/>
  <c r="D9205" i="2"/>
  <c r="C9205" i="2"/>
  <c r="E9204" i="2"/>
  <c r="G9204" i="2" s="1"/>
  <c r="D9204" i="2"/>
  <c r="C9204" i="2"/>
  <c r="E9203" i="2"/>
  <c r="G9203" i="2" s="1"/>
  <c r="D9203" i="2"/>
  <c r="C9203" i="2"/>
  <c r="E9202" i="2"/>
  <c r="G9202" i="2" s="1"/>
  <c r="D9202" i="2"/>
  <c r="C9202" i="2"/>
  <c r="G9193" i="2"/>
  <c r="G9187" i="2"/>
  <c r="G9186" i="2"/>
  <c r="E9185" i="2"/>
  <c r="G9185" i="2" s="1"/>
  <c r="E9184" i="2"/>
  <c r="G9184" i="2" s="1"/>
  <c r="E9183" i="2"/>
  <c r="G9183" i="2" s="1"/>
  <c r="G9182" i="2"/>
  <c r="E9182" i="2"/>
  <c r="E9164" i="2"/>
  <c r="G9164" i="2" s="1"/>
  <c r="D9164" i="2"/>
  <c r="C9164" i="2"/>
  <c r="E9163" i="2"/>
  <c r="G9163" i="2" s="1"/>
  <c r="D9163" i="2"/>
  <c r="C9163" i="2"/>
  <c r="E9162" i="2"/>
  <c r="G9162" i="2" s="1"/>
  <c r="D9162" i="2"/>
  <c r="C9162" i="2"/>
  <c r="E9161" i="2"/>
  <c r="G9161" i="2" s="1"/>
  <c r="D9161" i="2"/>
  <c r="C9161" i="2"/>
  <c r="E9160" i="2"/>
  <c r="G9160" i="2" s="1"/>
  <c r="D9160" i="2"/>
  <c r="C9160" i="2"/>
  <c r="E9159" i="2"/>
  <c r="G9159" i="2" s="1"/>
  <c r="D9159" i="2"/>
  <c r="C9159" i="2"/>
  <c r="E9158" i="2"/>
  <c r="G9158" i="2" s="1"/>
  <c r="D9158" i="2"/>
  <c r="C9158" i="2"/>
  <c r="G9149" i="2"/>
  <c r="G9143" i="2"/>
  <c r="G9142" i="2"/>
  <c r="E9141" i="2"/>
  <c r="G9141" i="2" s="1"/>
  <c r="E9140" i="2"/>
  <c r="G9140" i="2" s="1"/>
  <c r="E9139" i="2"/>
  <c r="G9139" i="2" s="1"/>
  <c r="E9138" i="2"/>
  <c r="G9138" i="2" s="1"/>
  <c r="E9120" i="2"/>
  <c r="G9120" i="2" s="1"/>
  <c r="D9120" i="2"/>
  <c r="C9120" i="2"/>
  <c r="E9119" i="2"/>
  <c r="G9119" i="2" s="1"/>
  <c r="D9119" i="2"/>
  <c r="C9119" i="2"/>
  <c r="E9118" i="2"/>
  <c r="G9118" i="2" s="1"/>
  <c r="D9118" i="2"/>
  <c r="C9118" i="2"/>
  <c r="E9117" i="2"/>
  <c r="G9117" i="2" s="1"/>
  <c r="D9117" i="2"/>
  <c r="C9117" i="2"/>
  <c r="E9116" i="2"/>
  <c r="G9116" i="2" s="1"/>
  <c r="D9116" i="2"/>
  <c r="C9116" i="2"/>
  <c r="E9115" i="2"/>
  <c r="G9115" i="2" s="1"/>
  <c r="D9115" i="2"/>
  <c r="C9115" i="2"/>
  <c r="E9114" i="2"/>
  <c r="G9114" i="2" s="1"/>
  <c r="D9114" i="2"/>
  <c r="C9114" i="2"/>
  <c r="G9105" i="2"/>
  <c r="G9099" i="2"/>
  <c r="G9098" i="2"/>
  <c r="E9097" i="2"/>
  <c r="G9097" i="2" s="1"/>
  <c r="E9096" i="2"/>
  <c r="G9096" i="2" s="1"/>
  <c r="E9095" i="2"/>
  <c r="G9095" i="2" s="1"/>
  <c r="H9094" i="2"/>
  <c r="E9094" i="2"/>
  <c r="G9094" i="2" s="1"/>
  <c r="E9072" i="2"/>
  <c r="G9072" i="2" s="1"/>
  <c r="D9072" i="2"/>
  <c r="C9072" i="2"/>
  <c r="E9071" i="2"/>
  <c r="G9071" i="2" s="1"/>
  <c r="D9071" i="2"/>
  <c r="C9071" i="2"/>
  <c r="E9070" i="2"/>
  <c r="G9070" i="2" s="1"/>
  <c r="D9070" i="2"/>
  <c r="C9070" i="2"/>
  <c r="E9032" i="2"/>
  <c r="G9032" i="2" s="1"/>
  <c r="D9032" i="2"/>
  <c r="C9032" i="2"/>
  <c r="G9061" i="2"/>
  <c r="G9055" i="2"/>
  <c r="G9054" i="2"/>
  <c r="E9053" i="2"/>
  <c r="G9053" i="2" s="1"/>
  <c r="E9052" i="2"/>
  <c r="G9052" i="2" s="1"/>
  <c r="E9051" i="2"/>
  <c r="G9051" i="2" s="1"/>
  <c r="E9050" i="2"/>
  <c r="G9050" i="2" s="1"/>
  <c r="E9031" i="2"/>
  <c r="G9031" i="2" s="1"/>
  <c r="D9031" i="2"/>
  <c r="C9031" i="2"/>
  <c r="E9030" i="2"/>
  <c r="G9030" i="2" s="1"/>
  <c r="D9030" i="2"/>
  <c r="C9030" i="2"/>
  <c r="D9029" i="2"/>
  <c r="C9029" i="2"/>
  <c r="D9028" i="2"/>
  <c r="C9028" i="2"/>
  <c r="D9027" i="2"/>
  <c r="C9027" i="2"/>
  <c r="D9026" i="2"/>
  <c r="C9026" i="2"/>
  <c r="G9017" i="2"/>
  <c r="G9011" i="2"/>
  <c r="G9010" i="2"/>
  <c r="E9009" i="2"/>
  <c r="G9009" i="2" s="1"/>
  <c r="E9008" i="2"/>
  <c r="G9008" i="2" s="1"/>
  <c r="E9007" i="2"/>
  <c r="G9007" i="2" s="1"/>
  <c r="E9006" i="2"/>
  <c r="G9006" i="2" s="1"/>
  <c r="E8987" i="2"/>
  <c r="G8987" i="2" s="1"/>
  <c r="D8987" i="2"/>
  <c r="C8987" i="2"/>
  <c r="E8986" i="2"/>
  <c r="G8986" i="2" s="1"/>
  <c r="D8986" i="2"/>
  <c r="C8986" i="2"/>
  <c r="D8985" i="2"/>
  <c r="C8985" i="2"/>
  <c r="D8984" i="2"/>
  <c r="C8984" i="2"/>
  <c r="D8983" i="2"/>
  <c r="C8983" i="2"/>
  <c r="D8982" i="2"/>
  <c r="C8982" i="2"/>
  <c r="G9364" i="2" l="1"/>
  <c r="G9399" i="2"/>
  <c r="G9408" i="2"/>
  <c r="G9355" i="2"/>
  <c r="G9320" i="2"/>
  <c r="G9311" i="2"/>
  <c r="G9267" i="2"/>
  <c r="G9276" i="2"/>
  <c r="G9223" i="2"/>
  <c r="G9232" i="2"/>
  <c r="G9188" i="2"/>
  <c r="G9179" i="2"/>
  <c r="G9135" i="2"/>
  <c r="G9144" i="2"/>
  <c r="G9091" i="2"/>
  <c r="I9097" i="2" s="1"/>
  <c r="G9100" i="2"/>
  <c r="G9056" i="2"/>
  <c r="G9012" i="2"/>
  <c r="I9094" i="2" l="1"/>
  <c r="I9096" i="2"/>
  <c r="I9104" i="2"/>
  <c r="I9103" i="2"/>
  <c r="G8973" i="2"/>
  <c r="G8967" i="2"/>
  <c r="G8966" i="2"/>
  <c r="E8965" i="2"/>
  <c r="E8964" i="2"/>
  <c r="G8964" i="2" s="1"/>
  <c r="E8963" i="2"/>
  <c r="E8962" i="2"/>
  <c r="G8962" i="2" s="1"/>
  <c r="E8940" i="2"/>
  <c r="G8940" i="2" s="1"/>
  <c r="D8940" i="2"/>
  <c r="C8940" i="2"/>
  <c r="E8939" i="2"/>
  <c r="G8939" i="2" s="1"/>
  <c r="D8939" i="2"/>
  <c r="C8939" i="2"/>
  <c r="E8938" i="2"/>
  <c r="G8938" i="2" s="1"/>
  <c r="D8938" i="2"/>
  <c r="C8938" i="2"/>
  <c r="G8929" i="2"/>
  <c r="G8923" i="2"/>
  <c r="G8922" i="2"/>
  <c r="E8921" i="2"/>
  <c r="E8920" i="2"/>
  <c r="G8920" i="2" s="1"/>
  <c r="E8919" i="2"/>
  <c r="G8919" i="2" s="1"/>
  <c r="E8918" i="2"/>
  <c r="G8918" i="2" s="1"/>
  <c r="E8896" i="2"/>
  <c r="G8896" i="2" s="1"/>
  <c r="D8896" i="2"/>
  <c r="C8896" i="2"/>
  <c r="E8895" i="2"/>
  <c r="G8895" i="2" s="1"/>
  <c r="D8895" i="2"/>
  <c r="C8895" i="2"/>
  <c r="E8894" i="2"/>
  <c r="G8894" i="2" s="1"/>
  <c r="D8894" i="2"/>
  <c r="C8894" i="2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G8885" i="2"/>
  <c r="G8879" i="2"/>
  <c r="G8878" i="2"/>
  <c r="E8877" i="2"/>
  <c r="G8877" i="2" s="1"/>
  <c r="E8876" i="2"/>
  <c r="G8876" i="2" s="1"/>
  <c r="E8875" i="2"/>
  <c r="G8875" i="2" s="1"/>
  <c r="H8874" i="2"/>
  <c r="E8874" i="2"/>
  <c r="G8874" i="2" s="1"/>
  <c r="E8854" i="2"/>
  <c r="G8854" i="2" s="1"/>
  <c r="D8854" i="2"/>
  <c r="C8854" i="2"/>
  <c r="D8853" i="2"/>
  <c r="C8853" i="2"/>
  <c r="E8852" i="2"/>
  <c r="G8852" i="2" s="1"/>
  <c r="D8852" i="2"/>
  <c r="C8852" i="2"/>
  <c r="D8851" i="2"/>
  <c r="C8851" i="2"/>
  <c r="D8850" i="2"/>
  <c r="C8850" i="2"/>
  <c r="G8841" i="2"/>
  <c r="G8835" i="2"/>
  <c r="G8834" i="2"/>
  <c r="E8833" i="2"/>
  <c r="G8833" i="2" s="1"/>
  <c r="G8832" i="2"/>
  <c r="E8832" i="2"/>
  <c r="E8831" i="2"/>
  <c r="G8831" i="2" s="1"/>
  <c r="H8830" i="2"/>
  <c r="E8830" i="2"/>
  <c r="G8830" i="2" s="1"/>
  <c r="E8810" i="2"/>
  <c r="G8810" i="2" s="1"/>
  <c r="D8810" i="2"/>
  <c r="C8810" i="2"/>
  <c r="D8809" i="2"/>
  <c r="C8809" i="2"/>
  <c r="E8808" i="2"/>
  <c r="G8808" i="2" s="1"/>
  <c r="D8808" i="2"/>
  <c r="C8808" i="2"/>
  <c r="D8807" i="2"/>
  <c r="C8807" i="2"/>
  <c r="D8806" i="2"/>
  <c r="C8806" i="2"/>
  <c r="G8797" i="2"/>
  <c r="G8791" i="2"/>
  <c r="G8790" i="2"/>
  <c r="E8789" i="2"/>
  <c r="G8789" i="2" s="1"/>
  <c r="E8788" i="2"/>
  <c r="G8788" i="2" s="1"/>
  <c r="E8787" i="2"/>
  <c r="G8787" i="2" s="1"/>
  <c r="H8786" i="2"/>
  <c r="E8786" i="2"/>
  <c r="G8786" i="2" s="1"/>
  <c r="E8766" i="2"/>
  <c r="G8766" i="2" s="1"/>
  <c r="D8766" i="2"/>
  <c r="C8766" i="2"/>
  <c r="D8765" i="2"/>
  <c r="C8765" i="2"/>
  <c r="E8764" i="2"/>
  <c r="G8764" i="2" s="1"/>
  <c r="D8764" i="2"/>
  <c r="C8764" i="2"/>
  <c r="D8763" i="2"/>
  <c r="C8763" i="2"/>
  <c r="D8762" i="2"/>
  <c r="C8762" i="2"/>
  <c r="G8753" i="2"/>
  <c r="G8747" i="2"/>
  <c r="G8746" i="2"/>
  <c r="E8745" i="2"/>
  <c r="G8745" i="2" s="1"/>
  <c r="E8744" i="2"/>
  <c r="G8744" i="2" s="1"/>
  <c r="E8743" i="2"/>
  <c r="G8743" i="2" s="1"/>
  <c r="H8742" i="2"/>
  <c r="E8742" i="2"/>
  <c r="G8742" i="2" s="1"/>
  <c r="E8722" i="2"/>
  <c r="G8722" i="2" s="1"/>
  <c r="D8722" i="2"/>
  <c r="C8722" i="2"/>
  <c r="D8721" i="2"/>
  <c r="C8721" i="2"/>
  <c r="E8720" i="2"/>
  <c r="G8720" i="2" s="1"/>
  <c r="D8720" i="2"/>
  <c r="C8720" i="2"/>
  <c r="D8719" i="2"/>
  <c r="C8719" i="2"/>
  <c r="D8718" i="2"/>
  <c r="C8718" i="2"/>
  <c r="H8698" i="2"/>
  <c r="C8678" i="2"/>
  <c r="D8678" i="2"/>
  <c r="E8678" i="2"/>
  <c r="G8678" i="2" s="1"/>
  <c r="C8677" i="2"/>
  <c r="D8677" i="2"/>
  <c r="G8709" i="2"/>
  <c r="G8703" i="2"/>
  <c r="G8702" i="2"/>
  <c r="E8701" i="2"/>
  <c r="G8701" i="2" s="1"/>
  <c r="E8700" i="2"/>
  <c r="G8700" i="2" s="1"/>
  <c r="E8699" i="2"/>
  <c r="G8699" i="2" s="1"/>
  <c r="E8698" i="2"/>
  <c r="G8698" i="2" s="1"/>
  <c r="E8676" i="2"/>
  <c r="G8676" i="2" s="1"/>
  <c r="D8676" i="2"/>
  <c r="C8676" i="2"/>
  <c r="D8675" i="2"/>
  <c r="C8675" i="2"/>
  <c r="D8674" i="2"/>
  <c r="C8674" i="2"/>
  <c r="G8665" i="2"/>
  <c r="G8659" i="2"/>
  <c r="G8658" i="2"/>
  <c r="E8657" i="2"/>
  <c r="G8657" i="2" s="1"/>
  <c r="E8656" i="2"/>
  <c r="G8656" i="2" s="1"/>
  <c r="E8655" i="2"/>
  <c r="G8655" i="2" s="1"/>
  <c r="E8654" i="2"/>
  <c r="G8654" i="2" s="1"/>
  <c r="E8632" i="2"/>
  <c r="G8632" i="2" s="1"/>
  <c r="D8632" i="2"/>
  <c r="C8632" i="2"/>
  <c r="D8631" i="2"/>
  <c r="C8631" i="2"/>
  <c r="D8630" i="2"/>
  <c r="C8630" i="2"/>
  <c r="G8621" i="2"/>
  <c r="G8615" i="2"/>
  <c r="G8614" i="2"/>
  <c r="G8613" i="2"/>
  <c r="E8613" i="2"/>
  <c r="E8612" i="2"/>
  <c r="G8612" i="2" s="1"/>
  <c r="E8611" i="2"/>
  <c r="G8611" i="2" s="1"/>
  <c r="E8610" i="2"/>
  <c r="G8610" i="2" s="1"/>
  <c r="E8588" i="2"/>
  <c r="G8588" i="2" s="1"/>
  <c r="D8588" i="2"/>
  <c r="C8588" i="2"/>
  <c r="D8587" i="2"/>
  <c r="C8587" i="2"/>
  <c r="D8586" i="2"/>
  <c r="C8586" i="2"/>
  <c r="G8577" i="2"/>
  <c r="G8571" i="2"/>
  <c r="G8570" i="2"/>
  <c r="G8569" i="2"/>
  <c r="E8569" i="2"/>
  <c r="E8568" i="2"/>
  <c r="G8568" i="2" s="1"/>
  <c r="E8567" i="2"/>
  <c r="G8567" i="2" s="1"/>
  <c r="E8566" i="2"/>
  <c r="G8566" i="2" s="1"/>
  <c r="E8542" i="2"/>
  <c r="G8542" i="2" s="1"/>
  <c r="G8563" i="2" s="1"/>
  <c r="D8542" i="2"/>
  <c r="C8542" i="2"/>
  <c r="G8533" i="2"/>
  <c r="G8527" i="2"/>
  <c r="G8526" i="2"/>
  <c r="E8525" i="2"/>
  <c r="G8525" i="2" s="1"/>
  <c r="E8524" i="2"/>
  <c r="G8524" i="2" s="1"/>
  <c r="E8523" i="2"/>
  <c r="G8523" i="2" s="1"/>
  <c r="E8522" i="2"/>
  <c r="G8522" i="2" s="1"/>
  <c r="E8507" i="2"/>
  <c r="G8507" i="2" s="1"/>
  <c r="D8507" i="2"/>
  <c r="C8507" i="2"/>
  <c r="E8506" i="2"/>
  <c r="G8506" i="2" s="1"/>
  <c r="D8506" i="2"/>
  <c r="C8506" i="2"/>
  <c r="E8505" i="2"/>
  <c r="G8505" i="2" s="1"/>
  <c r="D8505" i="2"/>
  <c r="C8505" i="2"/>
  <c r="E8504" i="2"/>
  <c r="G8504" i="2" s="1"/>
  <c r="D8504" i="2"/>
  <c r="C8504" i="2"/>
  <c r="D8503" i="2"/>
  <c r="C8503" i="2"/>
  <c r="D8502" i="2"/>
  <c r="C8502" i="2"/>
  <c r="E8501" i="2"/>
  <c r="G8501" i="2" s="1"/>
  <c r="D8501" i="2"/>
  <c r="C8501" i="2"/>
  <c r="E8500" i="2"/>
  <c r="G8500" i="2" s="1"/>
  <c r="D8500" i="2"/>
  <c r="C8500" i="2"/>
  <c r="E8499" i="2"/>
  <c r="G8499" i="2" s="1"/>
  <c r="D8499" i="2"/>
  <c r="C8499" i="2"/>
  <c r="E8498" i="2"/>
  <c r="G8498" i="2" s="1"/>
  <c r="D8498" i="2"/>
  <c r="C8498" i="2"/>
  <c r="G8489" i="2"/>
  <c r="G8483" i="2"/>
  <c r="G8482" i="2"/>
  <c r="E8481" i="2"/>
  <c r="G8481" i="2" s="1"/>
  <c r="E8480" i="2"/>
  <c r="G8480" i="2" s="1"/>
  <c r="E8479" i="2"/>
  <c r="G8479" i="2" s="1"/>
  <c r="E8478" i="2"/>
  <c r="G8478" i="2" s="1"/>
  <c r="E8463" i="2"/>
  <c r="G8463" i="2" s="1"/>
  <c r="D8463" i="2"/>
  <c r="C8463" i="2"/>
  <c r="D8462" i="2"/>
  <c r="C8462" i="2"/>
  <c r="E8461" i="2"/>
  <c r="G8461" i="2" s="1"/>
  <c r="D8461" i="2"/>
  <c r="C8461" i="2"/>
  <c r="E8460" i="2"/>
  <c r="G8460" i="2" s="1"/>
  <c r="D8460" i="2"/>
  <c r="C8460" i="2"/>
  <c r="D8459" i="2"/>
  <c r="C8459" i="2"/>
  <c r="D8458" i="2"/>
  <c r="C8458" i="2"/>
  <c r="E8457" i="2"/>
  <c r="G8457" i="2" s="1"/>
  <c r="D8457" i="2"/>
  <c r="C8457" i="2"/>
  <c r="E8456" i="2"/>
  <c r="G8456" i="2" s="1"/>
  <c r="D8456" i="2"/>
  <c r="C8456" i="2"/>
  <c r="E8455" i="2"/>
  <c r="G8455" i="2" s="1"/>
  <c r="D8455" i="2"/>
  <c r="C8455" i="2"/>
  <c r="E8454" i="2"/>
  <c r="G8454" i="2" s="1"/>
  <c r="D8454" i="2"/>
  <c r="C8454" i="2"/>
  <c r="Q11" i="7"/>
  <c r="R11" i="7" s="1"/>
  <c r="M4" i="7"/>
  <c r="G8572" i="2" l="1"/>
  <c r="G8528" i="2"/>
  <c r="G8959" i="2"/>
  <c r="G8963" i="2"/>
  <c r="G8965" i="2"/>
  <c r="G8915" i="2"/>
  <c r="G8921" i="2"/>
  <c r="G8924" i="2" s="1"/>
  <c r="G8880" i="2"/>
  <c r="G8836" i="2"/>
  <c r="G8792" i="2"/>
  <c r="G8748" i="2"/>
  <c r="G8704" i="2"/>
  <c r="G8660" i="2"/>
  <c r="G8616" i="2"/>
  <c r="G8484" i="2"/>
  <c r="C12" i="7"/>
  <c r="C10" i="7"/>
  <c r="E10" i="7" s="1"/>
  <c r="C9" i="7"/>
  <c r="C7" i="7"/>
  <c r="C6" i="7"/>
  <c r="C5" i="7"/>
  <c r="C22" i="7"/>
  <c r="G8445" i="2"/>
  <c r="G8439" i="2"/>
  <c r="G8438" i="2"/>
  <c r="E8437" i="2"/>
  <c r="G8437" i="2" s="1"/>
  <c r="E8436" i="2"/>
  <c r="G8436" i="2" s="1"/>
  <c r="E8435" i="2"/>
  <c r="G8435" i="2" s="1"/>
  <c r="E8434" i="2"/>
  <c r="G8434" i="2" s="1"/>
  <c r="E8416" i="2"/>
  <c r="G8416" i="2" s="1"/>
  <c r="D8416" i="2"/>
  <c r="C8416" i="2"/>
  <c r="E8415" i="2"/>
  <c r="G8415" i="2" s="1"/>
  <c r="D8415" i="2"/>
  <c r="C8415" i="2"/>
  <c r="E8414" i="2"/>
  <c r="G8414" i="2" s="1"/>
  <c r="D8414" i="2"/>
  <c r="C8414" i="2"/>
  <c r="E8413" i="2"/>
  <c r="G8413" i="2" s="1"/>
  <c r="D8413" i="2"/>
  <c r="C8413" i="2"/>
  <c r="E8412" i="2"/>
  <c r="G8412" i="2" s="1"/>
  <c r="D8412" i="2"/>
  <c r="C8412" i="2"/>
  <c r="E8411" i="2"/>
  <c r="G8411" i="2" s="1"/>
  <c r="D8411" i="2"/>
  <c r="C8411" i="2"/>
  <c r="E8410" i="2"/>
  <c r="G8410" i="2" s="1"/>
  <c r="D8410" i="2"/>
  <c r="C8410" i="2"/>
  <c r="G8401" i="2"/>
  <c r="G8395" i="2"/>
  <c r="G8394" i="2"/>
  <c r="E8393" i="2"/>
  <c r="G8393" i="2" s="1"/>
  <c r="E8392" i="2"/>
  <c r="G8392" i="2" s="1"/>
  <c r="E8391" i="2"/>
  <c r="G8391" i="2" s="1"/>
  <c r="E8390" i="2"/>
  <c r="G8390" i="2" s="1"/>
  <c r="E8368" i="2"/>
  <c r="G8368" i="2" s="1"/>
  <c r="D8368" i="2"/>
  <c r="C8368" i="2"/>
  <c r="E8367" i="2"/>
  <c r="G8367" i="2" s="1"/>
  <c r="D8367" i="2"/>
  <c r="C8367" i="2"/>
  <c r="E8366" i="2"/>
  <c r="G8366" i="2" s="1"/>
  <c r="D8366" i="2"/>
  <c r="C8366" i="2"/>
  <c r="E8328" i="2"/>
  <c r="G8328" i="2" s="1"/>
  <c r="D8328" i="2"/>
  <c r="C8328" i="2"/>
  <c r="E8327" i="2"/>
  <c r="G8327" i="2" s="1"/>
  <c r="D8327" i="2"/>
  <c r="C8327" i="2"/>
  <c r="E8326" i="2"/>
  <c r="G8326" i="2" s="1"/>
  <c r="D8326" i="2"/>
  <c r="C8326" i="2"/>
  <c r="E8325" i="2"/>
  <c r="G8325" i="2" s="1"/>
  <c r="D8325" i="2"/>
  <c r="C8325" i="2"/>
  <c r="E8324" i="2"/>
  <c r="G8324" i="2" s="1"/>
  <c r="D8324" i="2"/>
  <c r="C8324" i="2"/>
  <c r="G8357" i="2"/>
  <c r="G8351" i="2"/>
  <c r="G8350" i="2"/>
  <c r="E8349" i="2"/>
  <c r="G8349" i="2" s="1"/>
  <c r="E8348" i="2"/>
  <c r="G8348" i="2" s="1"/>
  <c r="E8347" i="2"/>
  <c r="G8347" i="2" s="1"/>
  <c r="E8346" i="2"/>
  <c r="G8346" i="2" s="1"/>
  <c r="E8323" i="2"/>
  <c r="G8323" i="2" s="1"/>
  <c r="D8323" i="2"/>
  <c r="C8323" i="2"/>
  <c r="E8322" i="2"/>
  <c r="G8322" i="2" s="1"/>
  <c r="D8322" i="2"/>
  <c r="C8322" i="2"/>
  <c r="G8313" i="2"/>
  <c r="G8307" i="2"/>
  <c r="G8306" i="2"/>
  <c r="E8305" i="2"/>
  <c r="G8305" i="2" s="1"/>
  <c r="E8304" i="2"/>
  <c r="G8304" i="2" s="1"/>
  <c r="E8303" i="2"/>
  <c r="G8303" i="2" s="1"/>
  <c r="E8302" i="2"/>
  <c r="G8302" i="2" s="1"/>
  <c r="E8279" i="2"/>
  <c r="G8279" i="2" s="1"/>
  <c r="D8279" i="2"/>
  <c r="C8279" i="2"/>
  <c r="E8278" i="2"/>
  <c r="G8278" i="2" s="1"/>
  <c r="D8278" i="2"/>
  <c r="C8278" i="2"/>
  <c r="G8269" i="2"/>
  <c r="G8263" i="2"/>
  <c r="G8262" i="2"/>
  <c r="E8261" i="2"/>
  <c r="G8261" i="2" s="1"/>
  <c r="E8260" i="2"/>
  <c r="G8260" i="2" s="1"/>
  <c r="E8259" i="2"/>
  <c r="G8259" i="2" s="1"/>
  <c r="E8258" i="2"/>
  <c r="G8258" i="2" s="1"/>
  <c r="E8238" i="2"/>
  <c r="G8238" i="2" s="1"/>
  <c r="D8238" i="2"/>
  <c r="C8238" i="2"/>
  <c r="E8237" i="2"/>
  <c r="G8237" i="2" s="1"/>
  <c r="D8237" i="2"/>
  <c r="C8237" i="2"/>
  <c r="E8236" i="2"/>
  <c r="G8236" i="2" s="1"/>
  <c r="D8236" i="2"/>
  <c r="C8236" i="2"/>
  <c r="E8235" i="2"/>
  <c r="G8235" i="2" s="1"/>
  <c r="D8235" i="2"/>
  <c r="C8235" i="2"/>
  <c r="E8234" i="2"/>
  <c r="G8234" i="2" s="1"/>
  <c r="D8234" i="2"/>
  <c r="C8234" i="2"/>
  <c r="G8225" i="2"/>
  <c r="G8219" i="2"/>
  <c r="G8218" i="2"/>
  <c r="E8217" i="2"/>
  <c r="G8217" i="2" s="1"/>
  <c r="E8216" i="2"/>
  <c r="G8216" i="2" s="1"/>
  <c r="E8215" i="2"/>
  <c r="G8215" i="2" s="1"/>
  <c r="E8214" i="2"/>
  <c r="G8214" i="2" s="1"/>
  <c r="E8194" i="2"/>
  <c r="G8194" i="2" s="1"/>
  <c r="D8194" i="2"/>
  <c r="C8194" i="2"/>
  <c r="E8193" i="2"/>
  <c r="G8193" i="2" s="1"/>
  <c r="D8193" i="2"/>
  <c r="C8193" i="2"/>
  <c r="E8192" i="2"/>
  <c r="G8192" i="2" s="1"/>
  <c r="D8192" i="2"/>
  <c r="C8192" i="2"/>
  <c r="E8191" i="2"/>
  <c r="G8191" i="2" s="1"/>
  <c r="D8191" i="2"/>
  <c r="C8191" i="2"/>
  <c r="E8190" i="2"/>
  <c r="G8190" i="2" s="1"/>
  <c r="D8190" i="2"/>
  <c r="C8190" i="2"/>
  <c r="G8181" i="2"/>
  <c r="G8175" i="2"/>
  <c r="G8174" i="2"/>
  <c r="E8173" i="2"/>
  <c r="G8173" i="2" s="1"/>
  <c r="E8172" i="2"/>
  <c r="G8172" i="2" s="1"/>
  <c r="E8171" i="2"/>
  <c r="G8171" i="2" s="1"/>
  <c r="E8170" i="2"/>
  <c r="G8170" i="2" s="1"/>
  <c r="E8150" i="2"/>
  <c r="G8150" i="2" s="1"/>
  <c r="D8150" i="2"/>
  <c r="C8150" i="2"/>
  <c r="E8149" i="2"/>
  <c r="G8149" i="2" s="1"/>
  <c r="D8149" i="2"/>
  <c r="C8149" i="2"/>
  <c r="E8148" i="2"/>
  <c r="G8148" i="2" s="1"/>
  <c r="D8148" i="2"/>
  <c r="C8148" i="2"/>
  <c r="E8147" i="2"/>
  <c r="G8147" i="2" s="1"/>
  <c r="D8147" i="2"/>
  <c r="C8147" i="2"/>
  <c r="E8146" i="2"/>
  <c r="G8146" i="2" s="1"/>
  <c r="D8146" i="2"/>
  <c r="C8146" i="2"/>
  <c r="E8110" i="2"/>
  <c r="G8110" i="2" s="1"/>
  <c r="D8110" i="2"/>
  <c r="C8110" i="2"/>
  <c r="E8109" i="2"/>
  <c r="G8109" i="2" s="1"/>
  <c r="D8109" i="2"/>
  <c r="C8109" i="2"/>
  <c r="E8108" i="2"/>
  <c r="G8108" i="2" s="1"/>
  <c r="D8108" i="2"/>
  <c r="C8108" i="2"/>
  <c r="E8107" i="2"/>
  <c r="G8107" i="2" s="1"/>
  <c r="D8107" i="2"/>
  <c r="C8107" i="2"/>
  <c r="D8106" i="2"/>
  <c r="C8106" i="2"/>
  <c r="E8104" i="2"/>
  <c r="G8104" i="2" s="1"/>
  <c r="D8104" i="2"/>
  <c r="C8104" i="2"/>
  <c r="E8103" i="2"/>
  <c r="G8103" i="2" s="1"/>
  <c r="D8103" i="2"/>
  <c r="C8103" i="2"/>
  <c r="G8137" i="2"/>
  <c r="G8131" i="2"/>
  <c r="G8130" i="2"/>
  <c r="E8129" i="2"/>
  <c r="G8129" i="2" s="1"/>
  <c r="E8128" i="2"/>
  <c r="G8128" i="2" s="1"/>
  <c r="E8127" i="2"/>
  <c r="G8127" i="2" s="1"/>
  <c r="E8126" i="2"/>
  <c r="G8126" i="2" s="1"/>
  <c r="E8102" i="2"/>
  <c r="G8102" i="2" s="1"/>
  <c r="D8102" i="2"/>
  <c r="C8102" i="2"/>
  <c r="E7982" i="2"/>
  <c r="G7982" i="2" s="1"/>
  <c r="D7982" i="2"/>
  <c r="C7982" i="2"/>
  <c r="E7981" i="2"/>
  <c r="G7981" i="2" s="1"/>
  <c r="D7981" i="2"/>
  <c r="C7981" i="2"/>
  <c r="E7980" i="2"/>
  <c r="G7980" i="2" s="1"/>
  <c r="D7980" i="2"/>
  <c r="C7980" i="2"/>
  <c r="E7979" i="2"/>
  <c r="G7979" i="2" s="1"/>
  <c r="D7979" i="2"/>
  <c r="C7979" i="2"/>
  <c r="D7978" i="2"/>
  <c r="C7978" i="2"/>
  <c r="E7976" i="2"/>
  <c r="G7976" i="2" s="1"/>
  <c r="D7976" i="2"/>
  <c r="C7976" i="2"/>
  <c r="E7975" i="2"/>
  <c r="G7975" i="2" s="1"/>
  <c r="D7975" i="2"/>
  <c r="C7975" i="2"/>
  <c r="E7974" i="2"/>
  <c r="G7974" i="2" s="1"/>
  <c r="D7974" i="2"/>
  <c r="C7974" i="2"/>
  <c r="E7973" i="2"/>
  <c r="G7973" i="2" s="1"/>
  <c r="D7973" i="2"/>
  <c r="C7973" i="2"/>
  <c r="E8068" i="2"/>
  <c r="G8068" i="2" s="1"/>
  <c r="D8068" i="2"/>
  <c r="C8068" i="2"/>
  <c r="E8067" i="2"/>
  <c r="G8067" i="2" s="1"/>
  <c r="D8067" i="2"/>
  <c r="C8067" i="2"/>
  <c r="E8066" i="2"/>
  <c r="G8066" i="2" s="1"/>
  <c r="D8066" i="2"/>
  <c r="C8066" i="2"/>
  <c r="E8065" i="2"/>
  <c r="G8065" i="2" s="1"/>
  <c r="D8065" i="2"/>
  <c r="C8065" i="2"/>
  <c r="D8064" i="2"/>
  <c r="C8064" i="2"/>
  <c r="E8062" i="2"/>
  <c r="G8062" i="2" s="1"/>
  <c r="D8062" i="2"/>
  <c r="C8062" i="2"/>
  <c r="E8061" i="2"/>
  <c r="G8061" i="2" s="1"/>
  <c r="D8061" i="2"/>
  <c r="C8061" i="2"/>
  <c r="E8060" i="2"/>
  <c r="G8060" i="2" s="1"/>
  <c r="D8060" i="2"/>
  <c r="C8060" i="2"/>
  <c r="E8059" i="2"/>
  <c r="G8059" i="2" s="1"/>
  <c r="D8059" i="2"/>
  <c r="C8059" i="2"/>
  <c r="E8058" i="2"/>
  <c r="G8058" i="2" s="1"/>
  <c r="D8058" i="2"/>
  <c r="C8058" i="2"/>
  <c r="G8093" i="2"/>
  <c r="G8087" i="2"/>
  <c r="G8086" i="2"/>
  <c r="E8085" i="2"/>
  <c r="G8085" i="2" s="1"/>
  <c r="E8084" i="2"/>
  <c r="G8084" i="2" s="1"/>
  <c r="E8083" i="2"/>
  <c r="G8083" i="2" s="1"/>
  <c r="E8082" i="2"/>
  <c r="G8082" i="2" s="1"/>
  <c r="G8049" i="2"/>
  <c r="G8043" i="2"/>
  <c r="G8042" i="2"/>
  <c r="E8041" i="2"/>
  <c r="G8041" i="2" s="1"/>
  <c r="E8040" i="2"/>
  <c r="G8040" i="2" s="1"/>
  <c r="E8039" i="2"/>
  <c r="G8039" i="2" s="1"/>
  <c r="E8038" i="2"/>
  <c r="G8038" i="2" s="1"/>
  <c r="E8018" i="2"/>
  <c r="G8018" i="2" s="1"/>
  <c r="D8018" i="2"/>
  <c r="C8018" i="2"/>
  <c r="E8017" i="2"/>
  <c r="G8017" i="2" s="1"/>
  <c r="D8017" i="2"/>
  <c r="C8017" i="2"/>
  <c r="D8016" i="2"/>
  <c r="C8016" i="2"/>
  <c r="E8015" i="2"/>
  <c r="G8015" i="2" s="1"/>
  <c r="D8015" i="2"/>
  <c r="C8015" i="2"/>
  <c r="D8014" i="2"/>
  <c r="C8014" i="2"/>
  <c r="G8005" i="2"/>
  <c r="G7999" i="2"/>
  <c r="G7998" i="2"/>
  <c r="E7997" i="2"/>
  <c r="G7997" i="2" s="1"/>
  <c r="E7996" i="2"/>
  <c r="G7996" i="2" s="1"/>
  <c r="E7995" i="2"/>
  <c r="G7995" i="2" s="1"/>
  <c r="E7994" i="2"/>
  <c r="G7994" i="2" s="1"/>
  <c r="E7972" i="2"/>
  <c r="G7972" i="2" s="1"/>
  <c r="D7972" i="2"/>
  <c r="C7972" i="2"/>
  <c r="E7971" i="2"/>
  <c r="G7971" i="2" s="1"/>
  <c r="D7971" i="2"/>
  <c r="C7971" i="2"/>
  <c r="E7970" i="2"/>
  <c r="G7970" i="2" s="1"/>
  <c r="D7970" i="2"/>
  <c r="C7970" i="2"/>
  <c r="E7804" i="2"/>
  <c r="G7804" i="2" s="1"/>
  <c r="D7804" i="2"/>
  <c r="C7804" i="2"/>
  <c r="E7803" i="2"/>
  <c r="G7803" i="2" s="1"/>
  <c r="D7803" i="2"/>
  <c r="C7803" i="2"/>
  <c r="E7802" i="2"/>
  <c r="G7802" i="2" s="1"/>
  <c r="D7802" i="2"/>
  <c r="C7802" i="2"/>
  <c r="E7801" i="2"/>
  <c r="G7801" i="2" s="1"/>
  <c r="D7801" i="2"/>
  <c r="C7801" i="2"/>
  <c r="D7800" i="2"/>
  <c r="C7800" i="2"/>
  <c r="G7961" i="2"/>
  <c r="G7955" i="2"/>
  <c r="G7954" i="2"/>
  <c r="E7953" i="2"/>
  <c r="G7953" i="2" s="1"/>
  <c r="E7952" i="2"/>
  <c r="G7952" i="2" s="1"/>
  <c r="E7951" i="2"/>
  <c r="G7951" i="2" s="1"/>
  <c r="E7950" i="2"/>
  <c r="G7950" i="2" s="1"/>
  <c r="E7933" i="2"/>
  <c r="G7933" i="2" s="1"/>
  <c r="D7933" i="2"/>
  <c r="C7933" i="2"/>
  <c r="E7932" i="2"/>
  <c r="G7932" i="2" s="1"/>
  <c r="D7932" i="2"/>
  <c r="C7932" i="2"/>
  <c r="E7931" i="2"/>
  <c r="G7931" i="2" s="1"/>
  <c r="D7931" i="2"/>
  <c r="C7931" i="2"/>
  <c r="E7930" i="2"/>
  <c r="G7930" i="2" s="1"/>
  <c r="D7930" i="2"/>
  <c r="C7930" i="2"/>
  <c r="E7928" i="2"/>
  <c r="G7928" i="2" s="1"/>
  <c r="D7928" i="2"/>
  <c r="C7928" i="2"/>
  <c r="E7927" i="2"/>
  <c r="G7927" i="2" s="1"/>
  <c r="D7927" i="2"/>
  <c r="C7927" i="2"/>
  <c r="E7926" i="2"/>
  <c r="G7926" i="2" s="1"/>
  <c r="D7926" i="2"/>
  <c r="C7926" i="2"/>
  <c r="E7889" i="2"/>
  <c r="G7889" i="2" s="1"/>
  <c r="D7889" i="2"/>
  <c r="C7889" i="2"/>
  <c r="E7888" i="2"/>
  <c r="G7888" i="2" s="1"/>
  <c r="D7888" i="2"/>
  <c r="C7888" i="2"/>
  <c r="E7887" i="2"/>
  <c r="G7887" i="2" s="1"/>
  <c r="D7887" i="2"/>
  <c r="C7887" i="2"/>
  <c r="E7886" i="2"/>
  <c r="G7886" i="2" s="1"/>
  <c r="D7886" i="2"/>
  <c r="C7886" i="2"/>
  <c r="E13" i="7"/>
  <c r="G7917" i="2"/>
  <c r="G7911" i="2"/>
  <c r="G7910" i="2"/>
  <c r="G7909" i="2"/>
  <c r="E7909" i="2"/>
  <c r="E7908" i="2"/>
  <c r="G7908" i="2" s="1"/>
  <c r="E7907" i="2"/>
  <c r="G7907" i="2" s="1"/>
  <c r="E7906" i="2"/>
  <c r="G7906" i="2" s="1"/>
  <c r="E7884" i="2"/>
  <c r="G7884" i="2" s="1"/>
  <c r="D7884" i="2"/>
  <c r="C7884" i="2"/>
  <c r="E7883" i="2"/>
  <c r="G7883" i="2" s="1"/>
  <c r="D7883" i="2"/>
  <c r="C7883" i="2"/>
  <c r="E7882" i="2"/>
  <c r="G7882" i="2" s="1"/>
  <c r="D7882" i="2"/>
  <c r="C7882" i="2"/>
  <c r="E7841" i="2"/>
  <c r="G7841" i="2" s="1"/>
  <c r="D7841" i="2"/>
  <c r="C7841" i="2"/>
  <c r="E12" i="7"/>
  <c r="E11" i="7"/>
  <c r="E7798" i="2"/>
  <c r="G7798" i="2" s="1"/>
  <c r="D7798" i="2"/>
  <c r="C7798" i="2"/>
  <c r="E7797" i="2"/>
  <c r="G7797" i="2" s="1"/>
  <c r="D7797" i="2"/>
  <c r="C7797" i="2"/>
  <c r="E7796" i="2"/>
  <c r="G7796" i="2" s="1"/>
  <c r="D7796" i="2"/>
  <c r="C7796" i="2"/>
  <c r="E7795" i="2"/>
  <c r="G7795" i="2" s="1"/>
  <c r="D7795" i="2"/>
  <c r="C7795" i="2"/>
  <c r="E7794" i="2"/>
  <c r="G7794" i="2" s="1"/>
  <c r="D7794" i="2"/>
  <c r="C7794" i="2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G7873" i="2"/>
  <c r="G7867" i="2"/>
  <c r="G7866" i="2"/>
  <c r="E7865" i="2"/>
  <c r="G7865" i="2" s="1"/>
  <c r="E7864" i="2"/>
  <c r="G7864" i="2" s="1"/>
  <c r="E7863" i="2"/>
  <c r="G7863" i="2" s="1"/>
  <c r="E7862" i="2"/>
  <c r="G7862" i="2" s="1"/>
  <c r="E7846" i="2"/>
  <c r="G7846" i="2" s="1"/>
  <c r="D7846" i="2"/>
  <c r="C7846" i="2"/>
  <c r="E7845" i="2"/>
  <c r="G7845" i="2" s="1"/>
  <c r="D7845" i="2"/>
  <c r="C7845" i="2"/>
  <c r="E7844" i="2"/>
  <c r="G7844" i="2" s="1"/>
  <c r="D7844" i="2"/>
  <c r="C7844" i="2"/>
  <c r="E7843" i="2"/>
  <c r="G7843" i="2" s="1"/>
  <c r="D7843" i="2"/>
  <c r="C7843" i="2"/>
  <c r="E7842" i="2"/>
  <c r="G7842" i="2" s="1"/>
  <c r="D7842" i="2"/>
  <c r="C7842" i="2"/>
  <c r="E7840" i="2"/>
  <c r="G7840" i="2" s="1"/>
  <c r="D7840" i="2"/>
  <c r="C7840" i="2"/>
  <c r="E7839" i="2"/>
  <c r="G7839" i="2" s="1"/>
  <c r="D7839" i="2"/>
  <c r="C7839" i="2"/>
  <c r="E7838" i="2"/>
  <c r="G7838" i="2" s="1"/>
  <c r="D7838" i="2"/>
  <c r="C7838" i="2"/>
  <c r="G7829" i="2"/>
  <c r="G7823" i="2"/>
  <c r="G7822" i="2"/>
  <c r="E7821" i="2"/>
  <c r="G7821" i="2" s="1"/>
  <c r="E7820" i="2"/>
  <c r="G7820" i="2" s="1"/>
  <c r="E7819" i="2"/>
  <c r="G7819" i="2" s="1"/>
  <c r="G7818" i="2"/>
  <c r="E7818" i="2"/>
  <c r="E7582" i="2"/>
  <c r="G7582" i="2" s="1"/>
  <c r="D7582" i="2"/>
  <c r="C7582" i="2"/>
  <c r="E7581" i="2"/>
  <c r="G7581" i="2" s="1"/>
  <c r="D7581" i="2"/>
  <c r="C7581" i="2"/>
  <c r="E7580" i="2"/>
  <c r="G7580" i="2" s="1"/>
  <c r="D7580" i="2"/>
  <c r="C7580" i="2"/>
  <c r="E7579" i="2"/>
  <c r="G7579" i="2" s="1"/>
  <c r="D7579" i="2"/>
  <c r="C7579" i="2"/>
  <c r="D7578" i="2"/>
  <c r="C7578" i="2"/>
  <c r="E7576" i="2"/>
  <c r="G7576" i="2" s="1"/>
  <c r="D7576" i="2"/>
  <c r="C7576" i="2"/>
  <c r="E7575" i="2"/>
  <c r="G7575" i="2" s="1"/>
  <c r="D7575" i="2"/>
  <c r="C7575" i="2"/>
  <c r="E7574" i="2"/>
  <c r="G7574" i="2" s="1"/>
  <c r="D7574" i="2"/>
  <c r="C7574" i="2"/>
  <c r="E7755" i="2"/>
  <c r="G7755" i="2" s="1"/>
  <c r="D7755" i="2"/>
  <c r="C7755" i="2"/>
  <c r="G7785" i="2"/>
  <c r="G7779" i="2"/>
  <c r="G7778" i="2"/>
  <c r="E7777" i="2"/>
  <c r="G7777" i="2" s="1"/>
  <c r="E7776" i="2"/>
  <c r="G7776" i="2" s="1"/>
  <c r="E7775" i="2"/>
  <c r="G7775" i="2" s="1"/>
  <c r="E7774" i="2"/>
  <c r="G7774" i="2" s="1"/>
  <c r="E7754" i="2"/>
  <c r="G7754" i="2" s="1"/>
  <c r="D7754" i="2"/>
  <c r="C7754" i="2"/>
  <c r="D7753" i="2"/>
  <c r="C7753" i="2"/>
  <c r="D7752" i="2"/>
  <c r="C7752" i="2"/>
  <c r="D7751" i="2"/>
  <c r="C7751" i="2"/>
  <c r="D7750" i="2"/>
  <c r="C7750" i="2"/>
  <c r="G7741" i="2"/>
  <c r="G7735" i="2"/>
  <c r="G7734" i="2"/>
  <c r="E7733" i="2"/>
  <c r="G7733" i="2" s="1"/>
  <c r="E7732" i="2"/>
  <c r="G7732" i="2" s="1"/>
  <c r="E7731" i="2"/>
  <c r="G7731" i="2" s="1"/>
  <c r="E7730" i="2"/>
  <c r="G7730" i="2" s="1"/>
  <c r="E7711" i="2"/>
  <c r="G7711" i="2" s="1"/>
  <c r="D7711" i="2"/>
  <c r="C7711" i="2"/>
  <c r="E7710" i="2"/>
  <c r="G7710" i="2" s="1"/>
  <c r="D7710" i="2"/>
  <c r="C7710" i="2"/>
  <c r="E7709" i="2"/>
  <c r="G7709" i="2" s="1"/>
  <c r="D7709" i="2"/>
  <c r="C7709" i="2"/>
  <c r="E7708" i="2"/>
  <c r="G7708" i="2" s="1"/>
  <c r="D7708" i="2"/>
  <c r="C7708" i="2"/>
  <c r="E7707" i="2"/>
  <c r="G7707" i="2" s="1"/>
  <c r="D7707" i="2"/>
  <c r="C7707" i="2"/>
  <c r="E7706" i="2"/>
  <c r="G7706" i="2" s="1"/>
  <c r="D7706" i="2"/>
  <c r="C7706" i="2"/>
  <c r="G7697" i="2"/>
  <c r="G7691" i="2"/>
  <c r="G7690" i="2"/>
  <c r="G7689" i="2"/>
  <c r="E7689" i="2"/>
  <c r="E7688" i="2"/>
  <c r="G7688" i="2" s="1"/>
  <c r="E7687" i="2"/>
  <c r="G7687" i="2" s="1"/>
  <c r="E7686" i="2"/>
  <c r="G7686" i="2" s="1"/>
  <c r="E7666" i="2"/>
  <c r="G7666" i="2" s="1"/>
  <c r="D7666" i="2"/>
  <c r="C7666" i="2"/>
  <c r="D7665" i="2"/>
  <c r="C7665" i="2"/>
  <c r="D7664" i="2"/>
  <c r="C7664" i="2"/>
  <c r="D7663" i="2"/>
  <c r="C7663" i="2"/>
  <c r="D7662" i="2"/>
  <c r="C7662" i="2"/>
  <c r="G7653" i="2"/>
  <c r="G7647" i="2"/>
  <c r="G7646" i="2"/>
  <c r="E7645" i="2"/>
  <c r="G7645" i="2" s="1"/>
  <c r="E7644" i="2"/>
  <c r="G7644" i="2" s="1"/>
  <c r="E7643" i="2"/>
  <c r="G7643" i="2" s="1"/>
  <c r="E7642" i="2"/>
  <c r="G7642" i="2" s="1"/>
  <c r="E7622" i="2"/>
  <c r="G7622" i="2" s="1"/>
  <c r="D7622" i="2"/>
  <c r="C7622" i="2"/>
  <c r="D7621" i="2"/>
  <c r="C7621" i="2"/>
  <c r="E7620" i="2"/>
  <c r="G7620" i="2" s="1"/>
  <c r="D7620" i="2"/>
  <c r="C7620" i="2"/>
  <c r="D7619" i="2"/>
  <c r="C7619" i="2"/>
  <c r="E7618" i="2"/>
  <c r="G7618" i="2" s="1"/>
  <c r="D7618" i="2"/>
  <c r="C7618" i="2"/>
  <c r="G7609" i="2"/>
  <c r="G7603" i="2"/>
  <c r="G7602" i="2"/>
  <c r="E7601" i="2"/>
  <c r="G7601" i="2" s="1"/>
  <c r="E7600" i="2"/>
  <c r="G7600" i="2" s="1"/>
  <c r="E7599" i="2"/>
  <c r="G7599" i="2" s="1"/>
  <c r="E7598" i="2"/>
  <c r="G7598" i="2" s="1"/>
  <c r="G7565" i="2"/>
  <c r="G7559" i="2"/>
  <c r="G7558" i="2"/>
  <c r="E7557" i="2"/>
  <c r="G7557" i="2" s="1"/>
  <c r="E7556" i="2"/>
  <c r="G7556" i="2" s="1"/>
  <c r="E7555" i="2"/>
  <c r="G7555" i="2" s="1"/>
  <c r="E7554" i="2"/>
  <c r="G7554" i="2" s="1"/>
  <c r="E7534" i="2"/>
  <c r="G7534" i="2" s="1"/>
  <c r="D7534" i="2"/>
  <c r="C7534" i="2"/>
  <c r="D7533" i="2"/>
  <c r="C7533" i="2"/>
  <c r="D7532" i="2"/>
  <c r="C7532" i="2"/>
  <c r="D7531" i="2"/>
  <c r="C7531" i="2"/>
  <c r="D7530" i="2"/>
  <c r="C7530" i="2"/>
  <c r="G7521" i="2"/>
  <c r="G7515" i="2"/>
  <c r="G7514" i="2"/>
  <c r="E7513" i="2"/>
  <c r="G7513" i="2" s="1"/>
  <c r="E7512" i="2"/>
  <c r="G7512" i="2" s="1"/>
  <c r="E7511" i="2"/>
  <c r="G7511" i="2" s="1"/>
  <c r="E7510" i="2"/>
  <c r="G7510" i="2" s="1"/>
  <c r="E7491" i="2"/>
  <c r="G7491" i="2" s="1"/>
  <c r="D7491" i="2"/>
  <c r="C7491" i="2"/>
  <c r="E7490" i="2"/>
  <c r="G7490" i="2" s="1"/>
  <c r="D7490" i="2"/>
  <c r="C7490" i="2"/>
  <c r="E7489" i="2"/>
  <c r="G7489" i="2" s="1"/>
  <c r="D7489" i="2"/>
  <c r="C7489" i="2"/>
  <c r="E7488" i="2"/>
  <c r="G7488" i="2" s="1"/>
  <c r="D7488" i="2"/>
  <c r="C7488" i="2"/>
  <c r="E7487" i="2"/>
  <c r="G7487" i="2" s="1"/>
  <c r="D7487" i="2"/>
  <c r="C7487" i="2"/>
  <c r="E7486" i="2"/>
  <c r="G7486" i="2" s="1"/>
  <c r="D7486" i="2"/>
  <c r="C7486" i="2"/>
  <c r="E7451" i="2"/>
  <c r="G7451" i="2" s="1"/>
  <c r="D7451" i="2"/>
  <c r="C7451" i="2"/>
  <c r="E4" i="7"/>
  <c r="E7450" i="2"/>
  <c r="G7450" i="2" s="1"/>
  <c r="D7450" i="2"/>
  <c r="C7450" i="2"/>
  <c r="D7449" i="2"/>
  <c r="C7449" i="2"/>
  <c r="E7448" i="2"/>
  <c r="G7448" i="2" s="1"/>
  <c r="D7448" i="2"/>
  <c r="C7448" i="2"/>
  <c r="D7447" i="2"/>
  <c r="C7447" i="2"/>
  <c r="G7477" i="2"/>
  <c r="G7471" i="2"/>
  <c r="G7470" i="2"/>
  <c r="E7469" i="2"/>
  <c r="G7469" i="2" s="1"/>
  <c r="E7468" i="2"/>
  <c r="G7468" i="2" s="1"/>
  <c r="E7467" i="2"/>
  <c r="G7467" i="2" s="1"/>
  <c r="E7466" i="2"/>
  <c r="G7466" i="2" s="1"/>
  <c r="E7446" i="2"/>
  <c r="G7446" i="2" s="1"/>
  <c r="D7446" i="2"/>
  <c r="C7446" i="2"/>
  <c r="D7445" i="2"/>
  <c r="C7445" i="2"/>
  <c r="E7444" i="2"/>
  <c r="G7444" i="2" s="1"/>
  <c r="D7444" i="2"/>
  <c r="C7444" i="2"/>
  <c r="D7443" i="2"/>
  <c r="C7443" i="2"/>
  <c r="E7442" i="2"/>
  <c r="G7442" i="2" s="1"/>
  <c r="D7442" i="2"/>
  <c r="C7442" i="2"/>
  <c r="G7433" i="2"/>
  <c r="G7427" i="2"/>
  <c r="G7426" i="2"/>
  <c r="E7425" i="2"/>
  <c r="G7425" i="2" s="1"/>
  <c r="E7424" i="2"/>
  <c r="G7424" i="2" s="1"/>
  <c r="E7423" i="2"/>
  <c r="G7423" i="2" s="1"/>
  <c r="E7422" i="2"/>
  <c r="G7422" i="2" s="1"/>
  <c r="E7399" i="2"/>
  <c r="G7399" i="2" s="1"/>
  <c r="D7399" i="2"/>
  <c r="C7399" i="2"/>
  <c r="E7398" i="2"/>
  <c r="G7398" i="2" s="1"/>
  <c r="D7398" i="2"/>
  <c r="C7398" i="2"/>
  <c r="G7389" i="2"/>
  <c r="G7383" i="2"/>
  <c r="G7382" i="2"/>
  <c r="E7381" i="2"/>
  <c r="G7381" i="2" s="1"/>
  <c r="E7380" i="2"/>
  <c r="G7380" i="2" s="1"/>
  <c r="E7379" i="2"/>
  <c r="G7379" i="2" s="1"/>
  <c r="E7378" i="2"/>
  <c r="G7378" i="2" s="1"/>
  <c r="E7355" i="2"/>
  <c r="G7355" i="2" s="1"/>
  <c r="D7355" i="2"/>
  <c r="C7355" i="2"/>
  <c r="E7354" i="2"/>
  <c r="G7354" i="2" s="1"/>
  <c r="D7354" i="2"/>
  <c r="C7354" i="2"/>
  <c r="G7345" i="2"/>
  <c r="G7339" i="2"/>
  <c r="G7338" i="2"/>
  <c r="E7337" i="2"/>
  <c r="G7337" i="2" s="1"/>
  <c r="E7336" i="2"/>
  <c r="G7336" i="2" s="1"/>
  <c r="E7335" i="2"/>
  <c r="G7335" i="2" s="1"/>
  <c r="E7334" i="2"/>
  <c r="G7334" i="2" s="1"/>
  <c r="E7311" i="2"/>
  <c r="G7311" i="2" s="1"/>
  <c r="D7311" i="2"/>
  <c r="C7311" i="2"/>
  <c r="E7310" i="2"/>
  <c r="G7310" i="2" s="1"/>
  <c r="D7310" i="2"/>
  <c r="C7310" i="2"/>
  <c r="G7301" i="2"/>
  <c r="G7295" i="2"/>
  <c r="G7294" i="2"/>
  <c r="E7293" i="2"/>
  <c r="G7293" i="2" s="1"/>
  <c r="E7292" i="2"/>
  <c r="G7292" i="2" s="1"/>
  <c r="E7291" i="2"/>
  <c r="G7291" i="2" s="1"/>
  <c r="E7290" i="2"/>
  <c r="G7290" i="2" s="1"/>
  <c r="E7267" i="2"/>
  <c r="G7267" i="2" s="1"/>
  <c r="D7267" i="2"/>
  <c r="C7267" i="2"/>
  <c r="E7266" i="2"/>
  <c r="G7266" i="2" s="1"/>
  <c r="D7266" i="2"/>
  <c r="C7266" i="2"/>
  <c r="G7780" i="2" l="1"/>
  <c r="G8968" i="2"/>
  <c r="G8431" i="2"/>
  <c r="G8440" i="2"/>
  <c r="G8387" i="2"/>
  <c r="G8396" i="2"/>
  <c r="G8343" i="2"/>
  <c r="G8352" i="2"/>
  <c r="G8299" i="2"/>
  <c r="G8308" i="2"/>
  <c r="G8255" i="2"/>
  <c r="G8264" i="2"/>
  <c r="G8220" i="2"/>
  <c r="G8211" i="2"/>
  <c r="G8167" i="2"/>
  <c r="G8176" i="2"/>
  <c r="G8132" i="2"/>
  <c r="G8088" i="2"/>
  <c r="G7947" i="2"/>
  <c r="G8044" i="2"/>
  <c r="G8000" i="2"/>
  <c r="G7956" i="2"/>
  <c r="G7912" i="2"/>
  <c r="G7903" i="2"/>
  <c r="G7868" i="2"/>
  <c r="G7859" i="2"/>
  <c r="G7824" i="2"/>
  <c r="G7727" i="2"/>
  <c r="G7736" i="2"/>
  <c r="G7692" i="2"/>
  <c r="G7648" i="2"/>
  <c r="G7604" i="2"/>
  <c r="G7560" i="2"/>
  <c r="G7516" i="2"/>
  <c r="G7507" i="2"/>
  <c r="G7472" i="2"/>
  <c r="G7419" i="2"/>
  <c r="G7428" i="2"/>
  <c r="G7375" i="2"/>
  <c r="G7384" i="2"/>
  <c r="G7331" i="2"/>
  <c r="G7340" i="2"/>
  <c r="G7287" i="2"/>
  <c r="G7296" i="2"/>
  <c r="E7227" i="2" l="1"/>
  <c r="G7227" i="2" s="1"/>
  <c r="D7227" i="2"/>
  <c r="C7227" i="2"/>
  <c r="D319" i="3"/>
  <c r="G7257" i="2"/>
  <c r="G7251" i="2"/>
  <c r="G7250" i="2"/>
  <c r="E7249" i="2"/>
  <c r="G7249" i="2" s="1"/>
  <c r="E7248" i="2"/>
  <c r="G7248" i="2" s="1"/>
  <c r="E7247" i="2"/>
  <c r="G7247" i="2" s="1"/>
  <c r="E7246" i="2"/>
  <c r="G7246" i="2" s="1"/>
  <c r="E7226" i="2"/>
  <c r="G7226" i="2" s="1"/>
  <c r="D7226" i="2"/>
  <c r="C7226" i="2"/>
  <c r="E7225" i="2"/>
  <c r="G7225" i="2" s="1"/>
  <c r="D7225" i="2"/>
  <c r="C7225" i="2"/>
  <c r="E7224" i="2"/>
  <c r="G7224" i="2" s="1"/>
  <c r="D7224" i="2"/>
  <c r="C7224" i="2"/>
  <c r="E7223" i="2"/>
  <c r="G7223" i="2" s="1"/>
  <c r="D7223" i="2"/>
  <c r="C7223" i="2"/>
  <c r="E7222" i="2"/>
  <c r="G7222" i="2" s="1"/>
  <c r="D7222" i="2"/>
  <c r="C7222" i="2"/>
  <c r="G7213" i="2"/>
  <c r="G7207" i="2"/>
  <c r="G7206" i="2"/>
  <c r="E7205" i="2"/>
  <c r="G7205" i="2" s="1"/>
  <c r="E7204" i="2"/>
  <c r="G7204" i="2" s="1"/>
  <c r="E7203" i="2"/>
  <c r="G7203" i="2" s="1"/>
  <c r="E7202" i="2"/>
  <c r="G7202" i="2" s="1"/>
  <c r="E7184" i="2"/>
  <c r="G7184" i="2" s="1"/>
  <c r="D7184" i="2"/>
  <c r="C7184" i="2"/>
  <c r="E7183" i="2"/>
  <c r="G7183" i="2" s="1"/>
  <c r="D7183" i="2"/>
  <c r="C7183" i="2"/>
  <c r="E7182" i="2"/>
  <c r="G7182" i="2" s="1"/>
  <c r="D7182" i="2"/>
  <c r="C7182" i="2"/>
  <c r="E7181" i="2"/>
  <c r="G7181" i="2" s="1"/>
  <c r="D7181" i="2"/>
  <c r="C7181" i="2"/>
  <c r="E7180" i="2"/>
  <c r="G7180" i="2" s="1"/>
  <c r="D7180" i="2"/>
  <c r="C7180" i="2"/>
  <c r="E7179" i="2"/>
  <c r="G7179" i="2" s="1"/>
  <c r="D7179" i="2"/>
  <c r="C7179" i="2"/>
  <c r="E7178" i="2"/>
  <c r="G7178" i="2" s="1"/>
  <c r="D7178" i="2"/>
  <c r="C7178" i="2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G7169" i="2"/>
  <c r="G7163" i="2"/>
  <c r="G7162" i="2"/>
  <c r="E7161" i="2"/>
  <c r="G7161" i="2" s="1"/>
  <c r="E7160" i="2"/>
  <c r="G7160" i="2" s="1"/>
  <c r="E7159" i="2"/>
  <c r="G7159" i="2" s="1"/>
  <c r="E7158" i="2"/>
  <c r="G7158" i="2" s="1"/>
  <c r="E7140" i="2"/>
  <c r="G7140" i="2" s="1"/>
  <c r="D7140" i="2"/>
  <c r="C7140" i="2"/>
  <c r="E7139" i="2"/>
  <c r="G7139" i="2" s="1"/>
  <c r="D7139" i="2"/>
  <c r="C7139" i="2"/>
  <c r="E7138" i="2"/>
  <c r="G7138" i="2" s="1"/>
  <c r="D7138" i="2"/>
  <c r="C7138" i="2"/>
  <c r="E7137" i="2"/>
  <c r="G7137" i="2" s="1"/>
  <c r="D7137" i="2"/>
  <c r="C7137" i="2"/>
  <c r="E7136" i="2"/>
  <c r="G7136" i="2" s="1"/>
  <c r="D7136" i="2"/>
  <c r="C7136" i="2"/>
  <c r="E7135" i="2"/>
  <c r="G7135" i="2" s="1"/>
  <c r="D7135" i="2"/>
  <c r="C7135" i="2"/>
  <c r="E7134" i="2"/>
  <c r="G7134" i="2" s="1"/>
  <c r="D7134" i="2"/>
  <c r="C7134" i="2"/>
  <c r="G7125" i="2"/>
  <c r="G7119" i="2"/>
  <c r="G7118" i="2"/>
  <c r="E7117" i="2"/>
  <c r="G7117" i="2" s="1"/>
  <c r="E7116" i="2"/>
  <c r="G7116" i="2" s="1"/>
  <c r="E7115" i="2"/>
  <c r="G7115" i="2" s="1"/>
  <c r="E7114" i="2"/>
  <c r="G7114" i="2" s="1"/>
  <c r="E7090" i="2"/>
  <c r="G7090" i="2" s="1"/>
  <c r="G7111" i="2" s="1"/>
  <c r="D7090" i="2"/>
  <c r="C7090" i="2"/>
  <c r="G7081" i="2"/>
  <c r="G7075" i="2"/>
  <c r="G7074" i="2"/>
  <c r="E7073" i="2"/>
  <c r="G7073" i="2" s="1"/>
  <c r="E7072" i="2"/>
  <c r="G7072" i="2" s="1"/>
  <c r="E7071" i="2"/>
  <c r="G7071" i="2" s="1"/>
  <c r="E7070" i="2"/>
  <c r="G7070" i="2" s="1"/>
  <c r="E7046" i="2"/>
  <c r="G7046" i="2" s="1"/>
  <c r="G7067" i="2" s="1"/>
  <c r="D7046" i="2"/>
  <c r="C7046" i="2"/>
  <c r="G7037" i="2"/>
  <c r="G7031" i="2"/>
  <c r="G7030" i="2"/>
  <c r="E7029" i="2"/>
  <c r="G7029" i="2" s="1"/>
  <c r="E7028" i="2"/>
  <c r="G7028" i="2" s="1"/>
  <c r="E7027" i="2"/>
  <c r="G7027" i="2" s="1"/>
  <c r="E7026" i="2"/>
  <c r="G7026" i="2" s="1"/>
  <c r="E7006" i="2"/>
  <c r="G7006" i="2" s="1"/>
  <c r="D7006" i="2"/>
  <c r="C7006" i="2"/>
  <c r="E7005" i="2"/>
  <c r="G7005" i="2" s="1"/>
  <c r="D7005" i="2"/>
  <c r="C7005" i="2"/>
  <c r="E7004" i="2"/>
  <c r="G7004" i="2" s="1"/>
  <c r="D7004" i="2"/>
  <c r="C7004" i="2"/>
  <c r="D7003" i="2"/>
  <c r="C7003" i="2"/>
  <c r="D7002" i="2"/>
  <c r="C7002" i="2"/>
  <c r="G6993" i="2"/>
  <c r="G6987" i="2"/>
  <c r="G6986" i="2"/>
  <c r="E6985" i="2"/>
  <c r="G6985" i="2" s="1"/>
  <c r="E6984" i="2"/>
  <c r="G6984" i="2" s="1"/>
  <c r="E6983" i="2"/>
  <c r="G6983" i="2" s="1"/>
  <c r="E6982" i="2"/>
  <c r="G6982" i="2" s="1"/>
  <c r="E6958" i="2"/>
  <c r="G6958" i="2" s="1"/>
  <c r="D6958" i="2"/>
  <c r="C6958" i="2"/>
  <c r="P8" i="8"/>
  <c r="Q8" i="8" s="1"/>
  <c r="P4" i="8"/>
  <c r="Q4" i="8" s="1"/>
  <c r="G7243" i="2" l="1"/>
  <c r="G7252" i="2"/>
  <c r="G7199" i="2"/>
  <c r="G7208" i="2"/>
  <c r="G7155" i="2"/>
  <c r="G7164" i="2"/>
  <c r="G7120" i="2"/>
  <c r="G7076" i="2"/>
  <c r="G7032" i="2"/>
  <c r="G6979" i="2"/>
  <c r="G6988" i="2"/>
  <c r="R4" i="8"/>
  <c r="S4" i="8" s="1"/>
  <c r="R8" i="8"/>
  <c r="S8" i="8" s="1"/>
  <c r="G6949" i="2" l="1"/>
  <c r="G6943" i="2"/>
  <c r="G6942" i="2"/>
  <c r="E6941" i="2"/>
  <c r="G6941" i="2" s="1"/>
  <c r="E6940" i="2"/>
  <c r="G6940" i="2" s="1"/>
  <c r="E6939" i="2"/>
  <c r="G6939" i="2" s="1"/>
  <c r="E6938" i="2"/>
  <c r="G6938" i="2" s="1"/>
  <c r="E6919" i="2"/>
  <c r="G6919" i="2" s="1"/>
  <c r="D6919" i="2"/>
  <c r="C6919" i="2"/>
  <c r="E6918" i="2"/>
  <c r="G6918" i="2" s="1"/>
  <c r="D6918" i="2"/>
  <c r="C6918" i="2"/>
  <c r="E6917" i="2"/>
  <c r="G6917" i="2" s="1"/>
  <c r="D6917" i="2"/>
  <c r="C6917" i="2"/>
  <c r="E6916" i="2"/>
  <c r="G6916" i="2" s="1"/>
  <c r="D6916" i="2"/>
  <c r="C6916" i="2"/>
  <c r="E6915" i="2"/>
  <c r="G6915" i="2" s="1"/>
  <c r="D6915" i="2"/>
  <c r="C6915" i="2"/>
  <c r="E6914" i="2"/>
  <c r="G6914" i="2" s="1"/>
  <c r="D6914" i="2"/>
  <c r="C6914" i="2"/>
  <c r="E5" i="7"/>
  <c r="G6905" i="2"/>
  <c r="G6899" i="2"/>
  <c r="G6898" i="2"/>
  <c r="E6897" i="2"/>
  <c r="G6897" i="2" s="1"/>
  <c r="E6896" i="2"/>
  <c r="G6896" i="2" s="1"/>
  <c r="E6895" i="2"/>
  <c r="G6895" i="2" s="1"/>
  <c r="E6894" i="2"/>
  <c r="G6894" i="2" s="1"/>
  <c r="E6877" i="2"/>
  <c r="G6877" i="2" s="1"/>
  <c r="D6877" i="2"/>
  <c r="C6877" i="2"/>
  <c r="E6876" i="2"/>
  <c r="G6876" i="2" s="1"/>
  <c r="D6876" i="2"/>
  <c r="C6876" i="2"/>
  <c r="E6875" i="2"/>
  <c r="G6875" i="2" s="1"/>
  <c r="D6875" i="2"/>
  <c r="C6875" i="2"/>
  <c r="E6874" i="2"/>
  <c r="G6874" i="2" s="1"/>
  <c r="D6874" i="2"/>
  <c r="C6874" i="2"/>
  <c r="E6873" i="2"/>
  <c r="G6873" i="2" s="1"/>
  <c r="D6873" i="2"/>
  <c r="C6873" i="2"/>
  <c r="E6872" i="2"/>
  <c r="G6872" i="2" s="1"/>
  <c r="D6872" i="2"/>
  <c r="C6872" i="2"/>
  <c r="E6871" i="2"/>
  <c r="G6871" i="2" s="1"/>
  <c r="D6871" i="2"/>
  <c r="C6871" i="2"/>
  <c r="E6870" i="2"/>
  <c r="G6870" i="2" s="1"/>
  <c r="D6870" i="2"/>
  <c r="C6870" i="2"/>
  <c r="E8" i="7"/>
  <c r="E9" i="7"/>
  <c r="E6" i="7"/>
  <c r="E6833" i="2"/>
  <c r="G6833" i="2" s="1"/>
  <c r="D6833" i="2"/>
  <c r="C6833" i="2"/>
  <c r="E6789" i="2"/>
  <c r="G6789" i="2" s="1"/>
  <c r="D6789" i="2"/>
  <c r="C6789" i="2"/>
  <c r="G6861" i="2"/>
  <c r="G6855" i="2"/>
  <c r="G6854" i="2"/>
  <c r="E6853" i="2"/>
  <c r="G6853" i="2" s="1"/>
  <c r="E6852" i="2"/>
  <c r="G6852" i="2" s="1"/>
  <c r="E6851" i="2"/>
  <c r="G6851" i="2" s="1"/>
  <c r="E6850" i="2"/>
  <c r="G6850" i="2" s="1"/>
  <c r="E6832" i="2"/>
  <c r="G6832" i="2" s="1"/>
  <c r="D6832" i="2"/>
  <c r="C6832" i="2"/>
  <c r="E6831" i="2"/>
  <c r="G6831" i="2" s="1"/>
  <c r="D6831" i="2"/>
  <c r="C6831" i="2"/>
  <c r="E6830" i="2"/>
  <c r="G6830" i="2" s="1"/>
  <c r="D6830" i="2"/>
  <c r="C6830" i="2"/>
  <c r="E6829" i="2"/>
  <c r="G6829" i="2" s="1"/>
  <c r="D6829" i="2"/>
  <c r="C6829" i="2"/>
  <c r="E6828" i="2"/>
  <c r="G6828" i="2" s="1"/>
  <c r="D6828" i="2"/>
  <c r="C6828" i="2"/>
  <c r="E6827" i="2"/>
  <c r="G6827" i="2" s="1"/>
  <c r="D6827" i="2"/>
  <c r="C6827" i="2"/>
  <c r="E6826" i="2"/>
  <c r="G6826" i="2" s="1"/>
  <c r="D6826" i="2"/>
  <c r="C6826" i="2"/>
  <c r="E7" i="7"/>
  <c r="E6788" i="2"/>
  <c r="G6788" i="2" s="1"/>
  <c r="D6788" i="2"/>
  <c r="C6788" i="2"/>
  <c r="E6787" i="2"/>
  <c r="G6787" i="2" s="1"/>
  <c r="D6787" i="2"/>
  <c r="C6787" i="2"/>
  <c r="E6786" i="2"/>
  <c r="G6786" i="2" s="1"/>
  <c r="D6786" i="2"/>
  <c r="C6786" i="2"/>
  <c r="E6785" i="2"/>
  <c r="G6785" i="2" s="1"/>
  <c r="D6785" i="2"/>
  <c r="C6785" i="2"/>
  <c r="E6784" i="2"/>
  <c r="G6784" i="2" s="1"/>
  <c r="D6784" i="2"/>
  <c r="C6784" i="2"/>
  <c r="E6783" i="2"/>
  <c r="G6783" i="2" s="1"/>
  <c r="D6783" i="2"/>
  <c r="C6783" i="2"/>
  <c r="G6817" i="2"/>
  <c r="G6811" i="2"/>
  <c r="G6810" i="2"/>
  <c r="E6809" i="2"/>
  <c r="G6809" i="2" s="1"/>
  <c r="E6808" i="2"/>
  <c r="G6808" i="2" s="1"/>
  <c r="E6807" i="2"/>
  <c r="G6807" i="2" s="1"/>
  <c r="E6806" i="2"/>
  <c r="G6806" i="2" s="1"/>
  <c r="E6782" i="2"/>
  <c r="G6782" i="2" s="1"/>
  <c r="D6782" i="2"/>
  <c r="C6782" i="2"/>
  <c r="G6773" i="2"/>
  <c r="G6767" i="2"/>
  <c r="G6766" i="2"/>
  <c r="E6765" i="2"/>
  <c r="G6765" i="2" s="1"/>
  <c r="E6764" i="2"/>
  <c r="G6764" i="2" s="1"/>
  <c r="E6763" i="2"/>
  <c r="G6763" i="2" s="1"/>
  <c r="E6762" i="2"/>
  <c r="G6762" i="2" s="1"/>
  <c r="E6738" i="2"/>
  <c r="G6738" i="2" s="1"/>
  <c r="D6738" i="2"/>
  <c r="C6738" i="2"/>
  <c r="G6729" i="2"/>
  <c r="G6723" i="2"/>
  <c r="G6722" i="2"/>
  <c r="E6721" i="2"/>
  <c r="G6721" i="2" s="1"/>
  <c r="E6720" i="2"/>
  <c r="G6720" i="2" s="1"/>
  <c r="E6719" i="2"/>
  <c r="G6719" i="2" s="1"/>
  <c r="E6718" i="2"/>
  <c r="G6718" i="2" s="1"/>
  <c r="E6696" i="2"/>
  <c r="G6696" i="2" s="1"/>
  <c r="D6696" i="2"/>
  <c r="C6696" i="2"/>
  <c r="E6695" i="2"/>
  <c r="G6695" i="2" s="1"/>
  <c r="D6695" i="2"/>
  <c r="C6695" i="2"/>
  <c r="E6694" i="2"/>
  <c r="G6694" i="2" s="1"/>
  <c r="D6694" i="2"/>
  <c r="C6694" i="2"/>
  <c r="C6652" i="2"/>
  <c r="D6652" i="2"/>
  <c r="E6652" i="2"/>
  <c r="G6652" i="2" s="1"/>
  <c r="G6685" i="2"/>
  <c r="G6679" i="2"/>
  <c r="G6678" i="2"/>
  <c r="E6677" i="2"/>
  <c r="G6677" i="2" s="1"/>
  <c r="E6676" i="2"/>
  <c r="G6676" i="2" s="1"/>
  <c r="E6675" i="2"/>
  <c r="G6675" i="2" s="1"/>
  <c r="E6674" i="2"/>
  <c r="G6674" i="2" s="1"/>
  <c r="E6651" i="2"/>
  <c r="G6651" i="2" s="1"/>
  <c r="D6651" i="2"/>
  <c r="C6651" i="2"/>
  <c r="E6650" i="2"/>
  <c r="G6650" i="2" s="1"/>
  <c r="D6650" i="2"/>
  <c r="C6650" i="2"/>
  <c r="G6553" i="2"/>
  <c r="G6547" i="2"/>
  <c r="G6546" i="2"/>
  <c r="E6545" i="2"/>
  <c r="G6545" i="2" s="1"/>
  <c r="E6544" i="2"/>
  <c r="G6544" i="2" s="1"/>
  <c r="E6543" i="2"/>
  <c r="G6543" i="2" s="1"/>
  <c r="E6542" i="2"/>
  <c r="G6542" i="2" s="1"/>
  <c r="E6519" i="2"/>
  <c r="G6519" i="2" s="1"/>
  <c r="D6519" i="2"/>
  <c r="C6519" i="2"/>
  <c r="E6518" i="2"/>
  <c r="G6518" i="2" s="1"/>
  <c r="D6518" i="2"/>
  <c r="C6518" i="2"/>
  <c r="G6597" i="2"/>
  <c r="G6591" i="2"/>
  <c r="G6590" i="2"/>
  <c r="E6589" i="2"/>
  <c r="G6589" i="2" s="1"/>
  <c r="E6588" i="2"/>
  <c r="G6588" i="2" s="1"/>
  <c r="E6587" i="2"/>
  <c r="G6587" i="2" s="1"/>
  <c r="E6586" i="2"/>
  <c r="G6586" i="2" s="1"/>
  <c r="E6572" i="2"/>
  <c r="G6572" i="2" s="1"/>
  <c r="D6572" i="2"/>
  <c r="C6572" i="2"/>
  <c r="E6571" i="2"/>
  <c r="G6571" i="2" s="1"/>
  <c r="D6571" i="2"/>
  <c r="C6571" i="2"/>
  <c r="E6570" i="2"/>
  <c r="G6570" i="2" s="1"/>
  <c r="D6570" i="2"/>
  <c r="C6570" i="2"/>
  <c r="E6569" i="2"/>
  <c r="G6569" i="2" s="1"/>
  <c r="D6569" i="2"/>
  <c r="C6569" i="2"/>
  <c r="E6568" i="2"/>
  <c r="G6568" i="2" s="1"/>
  <c r="D6568" i="2"/>
  <c r="C6568" i="2"/>
  <c r="E6567" i="2"/>
  <c r="G6567" i="2" s="1"/>
  <c r="D6567" i="2"/>
  <c r="C6567" i="2"/>
  <c r="E6566" i="2"/>
  <c r="G6566" i="2" s="1"/>
  <c r="D6566" i="2"/>
  <c r="C6566" i="2"/>
  <c r="E6565" i="2"/>
  <c r="G6565" i="2" s="1"/>
  <c r="D6565" i="2"/>
  <c r="C6565" i="2"/>
  <c r="E6564" i="2"/>
  <c r="G6564" i="2" s="1"/>
  <c r="D6564" i="2"/>
  <c r="C6564" i="2"/>
  <c r="E6563" i="2"/>
  <c r="G6563" i="2" s="1"/>
  <c r="D6563" i="2"/>
  <c r="C6563" i="2"/>
  <c r="E6562" i="2"/>
  <c r="G6562" i="2" s="1"/>
  <c r="D6562" i="2"/>
  <c r="C6562" i="2"/>
  <c r="G6641" i="2"/>
  <c r="G6635" i="2"/>
  <c r="G6634" i="2"/>
  <c r="E6633" i="2"/>
  <c r="G6633" i="2" s="1"/>
  <c r="E6632" i="2"/>
  <c r="G6632" i="2" s="1"/>
  <c r="E6631" i="2"/>
  <c r="G6631" i="2" s="1"/>
  <c r="E6630" i="2"/>
  <c r="G6630" i="2" s="1"/>
  <c r="E6607" i="2"/>
  <c r="G6607" i="2" s="1"/>
  <c r="D6607" i="2"/>
  <c r="C6607" i="2"/>
  <c r="E6606" i="2"/>
  <c r="G6606" i="2" s="1"/>
  <c r="D6606" i="2"/>
  <c r="C6606" i="2"/>
  <c r="G6935" i="2" l="1"/>
  <c r="G6944" i="2"/>
  <c r="G6891" i="2"/>
  <c r="G6900" i="2"/>
  <c r="G6847" i="2"/>
  <c r="G6856" i="2"/>
  <c r="G6803" i="2"/>
  <c r="G6812" i="2"/>
  <c r="G6759" i="2"/>
  <c r="G6768" i="2"/>
  <c r="G6715" i="2"/>
  <c r="G6724" i="2"/>
  <c r="G6671" i="2"/>
  <c r="G6680" i="2"/>
  <c r="G6627" i="2"/>
  <c r="G6539" i="2"/>
  <c r="G6548" i="2"/>
  <c r="G6583" i="2"/>
  <c r="G6592" i="2"/>
  <c r="G6636" i="2"/>
  <c r="G789" i="2" l="1"/>
  <c r="G783" i="2"/>
  <c r="G782" i="2"/>
  <c r="E781" i="2"/>
  <c r="G781" i="2" s="1"/>
  <c r="E780" i="2"/>
  <c r="G780" i="2" s="1"/>
  <c r="E779" i="2"/>
  <c r="G779" i="2" s="1"/>
  <c r="E778" i="2"/>
  <c r="G778" i="2" s="1"/>
  <c r="E757" i="2"/>
  <c r="G757" i="2" s="1"/>
  <c r="D757" i="2"/>
  <c r="C757" i="2"/>
  <c r="E756" i="2"/>
  <c r="G756" i="2" s="1"/>
  <c r="D756" i="2"/>
  <c r="C756" i="2"/>
  <c r="E755" i="2"/>
  <c r="G755" i="2" s="1"/>
  <c r="D755" i="2"/>
  <c r="C755" i="2"/>
  <c r="E754" i="2"/>
  <c r="G754" i="2" s="1"/>
  <c r="D754" i="2"/>
  <c r="C754" i="2"/>
  <c r="D262" i="3"/>
  <c r="D6475" i="2"/>
  <c r="C6475" i="2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G6509" i="2"/>
  <c r="G6503" i="2"/>
  <c r="G6502" i="2"/>
  <c r="E6501" i="2"/>
  <c r="G6501" i="2" s="1"/>
  <c r="E6500" i="2"/>
  <c r="G6500" i="2" s="1"/>
  <c r="E6499" i="2"/>
  <c r="G6499" i="2" s="1"/>
  <c r="E6498" i="2"/>
  <c r="G6498" i="2" s="1"/>
  <c r="E6474" i="2"/>
  <c r="G6474" i="2" s="1"/>
  <c r="D6474" i="2"/>
  <c r="C6474" i="2"/>
  <c r="D300" i="3"/>
  <c r="E6475" i="2" s="1"/>
  <c r="G6475" i="2" s="1"/>
  <c r="G6465" i="2"/>
  <c r="G6459" i="2"/>
  <c r="G6458" i="2"/>
  <c r="E6457" i="2"/>
  <c r="G6457" i="2" s="1"/>
  <c r="E6456" i="2"/>
  <c r="G6456" i="2" s="1"/>
  <c r="E6455" i="2"/>
  <c r="G6455" i="2" s="1"/>
  <c r="E6454" i="2"/>
  <c r="G6454" i="2" s="1"/>
  <c r="E6430" i="2"/>
  <c r="G6430" i="2" s="1"/>
  <c r="G6451" i="2" s="1"/>
  <c r="D6430" i="2"/>
  <c r="C6430" i="2"/>
  <c r="G217" i="2"/>
  <c r="G211" i="2"/>
  <c r="G210" i="2"/>
  <c r="E209" i="2"/>
  <c r="G209" i="2" s="1"/>
  <c r="E208" i="2"/>
  <c r="G208" i="2" s="1"/>
  <c r="E207" i="2"/>
  <c r="G207" i="2" s="1"/>
  <c r="E206" i="2"/>
  <c r="G206" i="2" s="1"/>
  <c r="E182" i="2"/>
  <c r="G182" i="2" s="1"/>
  <c r="G203" i="2" s="1"/>
  <c r="D182" i="2"/>
  <c r="C182" i="2"/>
  <c r="G173" i="2"/>
  <c r="G167" i="2"/>
  <c r="G166" i="2"/>
  <c r="E165" i="2"/>
  <c r="G165" i="2" s="1"/>
  <c r="E164" i="2"/>
  <c r="G164" i="2" s="1"/>
  <c r="E163" i="2"/>
  <c r="G163" i="2" s="1"/>
  <c r="E162" i="2"/>
  <c r="G162" i="2" s="1"/>
  <c r="E138" i="2"/>
  <c r="G138" i="2" s="1"/>
  <c r="G159" i="2" s="1"/>
  <c r="D138" i="2"/>
  <c r="C138" i="2"/>
  <c r="G6421" i="2"/>
  <c r="G6415" i="2"/>
  <c r="G6414" i="2"/>
  <c r="E6413" i="2"/>
  <c r="G6413" i="2" s="1"/>
  <c r="E6412" i="2"/>
  <c r="G6412" i="2" s="1"/>
  <c r="E6411" i="2"/>
  <c r="G6411" i="2" s="1"/>
  <c r="E6410" i="2"/>
  <c r="G6410" i="2" s="1"/>
  <c r="E6386" i="2"/>
  <c r="G6386" i="2" s="1"/>
  <c r="G6407" i="2" s="1"/>
  <c r="D6386" i="2"/>
  <c r="C6386" i="2"/>
  <c r="G6377" i="2"/>
  <c r="G6371" i="2"/>
  <c r="G6370" i="2"/>
  <c r="E6369" i="2"/>
  <c r="G6369" i="2" s="1"/>
  <c r="E6368" i="2"/>
  <c r="G6368" i="2" s="1"/>
  <c r="E6367" i="2"/>
  <c r="G6367" i="2" s="1"/>
  <c r="E6366" i="2"/>
  <c r="G6366" i="2" s="1"/>
  <c r="E6342" i="2"/>
  <c r="G6342" i="2" s="1"/>
  <c r="G6363" i="2" s="1"/>
  <c r="D6342" i="2"/>
  <c r="C6342" i="2"/>
  <c r="E7578" i="2" l="1"/>
  <c r="G7578" i="2" s="1"/>
  <c r="G7595" i="2" s="1"/>
  <c r="E7800" i="2"/>
  <c r="G7800" i="2" s="1"/>
  <c r="G7815" i="2" s="1"/>
  <c r="G775" i="2"/>
  <c r="G784" i="2"/>
  <c r="G6495" i="2"/>
  <c r="G6504" i="2"/>
  <c r="G6460" i="2"/>
  <c r="G212" i="2"/>
  <c r="G168" i="2"/>
  <c r="G6416" i="2"/>
  <c r="G6372" i="2"/>
  <c r="D298" i="3" l="1"/>
  <c r="G6333" i="2"/>
  <c r="G6327" i="2"/>
  <c r="G6326" i="2"/>
  <c r="E6325" i="2"/>
  <c r="G6325" i="2" s="1"/>
  <c r="E6324" i="2"/>
  <c r="G6324" i="2" s="1"/>
  <c r="E6323" i="2"/>
  <c r="G6323" i="2" s="1"/>
  <c r="E6322" i="2"/>
  <c r="G6322" i="2" s="1"/>
  <c r="E6302" i="2"/>
  <c r="G6302" i="2" s="1"/>
  <c r="D6302" i="2"/>
  <c r="C6302" i="2"/>
  <c r="E6301" i="2"/>
  <c r="G6301" i="2" s="1"/>
  <c r="D6301" i="2"/>
  <c r="C6301" i="2"/>
  <c r="E6300" i="2"/>
  <c r="G6300" i="2" s="1"/>
  <c r="D6300" i="2"/>
  <c r="C6300" i="2"/>
  <c r="E6299" i="2"/>
  <c r="G6299" i="2" s="1"/>
  <c r="D6299" i="2"/>
  <c r="C6299" i="2"/>
  <c r="E6298" i="2"/>
  <c r="G6298" i="2" s="1"/>
  <c r="D6298" i="2"/>
  <c r="C6298" i="2"/>
  <c r="D297" i="3"/>
  <c r="G6289" i="2"/>
  <c r="G6283" i="2"/>
  <c r="G6282" i="2"/>
  <c r="E6281" i="2"/>
  <c r="G6281" i="2" s="1"/>
  <c r="E6280" i="2"/>
  <c r="G6280" i="2" s="1"/>
  <c r="E6279" i="2"/>
  <c r="G6279" i="2" s="1"/>
  <c r="E6278" i="2"/>
  <c r="G6278" i="2" s="1"/>
  <c r="E6257" i="2"/>
  <c r="G6257" i="2" s="1"/>
  <c r="D6257" i="2"/>
  <c r="C6257" i="2"/>
  <c r="E6256" i="2"/>
  <c r="G6256" i="2" s="1"/>
  <c r="D6256" i="2"/>
  <c r="C6256" i="2"/>
  <c r="E6255" i="2"/>
  <c r="G6255" i="2" s="1"/>
  <c r="D6255" i="2"/>
  <c r="C6255" i="2"/>
  <c r="E6254" i="2"/>
  <c r="G6254" i="2" s="1"/>
  <c r="D6254" i="2"/>
  <c r="C6254" i="2"/>
  <c r="D296" i="3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G6245" i="2"/>
  <c r="G6239" i="2"/>
  <c r="G6238" i="2"/>
  <c r="E6237" i="2"/>
  <c r="G6237" i="2" s="1"/>
  <c r="E6236" i="2"/>
  <c r="G6236" i="2" s="1"/>
  <c r="E6235" i="2"/>
  <c r="G6235" i="2" s="1"/>
  <c r="E6234" i="2"/>
  <c r="G6234" i="2" s="1"/>
  <c r="E6212" i="2"/>
  <c r="G6212" i="2" s="1"/>
  <c r="D6212" i="2"/>
  <c r="C6212" i="2"/>
  <c r="E6211" i="2"/>
  <c r="G6211" i="2" s="1"/>
  <c r="D6211" i="2"/>
  <c r="C6211" i="2"/>
  <c r="E6210" i="2"/>
  <c r="G6210" i="2" s="1"/>
  <c r="D6210" i="2"/>
  <c r="C6210" i="2"/>
  <c r="D295" i="3"/>
  <c r="G6157" i="2"/>
  <c r="G6151" i="2"/>
  <c r="G6150" i="2"/>
  <c r="E6149" i="2"/>
  <c r="G6149" i="2" s="1"/>
  <c r="E6148" i="2"/>
  <c r="G6148" i="2" s="1"/>
  <c r="E6147" i="2"/>
  <c r="G6147" i="2" s="1"/>
  <c r="E6146" i="2"/>
  <c r="G6146" i="2" s="1"/>
  <c r="E6122" i="2"/>
  <c r="G6122" i="2" s="1"/>
  <c r="G6143" i="2" s="1"/>
  <c r="D6122" i="2"/>
  <c r="C6122" i="2"/>
  <c r="D294" i="3"/>
  <c r="G6113" i="2"/>
  <c r="G6107" i="2"/>
  <c r="G6106" i="2"/>
  <c r="E6105" i="2"/>
  <c r="G6105" i="2" s="1"/>
  <c r="E6104" i="2"/>
  <c r="G6104" i="2" s="1"/>
  <c r="E6103" i="2"/>
  <c r="G6103" i="2" s="1"/>
  <c r="E6102" i="2"/>
  <c r="G6102" i="2" s="1"/>
  <c r="E6078" i="2"/>
  <c r="G6078" i="2" s="1"/>
  <c r="G6099" i="2" s="1"/>
  <c r="D6078" i="2"/>
  <c r="C6078" i="2"/>
  <c r="G6069" i="2"/>
  <c r="G6063" i="2"/>
  <c r="G6062" i="2"/>
  <c r="E6061" i="2"/>
  <c r="G6061" i="2" s="1"/>
  <c r="E6060" i="2"/>
  <c r="G6060" i="2" s="1"/>
  <c r="E6059" i="2"/>
  <c r="G6059" i="2" s="1"/>
  <c r="E6058" i="2"/>
  <c r="G6058" i="2" s="1"/>
  <c r="E6036" i="2"/>
  <c r="G6036" i="2" s="1"/>
  <c r="D6036" i="2"/>
  <c r="C6036" i="2"/>
  <c r="E6035" i="2"/>
  <c r="G6035" i="2" s="1"/>
  <c r="D6035" i="2"/>
  <c r="C6035" i="2"/>
  <c r="E6034" i="2"/>
  <c r="G6034" i="2" s="1"/>
  <c r="D6034" i="2"/>
  <c r="C6034" i="2"/>
  <c r="C5992" i="2"/>
  <c r="D5992" i="2"/>
  <c r="E5992" i="2"/>
  <c r="G5992" i="2" s="1"/>
  <c r="D293" i="3"/>
  <c r="G6025" i="2"/>
  <c r="G6019" i="2"/>
  <c r="G6018" i="2"/>
  <c r="E6017" i="2"/>
  <c r="G6017" i="2" s="1"/>
  <c r="E6016" i="2"/>
  <c r="G6016" i="2" s="1"/>
  <c r="E6015" i="2"/>
  <c r="G6015" i="2" s="1"/>
  <c r="E6014" i="2"/>
  <c r="G6014" i="2" s="1"/>
  <c r="E5991" i="2"/>
  <c r="G5991" i="2" s="1"/>
  <c r="D5991" i="2"/>
  <c r="C5991" i="2"/>
  <c r="E5990" i="2"/>
  <c r="G5990" i="2" s="1"/>
  <c r="D5990" i="2"/>
  <c r="C5990" i="2"/>
  <c r="C5948" i="2"/>
  <c r="D5948" i="2"/>
  <c r="E5948" i="2"/>
  <c r="G5948" i="2" s="1"/>
  <c r="D291" i="3"/>
  <c r="G5981" i="2"/>
  <c r="G5975" i="2"/>
  <c r="G5974" i="2"/>
  <c r="E5973" i="2"/>
  <c r="G5973" i="2" s="1"/>
  <c r="E5972" i="2"/>
  <c r="G5972" i="2" s="1"/>
  <c r="E5971" i="2"/>
  <c r="G5971" i="2" s="1"/>
  <c r="E5970" i="2"/>
  <c r="G5970" i="2" s="1"/>
  <c r="E5947" i="2"/>
  <c r="G5947" i="2" s="1"/>
  <c r="D5947" i="2"/>
  <c r="C5947" i="2"/>
  <c r="E5946" i="2"/>
  <c r="G5946" i="2" s="1"/>
  <c r="D5946" i="2"/>
  <c r="C5946" i="2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D125" i="3"/>
  <c r="E5902" i="2" s="1"/>
  <c r="G5902" i="2" s="1"/>
  <c r="G5937" i="2"/>
  <c r="G5931" i="2"/>
  <c r="G5930" i="2"/>
  <c r="E5929" i="2"/>
  <c r="G5929" i="2" s="1"/>
  <c r="E5928" i="2"/>
  <c r="G5928" i="2" s="1"/>
  <c r="E5927" i="2"/>
  <c r="G5927" i="2" s="1"/>
  <c r="E5926" i="2"/>
  <c r="G5926" i="2" s="1"/>
  <c r="E5903" i="2"/>
  <c r="G5903" i="2" s="1"/>
  <c r="D5903" i="2"/>
  <c r="C5903" i="2"/>
  <c r="D5902" i="2"/>
  <c r="C5902" i="2"/>
  <c r="E5864" i="2"/>
  <c r="G5864" i="2" s="1"/>
  <c r="D5864" i="2"/>
  <c r="C5864" i="2"/>
  <c r="G5893" i="2"/>
  <c r="G5887" i="2"/>
  <c r="G5886" i="2"/>
  <c r="E5885" i="2"/>
  <c r="G5885" i="2" s="1"/>
  <c r="E5884" i="2"/>
  <c r="G5884" i="2" s="1"/>
  <c r="E5883" i="2"/>
  <c r="G5883" i="2" s="1"/>
  <c r="E5882" i="2"/>
  <c r="G5882" i="2" s="1"/>
  <c r="D5863" i="2"/>
  <c r="C5863" i="2"/>
  <c r="D5862" i="2"/>
  <c r="C5862" i="2"/>
  <c r="D5861" i="2"/>
  <c r="C5861" i="2"/>
  <c r="D5860" i="2"/>
  <c r="C5860" i="2"/>
  <c r="D5859" i="2"/>
  <c r="C5859" i="2"/>
  <c r="D5858" i="2"/>
  <c r="C5858" i="2"/>
  <c r="G5849" i="2"/>
  <c r="G5843" i="2"/>
  <c r="G5842" i="2"/>
  <c r="E5841" i="2"/>
  <c r="G5841" i="2" s="1"/>
  <c r="E5840" i="2"/>
  <c r="G5840" i="2" s="1"/>
  <c r="E5839" i="2"/>
  <c r="G5839" i="2" s="1"/>
  <c r="E5838" i="2"/>
  <c r="G5838" i="2" s="1"/>
  <c r="E5818" i="2"/>
  <c r="G5818" i="2" s="1"/>
  <c r="D5818" i="2"/>
  <c r="C5818" i="2"/>
  <c r="D5817" i="2"/>
  <c r="C5817" i="2"/>
  <c r="D5816" i="2"/>
  <c r="C5816" i="2"/>
  <c r="D5815" i="2"/>
  <c r="C5815" i="2"/>
  <c r="D5814" i="2"/>
  <c r="C5814" i="2"/>
  <c r="O142" i="1"/>
  <c r="P142" i="1"/>
  <c r="Q142" i="1"/>
  <c r="O143" i="1"/>
  <c r="P143" i="1"/>
  <c r="Q143" i="1"/>
  <c r="O144" i="1"/>
  <c r="P144" i="1"/>
  <c r="Q144" i="1"/>
  <c r="G5805" i="2"/>
  <c r="G5799" i="2"/>
  <c r="G5798" i="2"/>
  <c r="E5797" i="2"/>
  <c r="G5797" i="2" s="1"/>
  <c r="E5796" i="2"/>
  <c r="G5796" i="2" s="1"/>
  <c r="E5795" i="2"/>
  <c r="G5795" i="2" s="1"/>
  <c r="E5794" i="2"/>
  <c r="G5794" i="2" s="1"/>
  <c r="E5772" i="2"/>
  <c r="G5772" i="2" s="1"/>
  <c r="D5772" i="2"/>
  <c r="C5772" i="2"/>
  <c r="D5771" i="2"/>
  <c r="C5771" i="2"/>
  <c r="D5770" i="2"/>
  <c r="C5770" i="2"/>
  <c r="G5761" i="2"/>
  <c r="G5755" i="2"/>
  <c r="G5754" i="2"/>
  <c r="E5753" i="2"/>
  <c r="G5753" i="2" s="1"/>
  <c r="E5752" i="2"/>
  <c r="G5752" i="2" s="1"/>
  <c r="E5751" i="2"/>
  <c r="G5751" i="2" s="1"/>
  <c r="E5750" i="2"/>
  <c r="G5750" i="2" s="1"/>
  <c r="E5728" i="2"/>
  <c r="G5728" i="2" s="1"/>
  <c r="D5728" i="2"/>
  <c r="C5728" i="2"/>
  <c r="D5727" i="2"/>
  <c r="C5727" i="2"/>
  <c r="D5726" i="2"/>
  <c r="C5726" i="2"/>
  <c r="O140" i="1"/>
  <c r="P140" i="1"/>
  <c r="Q140" i="1"/>
  <c r="O141" i="1"/>
  <c r="P141" i="1"/>
  <c r="Q141" i="1"/>
  <c r="G5717" i="2"/>
  <c r="G5711" i="2"/>
  <c r="G5710" i="2"/>
  <c r="E5709" i="2"/>
  <c r="G5709" i="2" s="1"/>
  <c r="E5708" i="2"/>
  <c r="G5708" i="2" s="1"/>
  <c r="E5707" i="2"/>
  <c r="G5707" i="2" s="1"/>
  <c r="E5706" i="2"/>
  <c r="G5706" i="2" s="1"/>
  <c r="E5684" i="2"/>
  <c r="G5684" i="2" s="1"/>
  <c r="D5684" i="2"/>
  <c r="C5684" i="2"/>
  <c r="D5683" i="2"/>
  <c r="C5683" i="2"/>
  <c r="D5682" i="2"/>
  <c r="C5682" i="2"/>
  <c r="G5673" i="2"/>
  <c r="G5667" i="2"/>
  <c r="G5666" i="2"/>
  <c r="E5665" i="2"/>
  <c r="G5665" i="2" s="1"/>
  <c r="E5664" i="2"/>
  <c r="G5664" i="2" s="1"/>
  <c r="E5663" i="2"/>
  <c r="G5663" i="2" s="1"/>
  <c r="E5662" i="2"/>
  <c r="G5662" i="2" s="1"/>
  <c r="E5640" i="2"/>
  <c r="G5640" i="2" s="1"/>
  <c r="D5640" i="2"/>
  <c r="C5640" i="2"/>
  <c r="D5639" i="2"/>
  <c r="C5639" i="2"/>
  <c r="D5638" i="2"/>
  <c r="C5638" i="2"/>
  <c r="O138" i="1"/>
  <c r="P138" i="1"/>
  <c r="Q138" i="1"/>
  <c r="O139" i="1"/>
  <c r="P139" i="1"/>
  <c r="Q139" i="1"/>
  <c r="D288" i="3"/>
  <c r="E5597" i="2" s="1"/>
  <c r="G5597" i="2" s="1"/>
  <c r="D110" i="3"/>
  <c r="G5629" i="2"/>
  <c r="G5623" i="2"/>
  <c r="G5622" i="2"/>
  <c r="E5621" i="2"/>
  <c r="G5621" i="2" s="1"/>
  <c r="E5620" i="2"/>
  <c r="G5620" i="2" s="1"/>
  <c r="E5619" i="2"/>
  <c r="G5619" i="2" s="1"/>
  <c r="E5618" i="2"/>
  <c r="G5618" i="2" s="1"/>
  <c r="D5598" i="2"/>
  <c r="C5598" i="2"/>
  <c r="D5597" i="2"/>
  <c r="C5597" i="2"/>
  <c r="E5596" i="2"/>
  <c r="G5596" i="2" s="1"/>
  <c r="D5596" i="2"/>
  <c r="C5596" i="2"/>
  <c r="D5595" i="2"/>
  <c r="C5595" i="2"/>
  <c r="D5594" i="2"/>
  <c r="C5594" i="2"/>
  <c r="G5585" i="2"/>
  <c r="G5579" i="2"/>
  <c r="G5578" i="2"/>
  <c r="E5577" i="2"/>
  <c r="G5577" i="2" s="1"/>
  <c r="E5576" i="2"/>
  <c r="G5576" i="2" s="1"/>
  <c r="E5575" i="2"/>
  <c r="G5575" i="2" s="1"/>
  <c r="E5574" i="2"/>
  <c r="G5574" i="2" s="1"/>
  <c r="E5554" i="2"/>
  <c r="G5554" i="2" s="1"/>
  <c r="D5554" i="2"/>
  <c r="C5554" i="2"/>
  <c r="E5553" i="2"/>
  <c r="G5553" i="2" s="1"/>
  <c r="D5553" i="2"/>
  <c r="C5553" i="2"/>
  <c r="E5552" i="2"/>
  <c r="G5552" i="2" s="1"/>
  <c r="D5552" i="2"/>
  <c r="C5552" i="2"/>
  <c r="D5551" i="2"/>
  <c r="C5551" i="2"/>
  <c r="D5550" i="2"/>
  <c r="C5550" i="2"/>
  <c r="O136" i="1"/>
  <c r="P136" i="1"/>
  <c r="Q136" i="1"/>
  <c r="O137" i="1"/>
  <c r="P137" i="1"/>
  <c r="Q137" i="1"/>
  <c r="G5541" i="2"/>
  <c r="G5535" i="2"/>
  <c r="G5534" i="2"/>
  <c r="E5533" i="2"/>
  <c r="G5533" i="2" s="1"/>
  <c r="E5532" i="2"/>
  <c r="G5532" i="2" s="1"/>
  <c r="E5531" i="2"/>
  <c r="G5531" i="2" s="1"/>
  <c r="E5530" i="2"/>
  <c r="G5530" i="2" s="1"/>
  <c r="D5510" i="2"/>
  <c r="C5510" i="2"/>
  <c r="E5509" i="2"/>
  <c r="G5509" i="2" s="1"/>
  <c r="D5509" i="2"/>
  <c r="C5509" i="2"/>
  <c r="E5508" i="2"/>
  <c r="G5508" i="2" s="1"/>
  <c r="D5508" i="2"/>
  <c r="C5508" i="2"/>
  <c r="D5507" i="2"/>
  <c r="C5507" i="2"/>
  <c r="D5506" i="2"/>
  <c r="C5506" i="2"/>
  <c r="O135" i="1"/>
  <c r="P135" i="1"/>
  <c r="Q135" i="1"/>
  <c r="G5497" i="2"/>
  <c r="G5491" i="2"/>
  <c r="G5490" i="2"/>
  <c r="E5489" i="2"/>
  <c r="G5489" i="2" s="1"/>
  <c r="E5488" i="2"/>
  <c r="G5488" i="2" s="1"/>
  <c r="E5487" i="2"/>
  <c r="G5487" i="2" s="1"/>
  <c r="E5486" i="2"/>
  <c r="G5486" i="2" s="1"/>
  <c r="E5466" i="2"/>
  <c r="G5466" i="2" s="1"/>
  <c r="D5466" i="2"/>
  <c r="C5466" i="2"/>
  <c r="E5465" i="2"/>
  <c r="G5465" i="2" s="1"/>
  <c r="D5465" i="2"/>
  <c r="C5465" i="2"/>
  <c r="E5464" i="2"/>
  <c r="G5464" i="2" s="1"/>
  <c r="D5464" i="2"/>
  <c r="C5464" i="2"/>
  <c r="D5463" i="2"/>
  <c r="C5463" i="2"/>
  <c r="D5462" i="2"/>
  <c r="C5462" i="2"/>
  <c r="O134" i="1"/>
  <c r="P134" i="1"/>
  <c r="Q134" i="1"/>
  <c r="G5453" i="2"/>
  <c r="G5447" i="2"/>
  <c r="G5446" i="2"/>
  <c r="E5445" i="2"/>
  <c r="G5445" i="2" s="1"/>
  <c r="E5444" i="2"/>
  <c r="G5444" i="2" s="1"/>
  <c r="E5443" i="2"/>
  <c r="G5443" i="2" s="1"/>
  <c r="E5442" i="2"/>
  <c r="G5442" i="2" s="1"/>
  <c r="E5422" i="2"/>
  <c r="G5422" i="2" s="1"/>
  <c r="D5422" i="2"/>
  <c r="C5422" i="2"/>
  <c r="E5421" i="2"/>
  <c r="G5421" i="2" s="1"/>
  <c r="D5421" i="2"/>
  <c r="C5421" i="2"/>
  <c r="E5420" i="2"/>
  <c r="G5420" i="2" s="1"/>
  <c r="D5420" i="2"/>
  <c r="C5420" i="2"/>
  <c r="D5419" i="2"/>
  <c r="C5419" i="2"/>
  <c r="D5418" i="2"/>
  <c r="C5418" i="2"/>
  <c r="O132" i="1"/>
  <c r="P132" i="1"/>
  <c r="Q132" i="1"/>
  <c r="O133" i="1"/>
  <c r="P133" i="1"/>
  <c r="Q133" i="1"/>
  <c r="D290" i="3"/>
  <c r="E5770" i="2" s="1"/>
  <c r="G5770" i="2" s="1"/>
  <c r="C5377" i="2"/>
  <c r="D5377" i="2"/>
  <c r="E5377" i="2"/>
  <c r="G5377" i="2" s="1"/>
  <c r="C5378" i="2"/>
  <c r="D5378" i="2"/>
  <c r="E5378" i="2"/>
  <c r="G5378" i="2" s="1"/>
  <c r="G5409" i="2"/>
  <c r="G5403" i="2"/>
  <c r="G5402" i="2"/>
  <c r="E5401" i="2"/>
  <c r="G5401" i="2" s="1"/>
  <c r="E5400" i="2"/>
  <c r="G5400" i="2" s="1"/>
  <c r="E5399" i="2"/>
  <c r="G5399" i="2" s="1"/>
  <c r="E5398" i="2"/>
  <c r="G5398" i="2" s="1"/>
  <c r="F5376" i="2"/>
  <c r="E5376" i="2"/>
  <c r="D5376" i="2"/>
  <c r="C5376" i="2"/>
  <c r="D5375" i="2"/>
  <c r="C5375" i="2"/>
  <c r="D5374" i="2"/>
  <c r="C5374" i="2"/>
  <c r="D289" i="3"/>
  <c r="E5331" i="2" s="1"/>
  <c r="G5331" i="2" s="1"/>
  <c r="O131" i="1"/>
  <c r="P131" i="1"/>
  <c r="Q131" i="1"/>
  <c r="G5365" i="2"/>
  <c r="G5359" i="2"/>
  <c r="G5358" i="2"/>
  <c r="E5357" i="2"/>
  <c r="G5357" i="2" s="1"/>
  <c r="E5356" i="2"/>
  <c r="G5356" i="2" s="1"/>
  <c r="E5355" i="2"/>
  <c r="G5355" i="2" s="1"/>
  <c r="E5354" i="2"/>
  <c r="G5354" i="2" s="1"/>
  <c r="F5332" i="2"/>
  <c r="E5332" i="2"/>
  <c r="D5332" i="2"/>
  <c r="C5332" i="2"/>
  <c r="D5331" i="2"/>
  <c r="C5331" i="2"/>
  <c r="E5330" i="2"/>
  <c r="G5330" i="2" s="1"/>
  <c r="D5330" i="2"/>
  <c r="C5330" i="2"/>
  <c r="C5290" i="2"/>
  <c r="D5290" i="2"/>
  <c r="C5289" i="2"/>
  <c r="D5289" i="2"/>
  <c r="E5289" i="2"/>
  <c r="G5289" i="2" s="1"/>
  <c r="D287" i="3"/>
  <c r="C5288" i="2"/>
  <c r="D5288" i="2"/>
  <c r="D286" i="3"/>
  <c r="E7003" i="2" s="1"/>
  <c r="G7003" i="2" s="1"/>
  <c r="D285" i="3"/>
  <c r="E5287" i="2" s="1"/>
  <c r="G5287" i="2" s="1"/>
  <c r="D284" i="3"/>
  <c r="E7002" i="2" s="1"/>
  <c r="G7002" i="2" s="1"/>
  <c r="O130" i="1"/>
  <c r="P130" i="1"/>
  <c r="Q130" i="1"/>
  <c r="G5321" i="2"/>
  <c r="G5315" i="2"/>
  <c r="G5314" i="2"/>
  <c r="E5313" i="2"/>
  <c r="G5313" i="2" s="1"/>
  <c r="E5312" i="2"/>
  <c r="G5312" i="2" s="1"/>
  <c r="E5311" i="2"/>
  <c r="G5311" i="2" s="1"/>
  <c r="E5310" i="2"/>
  <c r="G5310" i="2" s="1"/>
  <c r="D5287" i="2"/>
  <c r="C5287" i="2"/>
  <c r="E5286" i="2"/>
  <c r="G5286" i="2" s="1"/>
  <c r="D5286" i="2"/>
  <c r="C5286" i="2"/>
  <c r="G7023" i="2" l="1"/>
  <c r="E5510" i="2"/>
  <c r="G5510" i="2" s="1"/>
  <c r="E5550" i="2"/>
  <c r="G5550" i="2" s="1"/>
  <c r="E5598" i="2"/>
  <c r="G5598" i="2" s="1"/>
  <c r="E8721" i="2"/>
  <c r="G8721" i="2" s="1"/>
  <c r="E8853" i="2"/>
  <c r="G8853" i="2" s="1"/>
  <c r="E8765" i="2"/>
  <c r="G8765" i="2" s="1"/>
  <c r="E8809" i="2"/>
  <c r="G8809" i="2" s="1"/>
  <c r="E8677" i="2"/>
  <c r="G8677" i="2" s="1"/>
  <c r="E7443" i="2"/>
  <c r="G7443" i="2" s="1"/>
  <c r="E5726" i="2"/>
  <c r="G5726" i="2" s="1"/>
  <c r="E8630" i="2"/>
  <c r="G8630" i="2" s="1"/>
  <c r="E8718" i="2"/>
  <c r="G8718" i="2" s="1"/>
  <c r="E8674" i="2"/>
  <c r="G8674" i="2" s="1"/>
  <c r="E8850" i="2"/>
  <c r="G8850" i="2" s="1"/>
  <c r="E8762" i="2"/>
  <c r="G8762" i="2" s="1"/>
  <c r="E8806" i="2"/>
  <c r="G8806" i="2" s="1"/>
  <c r="E8586" i="2"/>
  <c r="G8586" i="2" s="1"/>
  <c r="E5462" i="2"/>
  <c r="G5462" i="2" s="1"/>
  <c r="E5374" i="2"/>
  <c r="G5374" i="2" s="1"/>
  <c r="E5506" i="2"/>
  <c r="G5506" i="2" s="1"/>
  <c r="E5638" i="2"/>
  <c r="G5638" i="2" s="1"/>
  <c r="E5682" i="2"/>
  <c r="G5682" i="2" s="1"/>
  <c r="E5418" i="2"/>
  <c r="G5418" i="2" s="1"/>
  <c r="E5288" i="2"/>
  <c r="G5288" i="2" s="1"/>
  <c r="E5594" i="2"/>
  <c r="G5594" i="2" s="1"/>
  <c r="G5332" i="2"/>
  <c r="G5351" i="2" s="1"/>
  <c r="G5376" i="2"/>
  <c r="G6328" i="2"/>
  <c r="G6319" i="2"/>
  <c r="G6275" i="2"/>
  <c r="G6284" i="2"/>
  <c r="G6231" i="2"/>
  <c r="G6240" i="2"/>
  <c r="G6152" i="2"/>
  <c r="G6108" i="2"/>
  <c r="G6055" i="2"/>
  <c r="G6064" i="2"/>
  <c r="G6020" i="2"/>
  <c r="G6011" i="2"/>
  <c r="G5967" i="2"/>
  <c r="G5976" i="2"/>
  <c r="G5923" i="2"/>
  <c r="G5932" i="2"/>
  <c r="G5888" i="2"/>
  <c r="G5844" i="2"/>
  <c r="G5800" i="2"/>
  <c r="G5756" i="2"/>
  <c r="G5712" i="2"/>
  <c r="G5668" i="2"/>
  <c r="G5624" i="2"/>
  <c r="G5580" i="2"/>
  <c r="G5536" i="2"/>
  <c r="G5492" i="2"/>
  <c r="G5448" i="2"/>
  <c r="G5404" i="2"/>
  <c r="G5360" i="2"/>
  <c r="G5316" i="2"/>
  <c r="G5277" i="2" l="1"/>
  <c r="G5271" i="2"/>
  <c r="G5270" i="2"/>
  <c r="E5269" i="2"/>
  <c r="G5269" i="2" s="1"/>
  <c r="E5268" i="2"/>
  <c r="G5268" i="2" s="1"/>
  <c r="E5267" i="2"/>
  <c r="G5267" i="2" s="1"/>
  <c r="E5266" i="2"/>
  <c r="G5266" i="2" s="1"/>
  <c r="E5243" i="2"/>
  <c r="G5243" i="2" s="1"/>
  <c r="D5243" i="2"/>
  <c r="C5243" i="2"/>
  <c r="E5242" i="2"/>
  <c r="G5242" i="2" s="1"/>
  <c r="D5242" i="2"/>
  <c r="C5242" i="2"/>
  <c r="O129" i="1"/>
  <c r="P129" i="1"/>
  <c r="Q129" i="1"/>
  <c r="D282" i="3"/>
  <c r="E5198" i="2" s="1"/>
  <c r="G5198" i="2" s="1"/>
  <c r="G5233" i="2"/>
  <c r="G5227" i="2"/>
  <c r="G5226" i="2"/>
  <c r="E5225" i="2"/>
  <c r="G5225" i="2" s="1"/>
  <c r="E5224" i="2"/>
  <c r="G5224" i="2" s="1"/>
  <c r="E5223" i="2"/>
  <c r="G5223" i="2" s="1"/>
  <c r="E5222" i="2"/>
  <c r="G5222" i="2" s="1"/>
  <c r="E5202" i="2"/>
  <c r="G5202" i="2" s="1"/>
  <c r="D5202" i="2"/>
  <c r="C5202" i="2"/>
  <c r="E5201" i="2"/>
  <c r="G5201" i="2" s="1"/>
  <c r="D5201" i="2"/>
  <c r="C5201" i="2"/>
  <c r="E5200" i="2"/>
  <c r="G5200" i="2" s="1"/>
  <c r="D5200" i="2"/>
  <c r="C5200" i="2"/>
  <c r="E5199" i="2"/>
  <c r="G5199" i="2" s="1"/>
  <c r="D5199" i="2"/>
  <c r="C5199" i="2"/>
  <c r="D5198" i="2"/>
  <c r="C5198" i="2"/>
  <c r="O128" i="1"/>
  <c r="P128" i="1"/>
  <c r="Q128" i="1"/>
  <c r="D281" i="3"/>
  <c r="G5189" i="2"/>
  <c r="G5183" i="2"/>
  <c r="G5182" i="2"/>
  <c r="G5181" i="2"/>
  <c r="E5181" i="2"/>
  <c r="E5180" i="2"/>
  <c r="G5180" i="2" s="1"/>
  <c r="E5179" i="2"/>
  <c r="G5179" i="2" s="1"/>
  <c r="E5178" i="2"/>
  <c r="G5178" i="2" s="1"/>
  <c r="E5158" i="2"/>
  <c r="G5158" i="2" s="1"/>
  <c r="D5158" i="2"/>
  <c r="C5158" i="2"/>
  <c r="E5157" i="2"/>
  <c r="G5157" i="2" s="1"/>
  <c r="D5157" i="2"/>
  <c r="C5157" i="2"/>
  <c r="E5156" i="2"/>
  <c r="G5156" i="2" s="1"/>
  <c r="D5156" i="2"/>
  <c r="C5156" i="2"/>
  <c r="E5155" i="2"/>
  <c r="G5155" i="2" s="1"/>
  <c r="D5155" i="2"/>
  <c r="C5155" i="2"/>
  <c r="E5154" i="2"/>
  <c r="G5154" i="2" s="1"/>
  <c r="D5154" i="2"/>
  <c r="C5154" i="2"/>
  <c r="O127" i="1"/>
  <c r="P127" i="1"/>
  <c r="Q127" i="1"/>
  <c r="D140" i="3"/>
  <c r="D141" i="3"/>
  <c r="G5145" i="2"/>
  <c r="G5139" i="2"/>
  <c r="G5138" i="2"/>
  <c r="E5137" i="2"/>
  <c r="G5137" i="2" s="1"/>
  <c r="E5136" i="2"/>
  <c r="G5136" i="2" s="1"/>
  <c r="E5135" i="2"/>
  <c r="G5135" i="2" s="1"/>
  <c r="E5134" i="2"/>
  <c r="G5134" i="2" s="1"/>
  <c r="E5114" i="2"/>
  <c r="G5114" i="2" s="1"/>
  <c r="D5114" i="2"/>
  <c r="C5114" i="2"/>
  <c r="E5113" i="2"/>
  <c r="G5113" i="2" s="1"/>
  <c r="D5113" i="2"/>
  <c r="C5113" i="2"/>
  <c r="E5112" i="2"/>
  <c r="G5112" i="2" s="1"/>
  <c r="D5112" i="2"/>
  <c r="C5112" i="2"/>
  <c r="E5111" i="2"/>
  <c r="G5111" i="2" s="1"/>
  <c r="D5111" i="2"/>
  <c r="C5111" i="2"/>
  <c r="E5110" i="2"/>
  <c r="G5110" i="2" s="1"/>
  <c r="D5110" i="2"/>
  <c r="C5110" i="2"/>
  <c r="C5068" i="2"/>
  <c r="D5068" i="2"/>
  <c r="E5068" i="2"/>
  <c r="G5068" i="2" s="1"/>
  <c r="C5067" i="2"/>
  <c r="D5067" i="2"/>
  <c r="E5067" i="2"/>
  <c r="G5067" i="2" s="1"/>
  <c r="G5101" i="2"/>
  <c r="G5095" i="2"/>
  <c r="G5094" i="2"/>
  <c r="E5093" i="2"/>
  <c r="G5093" i="2" s="1"/>
  <c r="E5092" i="2"/>
  <c r="G5092" i="2" s="1"/>
  <c r="E5091" i="2"/>
  <c r="G5091" i="2" s="1"/>
  <c r="E5090" i="2"/>
  <c r="G5090" i="2" s="1"/>
  <c r="E5066" i="2"/>
  <c r="G5066" i="2" s="1"/>
  <c r="D5066" i="2"/>
  <c r="C5066" i="2"/>
  <c r="D184" i="3"/>
  <c r="C5025" i="2"/>
  <c r="D5025" i="2"/>
  <c r="E5025" i="2"/>
  <c r="G5025" i="2" s="1"/>
  <c r="C5024" i="2"/>
  <c r="D5024" i="2"/>
  <c r="E5024" i="2"/>
  <c r="G5024" i="2" s="1"/>
  <c r="C5023" i="2"/>
  <c r="D5023" i="2"/>
  <c r="E5023" i="2"/>
  <c r="G5023" i="2" s="1"/>
  <c r="D279" i="3"/>
  <c r="G5057" i="2"/>
  <c r="G5051" i="2"/>
  <c r="G5050" i="2"/>
  <c r="E5049" i="2"/>
  <c r="G5049" i="2" s="1"/>
  <c r="E5048" i="2"/>
  <c r="G5048" i="2" s="1"/>
  <c r="E5047" i="2"/>
  <c r="G5047" i="2" s="1"/>
  <c r="E5046" i="2"/>
  <c r="G5046" i="2" s="1"/>
  <c r="E5022" i="2"/>
  <c r="G5022" i="2" s="1"/>
  <c r="D5022" i="2"/>
  <c r="C5022" i="2"/>
  <c r="G5013" i="2"/>
  <c r="G5007" i="2"/>
  <c r="G5006" i="2"/>
  <c r="E5005" i="2"/>
  <c r="G5005" i="2" s="1"/>
  <c r="E5004" i="2"/>
  <c r="G5004" i="2" s="1"/>
  <c r="E5003" i="2"/>
  <c r="G5003" i="2" s="1"/>
  <c r="E5002" i="2"/>
  <c r="G5002" i="2" s="1"/>
  <c r="E4978" i="2"/>
  <c r="G4978" i="2" s="1"/>
  <c r="G4999" i="2" s="1"/>
  <c r="D4978" i="2"/>
  <c r="C4978" i="2"/>
  <c r="O123" i="1"/>
  <c r="P123" i="1"/>
  <c r="Q123" i="1"/>
  <c r="O124" i="1"/>
  <c r="P124" i="1"/>
  <c r="Q124" i="1"/>
  <c r="O125" i="1"/>
  <c r="P125" i="1"/>
  <c r="Q125" i="1"/>
  <c r="O126" i="1"/>
  <c r="P126" i="1"/>
  <c r="Q126" i="1"/>
  <c r="G4969" i="2"/>
  <c r="G4963" i="2"/>
  <c r="G4962" i="2"/>
  <c r="E4961" i="2"/>
  <c r="G4961" i="2" s="1"/>
  <c r="E4960" i="2"/>
  <c r="G4960" i="2" s="1"/>
  <c r="E4959" i="2"/>
  <c r="G4959" i="2" s="1"/>
  <c r="E4958" i="2"/>
  <c r="G4958" i="2" s="1"/>
  <c r="E4935" i="2"/>
  <c r="G4935" i="2" s="1"/>
  <c r="D4935" i="2"/>
  <c r="C4935" i="2"/>
  <c r="E4934" i="2"/>
  <c r="G4934" i="2" s="1"/>
  <c r="D4934" i="2"/>
  <c r="C4934" i="2"/>
  <c r="O122" i="1"/>
  <c r="P122" i="1"/>
  <c r="Q122" i="1"/>
  <c r="C4896" i="2"/>
  <c r="D4896" i="2"/>
  <c r="E4896" i="2"/>
  <c r="G4896" i="2" s="1"/>
  <c r="O121" i="1"/>
  <c r="P121" i="1"/>
  <c r="Q121" i="1"/>
  <c r="G4925" i="2"/>
  <c r="G4919" i="2"/>
  <c r="G4918" i="2"/>
  <c r="E4917" i="2"/>
  <c r="G4917" i="2" s="1"/>
  <c r="E4916" i="2"/>
  <c r="G4916" i="2" s="1"/>
  <c r="E4915" i="2"/>
  <c r="G4915" i="2" s="1"/>
  <c r="E4914" i="2"/>
  <c r="G4914" i="2" s="1"/>
  <c r="E4895" i="2"/>
  <c r="G4895" i="2" s="1"/>
  <c r="D4895" i="2"/>
  <c r="C4895" i="2"/>
  <c r="E4894" i="2"/>
  <c r="G4894" i="2" s="1"/>
  <c r="D4894" i="2"/>
  <c r="C4894" i="2"/>
  <c r="E4893" i="2"/>
  <c r="G4893" i="2" s="1"/>
  <c r="D4893" i="2"/>
  <c r="C4893" i="2"/>
  <c r="E4892" i="2"/>
  <c r="G4892" i="2" s="1"/>
  <c r="D4892" i="2"/>
  <c r="C4892" i="2"/>
  <c r="E4891" i="2"/>
  <c r="G4891" i="2" s="1"/>
  <c r="D4891" i="2"/>
  <c r="C4891" i="2"/>
  <c r="E4890" i="2"/>
  <c r="G4890" i="2" s="1"/>
  <c r="D4890" i="2"/>
  <c r="C4890" i="2"/>
  <c r="D31" i="3"/>
  <c r="E4850" i="2" s="1"/>
  <c r="G4850" i="2" s="1"/>
  <c r="D48" i="3"/>
  <c r="D35" i="3"/>
  <c r="D52" i="3"/>
  <c r="C4764" i="2"/>
  <c r="D4764" i="2"/>
  <c r="E4764" i="2"/>
  <c r="G4764" i="2" s="1"/>
  <c r="D30" i="3"/>
  <c r="D47" i="3"/>
  <c r="D32" i="3"/>
  <c r="E5817" i="2" s="1"/>
  <c r="G5817" i="2" s="1"/>
  <c r="D34" i="3"/>
  <c r="D51" i="3"/>
  <c r="D49" i="3"/>
  <c r="E5814" i="2" s="1"/>
  <c r="G5814" i="2" s="1"/>
  <c r="O117" i="1"/>
  <c r="P117" i="1"/>
  <c r="Q117" i="1"/>
  <c r="O118" i="1"/>
  <c r="P118" i="1"/>
  <c r="Q118" i="1"/>
  <c r="O119" i="1"/>
  <c r="P119" i="1"/>
  <c r="Q119" i="1"/>
  <c r="O120" i="1"/>
  <c r="P120" i="1"/>
  <c r="Q120" i="1"/>
  <c r="G4881" i="2"/>
  <c r="G4875" i="2"/>
  <c r="G4874" i="2"/>
  <c r="E4873" i="2"/>
  <c r="G4873" i="2" s="1"/>
  <c r="E4872" i="2"/>
  <c r="G4872" i="2" s="1"/>
  <c r="E4871" i="2"/>
  <c r="G4871" i="2" s="1"/>
  <c r="E4870" i="2"/>
  <c r="G4870" i="2" s="1"/>
  <c r="D4851" i="2"/>
  <c r="C4851" i="2"/>
  <c r="D4850" i="2"/>
  <c r="C4850" i="2"/>
  <c r="E4849" i="2"/>
  <c r="G4849" i="2" s="1"/>
  <c r="D4849" i="2"/>
  <c r="C4849" i="2"/>
  <c r="D4848" i="2"/>
  <c r="C4848" i="2"/>
  <c r="E4847" i="2"/>
  <c r="G4847" i="2" s="1"/>
  <c r="D4847" i="2"/>
  <c r="C4847" i="2"/>
  <c r="D4846" i="2"/>
  <c r="C4846" i="2"/>
  <c r="G4837" i="2"/>
  <c r="G4831" i="2"/>
  <c r="G4830" i="2"/>
  <c r="E4829" i="2"/>
  <c r="G4829" i="2" s="1"/>
  <c r="E4828" i="2"/>
  <c r="G4828" i="2" s="1"/>
  <c r="E4827" i="2"/>
  <c r="G4827" i="2" s="1"/>
  <c r="E4826" i="2"/>
  <c r="G4826" i="2" s="1"/>
  <c r="E4804" i="2"/>
  <c r="G4804" i="2" s="1"/>
  <c r="D4804" i="2"/>
  <c r="C4804" i="2"/>
  <c r="E4803" i="2"/>
  <c r="G4803" i="2" s="1"/>
  <c r="D4803" i="2"/>
  <c r="C4803" i="2"/>
  <c r="D4802" i="2"/>
  <c r="C4802" i="2"/>
  <c r="G4793" i="2"/>
  <c r="G4787" i="2"/>
  <c r="G4786" i="2"/>
  <c r="E4785" i="2"/>
  <c r="G4785" i="2" s="1"/>
  <c r="E4784" i="2"/>
  <c r="G4784" i="2" s="1"/>
  <c r="E4783" i="2"/>
  <c r="G4783" i="2" s="1"/>
  <c r="E4782" i="2"/>
  <c r="G4782" i="2" s="1"/>
  <c r="E4763" i="2"/>
  <c r="G4763" i="2" s="1"/>
  <c r="D4763" i="2"/>
  <c r="C4763" i="2"/>
  <c r="E4762" i="2"/>
  <c r="G4762" i="2" s="1"/>
  <c r="D4762" i="2"/>
  <c r="C4762" i="2"/>
  <c r="E4761" i="2"/>
  <c r="G4761" i="2" s="1"/>
  <c r="D4761" i="2"/>
  <c r="C4761" i="2"/>
  <c r="E4760" i="2"/>
  <c r="G4760" i="2" s="1"/>
  <c r="D4760" i="2"/>
  <c r="C4760" i="2"/>
  <c r="E4759" i="2"/>
  <c r="G4759" i="2" s="1"/>
  <c r="D4759" i="2"/>
  <c r="C4759" i="2"/>
  <c r="D4758" i="2"/>
  <c r="C4758" i="2"/>
  <c r="G4749" i="2"/>
  <c r="G4743" i="2"/>
  <c r="G4742" i="2"/>
  <c r="E4741" i="2"/>
  <c r="G4741" i="2" s="1"/>
  <c r="E4740" i="2"/>
  <c r="G4740" i="2" s="1"/>
  <c r="E4739" i="2"/>
  <c r="G4739" i="2" s="1"/>
  <c r="E4738" i="2"/>
  <c r="G4738" i="2" s="1"/>
  <c r="E4718" i="2"/>
  <c r="G4718" i="2" s="1"/>
  <c r="D4718" i="2"/>
  <c r="C4718" i="2"/>
  <c r="E4717" i="2"/>
  <c r="G4717" i="2" s="1"/>
  <c r="D4717" i="2"/>
  <c r="C4717" i="2"/>
  <c r="E4716" i="2"/>
  <c r="G4716" i="2" s="1"/>
  <c r="D4716" i="2"/>
  <c r="C4716" i="2"/>
  <c r="E4715" i="2"/>
  <c r="G4715" i="2" s="1"/>
  <c r="D4715" i="2"/>
  <c r="C4715" i="2"/>
  <c r="D4714" i="2"/>
  <c r="C4714" i="2"/>
  <c r="C4673" i="2"/>
  <c r="D4673" i="2"/>
  <c r="C4674" i="2"/>
  <c r="D4674" i="2"/>
  <c r="E4674" i="2"/>
  <c r="G4674" i="2" s="1"/>
  <c r="C4675" i="2"/>
  <c r="D4675" i="2"/>
  <c r="E4675" i="2"/>
  <c r="G4675" i="2" s="1"/>
  <c r="C4629" i="2"/>
  <c r="D4629" i="2"/>
  <c r="E4629" i="2"/>
  <c r="G4629" i="2" s="1"/>
  <c r="C4630" i="2"/>
  <c r="D4630" i="2"/>
  <c r="E4630" i="2"/>
  <c r="G4630" i="2" s="1"/>
  <c r="C4631" i="2"/>
  <c r="D4631" i="2"/>
  <c r="E4631" i="2"/>
  <c r="G4631" i="2" s="1"/>
  <c r="D18" i="3"/>
  <c r="D17" i="3"/>
  <c r="E4628" i="2" s="1"/>
  <c r="G4628" i="2" s="1"/>
  <c r="D89" i="3"/>
  <c r="E4671" i="2" s="1"/>
  <c r="G4671" i="2" s="1"/>
  <c r="D126" i="3"/>
  <c r="O115" i="1"/>
  <c r="P115" i="1"/>
  <c r="Q115" i="1"/>
  <c r="O116" i="1"/>
  <c r="P116" i="1"/>
  <c r="Q116" i="1"/>
  <c r="G4705" i="2"/>
  <c r="G4699" i="2"/>
  <c r="G4698" i="2"/>
  <c r="E4697" i="2"/>
  <c r="G4697" i="2" s="1"/>
  <c r="E4696" i="2"/>
  <c r="G4696" i="2" s="1"/>
  <c r="E4695" i="2"/>
  <c r="G4695" i="2" s="1"/>
  <c r="E4694" i="2"/>
  <c r="G4694" i="2" s="1"/>
  <c r="E4672" i="2"/>
  <c r="G4672" i="2" s="1"/>
  <c r="D4672" i="2"/>
  <c r="C4672" i="2"/>
  <c r="D4671" i="2"/>
  <c r="C4671" i="2"/>
  <c r="E4670" i="2"/>
  <c r="G4670" i="2" s="1"/>
  <c r="D4670" i="2"/>
  <c r="C4670" i="2"/>
  <c r="D278" i="3"/>
  <c r="D277" i="3"/>
  <c r="G4661" i="2"/>
  <c r="G4655" i="2"/>
  <c r="G4654" i="2"/>
  <c r="E4653" i="2"/>
  <c r="G4653" i="2" s="1"/>
  <c r="E4652" i="2"/>
  <c r="G4652" i="2" s="1"/>
  <c r="E4651" i="2"/>
  <c r="G4651" i="2" s="1"/>
  <c r="E4650" i="2"/>
  <c r="G4650" i="2" s="1"/>
  <c r="D4628" i="2"/>
  <c r="C4628" i="2"/>
  <c r="D4627" i="2"/>
  <c r="C4627" i="2"/>
  <c r="E4626" i="2"/>
  <c r="G4626" i="2" s="1"/>
  <c r="D4626" i="2"/>
  <c r="C4626" i="2"/>
  <c r="G4617" i="2"/>
  <c r="G4611" i="2"/>
  <c r="G4610" i="2"/>
  <c r="E4609" i="2"/>
  <c r="G4609" i="2" s="1"/>
  <c r="E4608" i="2"/>
  <c r="G4608" i="2" s="1"/>
  <c r="E4607" i="2"/>
  <c r="G4607" i="2" s="1"/>
  <c r="E4606" i="2"/>
  <c r="G4606" i="2" s="1"/>
  <c r="G4573" i="2"/>
  <c r="G4567" i="2"/>
  <c r="G4566" i="2"/>
  <c r="E4565" i="2"/>
  <c r="G4565" i="2" s="1"/>
  <c r="E4564" i="2"/>
  <c r="G4564" i="2" s="1"/>
  <c r="E4563" i="2"/>
  <c r="G4563" i="2" s="1"/>
  <c r="E4562" i="2"/>
  <c r="G4562" i="2" s="1"/>
  <c r="O113" i="1"/>
  <c r="P113" i="1"/>
  <c r="Q113" i="1"/>
  <c r="O114" i="1"/>
  <c r="P114" i="1"/>
  <c r="Q114" i="1"/>
  <c r="F4452" i="2"/>
  <c r="F4496" i="2"/>
  <c r="F4494" i="2"/>
  <c r="F4450" i="2"/>
  <c r="D77" i="3"/>
  <c r="D112" i="3"/>
  <c r="E4494" i="2" s="1"/>
  <c r="G4494" i="2" s="1"/>
  <c r="G4529" i="2"/>
  <c r="G4523" i="2"/>
  <c r="G4522" i="2"/>
  <c r="E4521" i="2"/>
  <c r="G4521" i="2" s="1"/>
  <c r="E4520" i="2"/>
  <c r="G4520" i="2" s="1"/>
  <c r="E4519" i="2"/>
  <c r="G4519" i="2" s="1"/>
  <c r="E4518" i="2"/>
  <c r="G4518" i="2" s="1"/>
  <c r="E4496" i="2"/>
  <c r="D4496" i="2"/>
  <c r="C4496" i="2"/>
  <c r="E4495" i="2"/>
  <c r="G4495" i="2" s="1"/>
  <c r="D4495" i="2"/>
  <c r="C4495" i="2"/>
  <c r="D4494" i="2"/>
  <c r="C4494" i="2"/>
  <c r="G4485" i="2"/>
  <c r="G4479" i="2"/>
  <c r="G4478" i="2"/>
  <c r="E4477" i="2"/>
  <c r="G4477" i="2" s="1"/>
  <c r="E4476" i="2"/>
  <c r="G4476" i="2" s="1"/>
  <c r="E4475" i="2"/>
  <c r="G4475" i="2" s="1"/>
  <c r="E4474" i="2"/>
  <c r="G4474" i="2" s="1"/>
  <c r="E4452" i="2"/>
  <c r="G4452" i="2" s="1"/>
  <c r="D4452" i="2"/>
  <c r="C4452" i="2"/>
  <c r="E4451" i="2"/>
  <c r="G4451" i="2" s="1"/>
  <c r="D4451" i="2"/>
  <c r="C4451" i="2"/>
  <c r="D4450" i="2"/>
  <c r="C4450" i="2"/>
  <c r="O112" i="1"/>
  <c r="P112" i="1"/>
  <c r="Q112" i="1"/>
  <c r="C4407" i="2"/>
  <c r="D4407" i="2"/>
  <c r="C4408" i="2"/>
  <c r="D4408" i="2"/>
  <c r="E4408" i="2"/>
  <c r="G4408" i="2" s="1"/>
  <c r="C4409" i="2"/>
  <c r="D4409" i="2"/>
  <c r="E4409" i="2"/>
  <c r="G4409" i="2" s="1"/>
  <c r="C4410" i="2"/>
  <c r="D4410" i="2"/>
  <c r="C4411" i="2"/>
  <c r="D4411" i="2"/>
  <c r="E4411" i="2"/>
  <c r="G4411" i="2" s="1"/>
  <c r="C4412" i="2"/>
  <c r="D4412" i="2"/>
  <c r="G4441" i="2"/>
  <c r="G4435" i="2"/>
  <c r="G4434" i="2"/>
  <c r="E4433" i="2"/>
  <c r="G4433" i="2" s="1"/>
  <c r="E4432" i="2"/>
  <c r="G4432" i="2" s="1"/>
  <c r="E4431" i="2"/>
  <c r="G4431" i="2" s="1"/>
  <c r="E4430" i="2"/>
  <c r="G4430" i="2" s="1"/>
  <c r="D4406" i="2"/>
  <c r="C4406" i="2"/>
  <c r="D106" i="3"/>
  <c r="E7445" i="2" s="1"/>
  <c r="G7445" i="2" s="1"/>
  <c r="D82" i="3"/>
  <c r="D191" i="3"/>
  <c r="E4410" i="2" s="1"/>
  <c r="G4410" i="2" s="1"/>
  <c r="D187" i="3"/>
  <c r="G4397" i="2"/>
  <c r="G4391" i="2"/>
  <c r="G4390" i="2"/>
  <c r="E4389" i="2"/>
  <c r="G4389" i="2" s="1"/>
  <c r="E4388" i="2"/>
  <c r="G4388" i="2" s="1"/>
  <c r="E4387" i="2"/>
  <c r="G4387" i="2" s="1"/>
  <c r="E4386" i="2"/>
  <c r="G4386" i="2" s="1"/>
  <c r="D4362" i="2"/>
  <c r="C4362" i="2"/>
  <c r="D108" i="3"/>
  <c r="E4362" i="2" s="1"/>
  <c r="G4362" i="2" s="1"/>
  <c r="G4383" i="2" s="1"/>
  <c r="C4319" i="2"/>
  <c r="D4319" i="2"/>
  <c r="E4319" i="2"/>
  <c r="G4319" i="2" s="1"/>
  <c r="D76" i="3"/>
  <c r="G4353" i="2"/>
  <c r="G4347" i="2"/>
  <c r="G4346" i="2"/>
  <c r="E4345" i="2"/>
  <c r="G4345" i="2" s="1"/>
  <c r="E4344" i="2"/>
  <c r="G4344" i="2" s="1"/>
  <c r="E4343" i="2"/>
  <c r="G4343" i="2" s="1"/>
  <c r="E4342" i="2"/>
  <c r="G4342" i="2" s="1"/>
  <c r="E4318" i="2"/>
  <c r="G4318" i="2" s="1"/>
  <c r="D4318" i="2"/>
  <c r="C4318" i="2"/>
  <c r="D22" i="3"/>
  <c r="E4274" i="2" s="1"/>
  <c r="G4274" i="2" s="1"/>
  <c r="G4295" i="2" s="1"/>
  <c r="D21" i="3"/>
  <c r="G4309" i="2"/>
  <c r="G4303" i="2"/>
  <c r="G4302" i="2"/>
  <c r="E4301" i="2"/>
  <c r="G4301" i="2" s="1"/>
  <c r="E4300" i="2"/>
  <c r="G4300" i="2" s="1"/>
  <c r="E4299" i="2"/>
  <c r="G4299" i="2" s="1"/>
  <c r="E4298" i="2"/>
  <c r="G4298" i="2" s="1"/>
  <c r="D4274" i="2"/>
  <c r="C4274" i="2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G4265" i="2"/>
  <c r="G4259" i="2"/>
  <c r="G4258" i="2"/>
  <c r="E4257" i="2"/>
  <c r="G4257" i="2" s="1"/>
  <c r="E4256" i="2"/>
  <c r="G4256" i="2" s="1"/>
  <c r="E4255" i="2"/>
  <c r="G4255" i="2" s="1"/>
  <c r="E4254" i="2"/>
  <c r="G4254" i="2" s="1"/>
  <c r="E4230" i="2"/>
  <c r="G4230" i="2" s="1"/>
  <c r="G4251" i="2" s="1"/>
  <c r="D4230" i="2"/>
  <c r="C4230" i="2"/>
  <c r="C4189" i="2"/>
  <c r="D4189" i="2"/>
  <c r="E4189" i="2"/>
  <c r="G4189" i="2" s="1"/>
  <c r="C4190" i="2"/>
  <c r="D4190" i="2"/>
  <c r="C4191" i="2"/>
  <c r="D4191" i="2"/>
  <c r="E4191" i="2"/>
  <c r="G4191" i="2" s="1"/>
  <c r="C4192" i="2"/>
  <c r="D4192" i="2"/>
  <c r="C4193" i="2"/>
  <c r="D4193" i="2"/>
  <c r="C4194" i="2"/>
  <c r="D4194" i="2"/>
  <c r="C4195" i="2"/>
  <c r="D4195" i="2"/>
  <c r="C4196" i="2"/>
  <c r="D4196" i="2"/>
  <c r="E4196" i="2"/>
  <c r="G4196" i="2" s="1"/>
  <c r="C4197" i="2"/>
  <c r="D4197" i="2"/>
  <c r="C4198" i="2"/>
  <c r="D4198" i="2"/>
  <c r="C4199" i="2"/>
  <c r="D4199" i="2"/>
  <c r="E4199" i="2"/>
  <c r="G4199" i="2" s="1"/>
  <c r="C4200" i="2"/>
  <c r="D4200" i="2"/>
  <c r="C4201" i="2"/>
  <c r="D4201" i="2"/>
  <c r="E4201" i="2"/>
  <c r="G4201" i="2" s="1"/>
  <c r="C4202" i="2"/>
  <c r="D4202" i="2"/>
  <c r="C4203" i="2"/>
  <c r="D4203" i="2"/>
  <c r="E4203" i="2"/>
  <c r="G4203" i="2" s="1"/>
  <c r="M20" i="3"/>
  <c r="O20" i="3"/>
  <c r="D70" i="3"/>
  <c r="E4202" i="2" s="1"/>
  <c r="G4202" i="2" s="1"/>
  <c r="M18" i="3"/>
  <c r="O18" i="3"/>
  <c r="M19" i="3"/>
  <c r="O19" i="3"/>
  <c r="G4221" i="2"/>
  <c r="G4215" i="2"/>
  <c r="G4214" i="2"/>
  <c r="E4213" i="2"/>
  <c r="G4213" i="2" s="1"/>
  <c r="E4212" i="2"/>
  <c r="G4212" i="2" s="1"/>
  <c r="E4211" i="2"/>
  <c r="G4211" i="2" s="1"/>
  <c r="E4210" i="2"/>
  <c r="G4210" i="2" s="1"/>
  <c r="D4188" i="2"/>
  <c r="C4188" i="2"/>
  <c r="D4187" i="2"/>
  <c r="C4187" i="2"/>
  <c r="D4186" i="2"/>
  <c r="C4186" i="2"/>
  <c r="D144" i="3"/>
  <c r="E4142" i="2" s="1"/>
  <c r="G4142" i="2" s="1"/>
  <c r="G4177" i="2"/>
  <c r="G4171" i="2"/>
  <c r="G4170" i="2"/>
  <c r="E4169" i="2"/>
  <c r="G4169" i="2" s="1"/>
  <c r="E4168" i="2"/>
  <c r="G4168" i="2" s="1"/>
  <c r="E4167" i="2"/>
  <c r="G4167" i="2" s="1"/>
  <c r="E4166" i="2"/>
  <c r="G4166" i="2" s="1"/>
  <c r="E4144" i="2"/>
  <c r="G4144" i="2" s="1"/>
  <c r="D4144" i="2"/>
  <c r="C4144" i="2"/>
  <c r="E4143" i="2"/>
  <c r="G4143" i="2" s="1"/>
  <c r="D4143" i="2"/>
  <c r="C4143" i="2"/>
  <c r="D4142" i="2"/>
  <c r="C4142" i="2"/>
  <c r="O103" i="1"/>
  <c r="P103" i="1"/>
  <c r="Q103" i="1"/>
  <c r="O104" i="1"/>
  <c r="P104" i="1"/>
  <c r="Q104" i="1"/>
  <c r="O105" i="1"/>
  <c r="P105" i="1"/>
  <c r="Q105" i="1"/>
  <c r="D145" i="3"/>
  <c r="G4133" i="2"/>
  <c r="G4127" i="2"/>
  <c r="G4126" i="2"/>
  <c r="E4125" i="2"/>
  <c r="G4125" i="2" s="1"/>
  <c r="E4124" i="2"/>
  <c r="G4124" i="2" s="1"/>
  <c r="E4123" i="2"/>
  <c r="G4123" i="2" s="1"/>
  <c r="E4122" i="2"/>
  <c r="G4122" i="2" s="1"/>
  <c r="E4100" i="2"/>
  <c r="G4100" i="2" s="1"/>
  <c r="D4100" i="2"/>
  <c r="C4100" i="2"/>
  <c r="E4099" i="2"/>
  <c r="G4099" i="2" s="1"/>
  <c r="D4099" i="2"/>
  <c r="C4099" i="2"/>
  <c r="E4098" i="2"/>
  <c r="G4098" i="2" s="1"/>
  <c r="D4098" i="2"/>
  <c r="C4098" i="2"/>
  <c r="O102" i="1"/>
  <c r="P102" i="1"/>
  <c r="Q102" i="1"/>
  <c r="C4064" i="2"/>
  <c r="D4064" i="2"/>
  <c r="C4065" i="2"/>
  <c r="D4065" i="2"/>
  <c r="E4065" i="2"/>
  <c r="G4065" i="2" s="1"/>
  <c r="C4066" i="2"/>
  <c r="D4066" i="2"/>
  <c r="C4067" i="2"/>
  <c r="D4067" i="2"/>
  <c r="E4067" i="2"/>
  <c r="G4067" i="2" s="1"/>
  <c r="D102" i="3"/>
  <c r="D103" i="3"/>
  <c r="E4064" i="2" s="1"/>
  <c r="G4064" i="2" s="1"/>
  <c r="D116" i="3"/>
  <c r="E4063" i="2" s="1"/>
  <c r="G4063" i="2" s="1"/>
  <c r="D115" i="3"/>
  <c r="D98" i="3"/>
  <c r="E4195" i="2" s="1"/>
  <c r="G4195" i="2" s="1"/>
  <c r="D107" i="3"/>
  <c r="E4194" i="2" s="1"/>
  <c r="G4194" i="2" s="1"/>
  <c r="O17" i="3"/>
  <c r="M15" i="3"/>
  <c r="O15" i="3"/>
  <c r="M16" i="3"/>
  <c r="O16" i="3"/>
  <c r="M17" i="3"/>
  <c r="G4089" i="2"/>
  <c r="G4083" i="2"/>
  <c r="G4082" i="2"/>
  <c r="E4081" i="2"/>
  <c r="G4081" i="2" s="1"/>
  <c r="E4080" i="2"/>
  <c r="G4080" i="2" s="1"/>
  <c r="E4079" i="2"/>
  <c r="G4079" i="2" s="1"/>
  <c r="E4078" i="2"/>
  <c r="G4078" i="2" s="1"/>
  <c r="D4063" i="2"/>
  <c r="C4063" i="2"/>
  <c r="E4062" i="2"/>
  <c r="G4062" i="2" s="1"/>
  <c r="D4062" i="2"/>
  <c r="C4062" i="2"/>
  <c r="E4061" i="2"/>
  <c r="G4061" i="2" s="1"/>
  <c r="D4061" i="2"/>
  <c r="C4061" i="2"/>
  <c r="D4060" i="2"/>
  <c r="C4060" i="2"/>
  <c r="D4059" i="2"/>
  <c r="C4059" i="2"/>
  <c r="D4058" i="2"/>
  <c r="C4058" i="2"/>
  <c r="E4057" i="2"/>
  <c r="G4057" i="2" s="1"/>
  <c r="D4057" i="2"/>
  <c r="C4057" i="2"/>
  <c r="D4056" i="2"/>
  <c r="C4056" i="2"/>
  <c r="E4055" i="2"/>
  <c r="G4055" i="2" s="1"/>
  <c r="D4055" i="2"/>
  <c r="C4055" i="2"/>
  <c r="D4054" i="2"/>
  <c r="C4054" i="2"/>
  <c r="G5140" i="2" l="1"/>
  <c r="E9029" i="2"/>
  <c r="G9029" i="2" s="1"/>
  <c r="E8985" i="2"/>
  <c r="G8985" i="2" s="1"/>
  <c r="E4673" i="2"/>
  <c r="G4673" i="2" s="1"/>
  <c r="G4691" i="2" s="1"/>
  <c r="E7750" i="2"/>
  <c r="G7750" i="2" s="1"/>
  <c r="E7662" i="2"/>
  <c r="G7662" i="2" s="1"/>
  <c r="E5815" i="2"/>
  <c r="G5815" i="2" s="1"/>
  <c r="E7531" i="2"/>
  <c r="G7531" i="2" s="1"/>
  <c r="E5860" i="2"/>
  <c r="G5860" i="2" s="1"/>
  <c r="E4198" i="2"/>
  <c r="G4198" i="2" s="1"/>
  <c r="E7752" i="2"/>
  <c r="G7752" i="2" s="1"/>
  <c r="E7664" i="2"/>
  <c r="G7664" i="2" s="1"/>
  <c r="E5816" i="2"/>
  <c r="G5816" i="2" s="1"/>
  <c r="E7533" i="2"/>
  <c r="G7533" i="2" s="1"/>
  <c r="E5863" i="2"/>
  <c r="G5863" i="2" s="1"/>
  <c r="E4627" i="2"/>
  <c r="G4627" i="2" s="1"/>
  <c r="G4647" i="2" s="1"/>
  <c r="E4848" i="2"/>
  <c r="G4848" i="2" s="1"/>
  <c r="E7619" i="2"/>
  <c r="G7619" i="2" s="1"/>
  <c r="E7751" i="2"/>
  <c r="G7751" i="2" s="1"/>
  <c r="E7663" i="2"/>
  <c r="G7663" i="2" s="1"/>
  <c r="E5859" i="2"/>
  <c r="G5859" i="2" s="1"/>
  <c r="E4758" i="2"/>
  <c r="G4758" i="2" s="1"/>
  <c r="E4851" i="2"/>
  <c r="G4851" i="2" s="1"/>
  <c r="E8014" i="2"/>
  <c r="G8014" i="2" s="1"/>
  <c r="E7530" i="2"/>
  <c r="G7530" i="2" s="1"/>
  <c r="E7447" i="2"/>
  <c r="G7447" i="2" s="1"/>
  <c r="E5858" i="2"/>
  <c r="G5858" i="2" s="1"/>
  <c r="E7621" i="2"/>
  <c r="G7621" i="2" s="1"/>
  <c r="E7753" i="2"/>
  <c r="G7753" i="2" s="1"/>
  <c r="E7665" i="2"/>
  <c r="G7665" i="2" s="1"/>
  <c r="E5862" i="2"/>
  <c r="G5862" i="2" s="1"/>
  <c r="E4060" i="2"/>
  <c r="G4060" i="2" s="1"/>
  <c r="E4197" i="2"/>
  <c r="G4197" i="2" s="1"/>
  <c r="E8851" i="2"/>
  <c r="G8851" i="2" s="1"/>
  <c r="G8871" i="2" s="1"/>
  <c r="E8763" i="2"/>
  <c r="G8763" i="2" s="1"/>
  <c r="G8783" i="2" s="1"/>
  <c r="E8631" i="2"/>
  <c r="G8631" i="2" s="1"/>
  <c r="G8651" i="2" s="1"/>
  <c r="E8807" i="2"/>
  <c r="G8807" i="2" s="1"/>
  <c r="G8827" i="2" s="1"/>
  <c r="E8587" i="2"/>
  <c r="G8587" i="2" s="1"/>
  <c r="G8607" i="2" s="1"/>
  <c r="E8719" i="2"/>
  <c r="G8719" i="2" s="1"/>
  <c r="G8739" i="2" s="1"/>
  <c r="E8675" i="2"/>
  <c r="G8675" i="2" s="1"/>
  <c r="G8695" i="2" s="1"/>
  <c r="E5683" i="2"/>
  <c r="G5683" i="2" s="1"/>
  <c r="G5703" i="2" s="1"/>
  <c r="E5639" i="2"/>
  <c r="G5639" i="2" s="1"/>
  <c r="G5659" i="2" s="1"/>
  <c r="E5507" i="2"/>
  <c r="G5507" i="2" s="1"/>
  <c r="G5527" i="2" s="1"/>
  <c r="E5463" i="2"/>
  <c r="G5463" i="2" s="1"/>
  <c r="G5483" i="2" s="1"/>
  <c r="E5771" i="2"/>
  <c r="G5771" i="2" s="1"/>
  <c r="G5791" i="2" s="1"/>
  <c r="E5727" i="2"/>
  <c r="G5727" i="2" s="1"/>
  <c r="G5747" i="2" s="1"/>
  <c r="E5419" i="2"/>
  <c r="G5419" i="2" s="1"/>
  <c r="G5439" i="2" s="1"/>
  <c r="E5595" i="2"/>
  <c r="G5595" i="2" s="1"/>
  <c r="G5615" i="2" s="1"/>
  <c r="E5551" i="2"/>
  <c r="G5551" i="2" s="1"/>
  <c r="G5571" i="2" s="1"/>
  <c r="E5375" i="2"/>
  <c r="G5375" i="2" s="1"/>
  <c r="G5395" i="2" s="1"/>
  <c r="E4802" i="2"/>
  <c r="G4802" i="2" s="1"/>
  <c r="G4823" i="2" s="1"/>
  <c r="E4846" i="2"/>
  <c r="G4846" i="2" s="1"/>
  <c r="E7532" i="2"/>
  <c r="G7532" i="2" s="1"/>
  <c r="E8016" i="2"/>
  <c r="G8016" i="2" s="1"/>
  <c r="E7449" i="2"/>
  <c r="G7449" i="2" s="1"/>
  <c r="E5861" i="2"/>
  <c r="G5861" i="2" s="1"/>
  <c r="E4450" i="2"/>
  <c r="G4450" i="2" s="1"/>
  <c r="G4471" i="2" s="1"/>
  <c r="E9026" i="2"/>
  <c r="G9026" i="2" s="1"/>
  <c r="E8982" i="2"/>
  <c r="G8982" i="2" s="1"/>
  <c r="E4714" i="2"/>
  <c r="G4714" i="2" s="1"/>
  <c r="G4735" i="2" s="1"/>
  <c r="E4412" i="2"/>
  <c r="G4412" i="2" s="1"/>
  <c r="E8983" i="2"/>
  <c r="G8983" i="2" s="1"/>
  <c r="E9027" i="2"/>
  <c r="G9027" i="2" s="1"/>
  <c r="E9028" i="2"/>
  <c r="G9028" i="2" s="1"/>
  <c r="E8984" i="2"/>
  <c r="G8984" i="2" s="1"/>
  <c r="G4260" i="2"/>
  <c r="G5184" i="2"/>
  <c r="G4304" i="2"/>
  <c r="G5263" i="2"/>
  <c r="G5272" i="2"/>
  <c r="G5219" i="2"/>
  <c r="G5228" i="2"/>
  <c r="G5175" i="2"/>
  <c r="G5131" i="2"/>
  <c r="G5096" i="2"/>
  <c r="G5087" i="2"/>
  <c r="G5043" i="2"/>
  <c r="G5052" i="2"/>
  <c r="G5008" i="2"/>
  <c r="G4955" i="2"/>
  <c r="G4964" i="2"/>
  <c r="G4911" i="2"/>
  <c r="G4920" i="2"/>
  <c r="G4876" i="2"/>
  <c r="G4832" i="2"/>
  <c r="G4779" i="2"/>
  <c r="G4788" i="2"/>
  <c r="G4744" i="2"/>
  <c r="G4700" i="2"/>
  <c r="G4656" i="2"/>
  <c r="G4612" i="2"/>
  <c r="G4568" i="2"/>
  <c r="G4496" i="2"/>
  <c r="G4515" i="2" s="1"/>
  <c r="G4524" i="2"/>
  <c r="G4480" i="2"/>
  <c r="G4436" i="2"/>
  <c r="G4392" i="2"/>
  <c r="G4339" i="2"/>
  <c r="G4348" i="2"/>
  <c r="G4216" i="2"/>
  <c r="G4163" i="2"/>
  <c r="G4172" i="2"/>
  <c r="G4119" i="2"/>
  <c r="G4128" i="2"/>
  <c r="G4084" i="2"/>
  <c r="C4011" i="2"/>
  <c r="D4011" i="2"/>
  <c r="C4012" i="2"/>
  <c r="D4012" i="2"/>
  <c r="C4013" i="2"/>
  <c r="D4013" i="2"/>
  <c r="E4013" i="2"/>
  <c r="G4013" i="2" s="1"/>
  <c r="C4014" i="2"/>
  <c r="D4014" i="2"/>
  <c r="C4015" i="2"/>
  <c r="D4015" i="2"/>
  <c r="E4015" i="2"/>
  <c r="G4015" i="2" s="1"/>
  <c r="C4016" i="2"/>
  <c r="D4016" i="2"/>
  <c r="C4017" i="2"/>
  <c r="D4017" i="2"/>
  <c r="C4018" i="2"/>
  <c r="D4018" i="2"/>
  <c r="E4018" i="2"/>
  <c r="G4018" i="2" s="1"/>
  <c r="C4019" i="2"/>
  <c r="D4019" i="2"/>
  <c r="E4019" i="2"/>
  <c r="G4019" i="2" s="1"/>
  <c r="D146" i="3"/>
  <c r="D5" i="3"/>
  <c r="D6" i="3"/>
  <c r="E4016" i="2" s="1"/>
  <c r="G4016" i="2" s="1"/>
  <c r="E4014" i="2"/>
  <c r="G4014" i="2" s="1"/>
  <c r="D123" i="3"/>
  <c r="D91" i="3"/>
  <c r="E4011" i="2" s="1"/>
  <c r="G4011" i="2" s="1"/>
  <c r="D9" i="3"/>
  <c r="G4045" i="2"/>
  <c r="G4039" i="2"/>
  <c r="G4038" i="2"/>
  <c r="E4037" i="2"/>
  <c r="G4037" i="2" s="1"/>
  <c r="E4036" i="2"/>
  <c r="G4036" i="2" s="1"/>
  <c r="E4035" i="2"/>
  <c r="G4035" i="2" s="1"/>
  <c r="E4034" i="2"/>
  <c r="G4034" i="2" s="1"/>
  <c r="E4010" i="2"/>
  <c r="G4010" i="2" s="1"/>
  <c r="D4010" i="2"/>
  <c r="C4010" i="2"/>
  <c r="O101" i="1"/>
  <c r="P101" i="1"/>
  <c r="Q101" i="1"/>
  <c r="G4001" i="2"/>
  <c r="G3995" i="2"/>
  <c r="G3994" i="2"/>
  <c r="E3993" i="2"/>
  <c r="G3993" i="2" s="1"/>
  <c r="E3992" i="2"/>
  <c r="G3992" i="2" s="1"/>
  <c r="E3991" i="2"/>
  <c r="G3991" i="2" s="1"/>
  <c r="E3990" i="2"/>
  <c r="G3990" i="2" s="1"/>
  <c r="E3966" i="2"/>
  <c r="G3966" i="2" s="1"/>
  <c r="G3987" i="2" s="1"/>
  <c r="D3966" i="2"/>
  <c r="C3966" i="2"/>
  <c r="O100" i="1"/>
  <c r="P100" i="1"/>
  <c r="Q100" i="1"/>
  <c r="D53" i="3"/>
  <c r="G3957" i="2"/>
  <c r="G3951" i="2"/>
  <c r="G3950" i="2"/>
  <c r="E3949" i="2"/>
  <c r="G3949" i="2" s="1"/>
  <c r="E3948" i="2"/>
  <c r="G3948" i="2" s="1"/>
  <c r="E3947" i="2"/>
  <c r="G3947" i="2" s="1"/>
  <c r="E3946" i="2"/>
  <c r="G3946" i="2" s="1"/>
  <c r="E3922" i="2"/>
  <c r="G3922" i="2" s="1"/>
  <c r="D3922" i="2"/>
  <c r="C3922" i="2"/>
  <c r="O99" i="1"/>
  <c r="P99" i="1"/>
  <c r="Q99" i="1"/>
  <c r="D179" i="3"/>
  <c r="D11" i="3"/>
  <c r="G3913" i="2"/>
  <c r="G3907" i="2"/>
  <c r="G3906" i="2"/>
  <c r="E3905" i="2"/>
  <c r="G3905" i="2" s="1"/>
  <c r="E3904" i="2"/>
  <c r="G3904" i="2" s="1"/>
  <c r="E3903" i="2"/>
  <c r="G3903" i="2" s="1"/>
  <c r="E3902" i="2"/>
  <c r="G3902" i="2" s="1"/>
  <c r="E3887" i="2"/>
  <c r="G3887" i="2" s="1"/>
  <c r="D3887" i="2"/>
  <c r="C3887" i="2"/>
  <c r="E3886" i="2"/>
  <c r="G3886" i="2" s="1"/>
  <c r="D3886" i="2"/>
  <c r="C3886" i="2"/>
  <c r="D3885" i="2"/>
  <c r="C3885" i="2"/>
  <c r="E3884" i="2"/>
  <c r="G3884" i="2" s="1"/>
  <c r="D3884" i="2"/>
  <c r="C3884" i="2"/>
  <c r="E3883" i="2"/>
  <c r="G3883" i="2" s="1"/>
  <c r="D3883" i="2"/>
  <c r="C3883" i="2"/>
  <c r="D3882" i="2"/>
  <c r="C3882" i="2"/>
  <c r="E3881" i="2"/>
  <c r="G3881" i="2" s="1"/>
  <c r="D3881" i="2"/>
  <c r="C3881" i="2"/>
  <c r="E3880" i="2"/>
  <c r="G3880" i="2" s="1"/>
  <c r="D3880" i="2"/>
  <c r="C3880" i="2"/>
  <c r="E3879" i="2"/>
  <c r="G3879" i="2" s="1"/>
  <c r="D3879" i="2"/>
  <c r="C3879" i="2"/>
  <c r="E3878" i="2"/>
  <c r="G3878" i="2" s="1"/>
  <c r="D3878" i="2"/>
  <c r="C3878" i="2"/>
  <c r="O98" i="1"/>
  <c r="P98" i="1"/>
  <c r="Q98" i="1"/>
  <c r="D178" i="3"/>
  <c r="G3869" i="2"/>
  <c r="G3863" i="2"/>
  <c r="G3862" i="2"/>
  <c r="G3861" i="2"/>
  <c r="E3861" i="2"/>
  <c r="E3860" i="2"/>
  <c r="G3860" i="2" s="1"/>
  <c r="E3859" i="2"/>
  <c r="G3859" i="2" s="1"/>
  <c r="E3858" i="2"/>
  <c r="G3858" i="2" s="1"/>
  <c r="E3843" i="2"/>
  <c r="G3843" i="2" s="1"/>
  <c r="D3843" i="2"/>
  <c r="C3843" i="2"/>
  <c r="E3842" i="2"/>
  <c r="G3842" i="2" s="1"/>
  <c r="D3842" i="2"/>
  <c r="C3842" i="2"/>
  <c r="D3841" i="2"/>
  <c r="C3841" i="2"/>
  <c r="E3840" i="2"/>
  <c r="G3840" i="2" s="1"/>
  <c r="D3840" i="2"/>
  <c r="C3840" i="2"/>
  <c r="D3839" i="2"/>
  <c r="C3839" i="2"/>
  <c r="D3838" i="2"/>
  <c r="C3838" i="2"/>
  <c r="E3837" i="2"/>
  <c r="G3837" i="2" s="1"/>
  <c r="D3837" i="2"/>
  <c r="C3837" i="2"/>
  <c r="E3836" i="2"/>
  <c r="G3836" i="2" s="1"/>
  <c r="D3836" i="2"/>
  <c r="C3836" i="2"/>
  <c r="E3835" i="2"/>
  <c r="G3835" i="2" s="1"/>
  <c r="D3835" i="2"/>
  <c r="C3835" i="2"/>
  <c r="E3834" i="2"/>
  <c r="G3834" i="2" s="1"/>
  <c r="D3834" i="2"/>
  <c r="C3834" i="2"/>
  <c r="O97" i="1"/>
  <c r="P97" i="1"/>
  <c r="Q97" i="1"/>
  <c r="G3825" i="2"/>
  <c r="G3819" i="2"/>
  <c r="G3818" i="2"/>
  <c r="E3817" i="2"/>
  <c r="G3817" i="2" s="1"/>
  <c r="E3816" i="2"/>
  <c r="G3816" i="2" s="1"/>
  <c r="E3815" i="2"/>
  <c r="G3815" i="2" s="1"/>
  <c r="E3814" i="2"/>
  <c r="G3814" i="2" s="1"/>
  <c r="E3799" i="2"/>
  <c r="G3799" i="2" s="1"/>
  <c r="D3799" i="2"/>
  <c r="C3799" i="2"/>
  <c r="D3798" i="2"/>
  <c r="C3798" i="2"/>
  <c r="E3797" i="2"/>
  <c r="G3797" i="2" s="1"/>
  <c r="D3797" i="2"/>
  <c r="C3797" i="2"/>
  <c r="E3796" i="2"/>
  <c r="G3796" i="2" s="1"/>
  <c r="D3796" i="2"/>
  <c r="C3796" i="2"/>
  <c r="D3795" i="2"/>
  <c r="C3795" i="2"/>
  <c r="D3794" i="2"/>
  <c r="C3794" i="2"/>
  <c r="E3793" i="2"/>
  <c r="G3793" i="2" s="1"/>
  <c r="D3793" i="2"/>
  <c r="C3793" i="2"/>
  <c r="E3792" i="2"/>
  <c r="G3792" i="2" s="1"/>
  <c r="D3792" i="2"/>
  <c r="C3792" i="2"/>
  <c r="E3791" i="2"/>
  <c r="G3791" i="2" s="1"/>
  <c r="D3791" i="2"/>
  <c r="C3791" i="2"/>
  <c r="E3790" i="2"/>
  <c r="G3790" i="2" s="1"/>
  <c r="D3790" i="2"/>
  <c r="C3790" i="2"/>
  <c r="O95" i="1"/>
  <c r="P95" i="1"/>
  <c r="Q95" i="1"/>
  <c r="O96" i="1"/>
  <c r="P96" i="1"/>
  <c r="Q96" i="1"/>
  <c r="C3755" i="2"/>
  <c r="D3755" i="2"/>
  <c r="E3755" i="2"/>
  <c r="G3755" i="2" s="1"/>
  <c r="M12" i="3"/>
  <c r="O12" i="3"/>
  <c r="M13" i="3"/>
  <c r="O13" i="3"/>
  <c r="M14" i="3"/>
  <c r="O14" i="3"/>
  <c r="M3" i="3"/>
  <c r="M4" i="3"/>
  <c r="M5" i="3"/>
  <c r="M6" i="3"/>
  <c r="M7" i="3"/>
  <c r="M8" i="3"/>
  <c r="M9" i="3"/>
  <c r="M10" i="3"/>
  <c r="M11" i="3"/>
  <c r="G3781" i="2"/>
  <c r="G3775" i="2"/>
  <c r="G3774" i="2"/>
  <c r="E3773" i="2"/>
  <c r="G3773" i="2" s="1"/>
  <c r="E3772" i="2"/>
  <c r="G3772" i="2" s="1"/>
  <c r="E3771" i="2"/>
  <c r="G3771" i="2" s="1"/>
  <c r="E3770" i="2"/>
  <c r="G3770" i="2" s="1"/>
  <c r="D3754" i="2"/>
  <c r="C3754" i="2"/>
  <c r="E3753" i="2"/>
  <c r="G3753" i="2" s="1"/>
  <c r="D3753" i="2"/>
  <c r="C3753" i="2"/>
  <c r="E3752" i="2"/>
  <c r="G3752" i="2" s="1"/>
  <c r="D3752" i="2"/>
  <c r="C3752" i="2"/>
  <c r="D3751" i="2"/>
  <c r="C3751" i="2"/>
  <c r="D3750" i="2"/>
  <c r="C3750" i="2"/>
  <c r="E3749" i="2"/>
  <c r="G3749" i="2" s="1"/>
  <c r="D3749" i="2"/>
  <c r="C3749" i="2"/>
  <c r="E3748" i="2"/>
  <c r="G3748" i="2" s="1"/>
  <c r="D3748" i="2"/>
  <c r="C3748" i="2"/>
  <c r="E3747" i="2"/>
  <c r="G3747" i="2" s="1"/>
  <c r="D3747" i="2"/>
  <c r="C3747" i="2"/>
  <c r="E3746" i="2"/>
  <c r="G3746" i="2" s="1"/>
  <c r="D3746" i="2"/>
  <c r="C3746" i="2"/>
  <c r="O94" i="1"/>
  <c r="P94" i="1"/>
  <c r="Q94" i="1"/>
  <c r="G3737" i="2"/>
  <c r="G3731" i="2"/>
  <c r="G3730" i="2"/>
  <c r="E3729" i="2"/>
  <c r="G3729" i="2" s="1"/>
  <c r="E3728" i="2"/>
  <c r="G3728" i="2" s="1"/>
  <c r="E3727" i="2"/>
  <c r="G3727" i="2" s="1"/>
  <c r="E3726" i="2"/>
  <c r="G3726" i="2" s="1"/>
  <c r="E3710" i="2"/>
  <c r="G3710" i="2" s="1"/>
  <c r="D3710" i="2"/>
  <c r="C3710" i="2"/>
  <c r="D3709" i="2"/>
  <c r="C3709" i="2"/>
  <c r="E3708" i="2"/>
  <c r="G3708" i="2" s="1"/>
  <c r="D3708" i="2"/>
  <c r="C3708" i="2"/>
  <c r="E3707" i="2"/>
  <c r="G3707" i="2" s="1"/>
  <c r="D3707" i="2"/>
  <c r="C3707" i="2"/>
  <c r="D3706" i="2"/>
  <c r="C3706" i="2"/>
  <c r="E3705" i="2"/>
  <c r="G3705" i="2" s="1"/>
  <c r="D3705" i="2"/>
  <c r="C3705" i="2"/>
  <c r="E3704" i="2"/>
  <c r="G3704" i="2" s="1"/>
  <c r="D3704" i="2"/>
  <c r="C3704" i="2"/>
  <c r="E3703" i="2"/>
  <c r="G3703" i="2" s="1"/>
  <c r="D3703" i="2"/>
  <c r="C3703" i="2"/>
  <c r="E3702" i="2"/>
  <c r="G3702" i="2" s="1"/>
  <c r="D3702" i="2"/>
  <c r="C3702" i="2"/>
  <c r="O93" i="1"/>
  <c r="P93" i="1"/>
  <c r="Q93" i="1"/>
  <c r="C3663" i="2"/>
  <c r="D3663" i="2"/>
  <c r="C3664" i="2"/>
  <c r="D3664" i="2"/>
  <c r="E3664" i="2"/>
  <c r="G3664" i="2" s="1"/>
  <c r="C3665" i="2"/>
  <c r="D3665" i="2"/>
  <c r="E3665" i="2"/>
  <c r="G3665" i="2" s="1"/>
  <c r="C3666" i="2"/>
  <c r="D3666" i="2"/>
  <c r="E3666" i="2"/>
  <c r="G3666" i="2" s="1"/>
  <c r="D74" i="3"/>
  <c r="E8462" i="2" s="1"/>
  <c r="G8462" i="2" s="1"/>
  <c r="D12" i="3"/>
  <c r="E3663" i="2" s="1"/>
  <c r="G3663" i="2" s="1"/>
  <c r="D13" i="3"/>
  <c r="M1" i="3"/>
  <c r="N20" i="3" s="1"/>
  <c r="O4" i="3"/>
  <c r="O5" i="3"/>
  <c r="O6" i="3"/>
  <c r="O7" i="3"/>
  <c r="O8" i="3"/>
  <c r="O9" i="3"/>
  <c r="O10" i="3"/>
  <c r="O11" i="3"/>
  <c r="O3" i="3"/>
  <c r="G3693" i="2"/>
  <c r="G3687" i="2"/>
  <c r="G3686" i="2"/>
  <c r="E3685" i="2"/>
  <c r="G3685" i="2" s="1"/>
  <c r="E3684" i="2"/>
  <c r="G3684" i="2" s="1"/>
  <c r="E3683" i="2"/>
  <c r="G3683" i="2" s="1"/>
  <c r="E3682" i="2"/>
  <c r="G3682" i="2" s="1"/>
  <c r="G4867" i="2" l="1"/>
  <c r="G5835" i="2"/>
  <c r="G7639" i="2"/>
  <c r="G9047" i="2"/>
  <c r="G7463" i="2"/>
  <c r="E8502" i="2"/>
  <c r="G8502" i="2" s="1"/>
  <c r="E8458" i="2"/>
  <c r="G8458" i="2" s="1"/>
  <c r="E3754" i="2"/>
  <c r="G3754" i="2" s="1"/>
  <c r="E3882" i="2"/>
  <c r="G3882" i="2" s="1"/>
  <c r="E4193" i="2"/>
  <c r="G4193" i="2" s="1"/>
  <c r="E4059" i="2"/>
  <c r="G4059" i="2" s="1"/>
  <c r="E4017" i="2"/>
  <c r="G4017" i="2" s="1"/>
  <c r="I8701" i="2"/>
  <c r="I8700" i="2"/>
  <c r="I8708" i="2"/>
  <c r="I8698" i="2"/>
  <c r="I8707" i="2"/>
  <c r="G8035" i="2"/>
  <c r="E3795" i="2"/>
  <c r="G3795" i="2" s="1"/>
  <c r="E3839" i="2"/>
  <c r="G3839" i="2" s="1"/>
  <c r="E3885" i="2"/>
  <c r="G3885" i="2" s="1"/>
  <c r="E4066" i="2"/>
  <c r="G4066" i="2" s="1"/>
  <c r="E4200" i="2"/>
  <c r="G4200" i="2" s="1"/>
  <c r="I8752" i="2"/>
  <c r="I8742" i="2"/>
  <c r="I8745" i="2"/>
  <c r="I8751" i="2"/>
  <c r="I8744" i="2"/>
  <c r="E3798" i="2"/>
  <c r="G3798" i="2" s="1"/>
  <c r="G7683" i="2"/>
  <c r="E4186" i="2"/>
  <c r="G4186" i="2" s="1"/>
  <c r="E4054" i="2"/>
  <c r="G4054" i="2" s="1"/>
  <c r="I8833" i="2"/>
  <c r="I8839" i="2"/>
  <c r="I8830" i="2"/>
  <c r="I8832" i="2"/>
  <c r="I8840" i="2"/>
  <c r="G7771" i="2"/>
  <c r="E3750" i="2"/>
  <c r="G3750" i="2" s="1"/>
  <c r="E5290" i="2"/>
  <c r="G5290" i="2" s="1"/>
  <c r="G5307" i="2" s="1"/>
  <c r="E4406" i="2"/>
  <c r="G4406" i="2" s="1"/>
  <c r="E4187" i="2"/>
  <c r="G4187" i="2" s="1"/>
  <c r="E4407" i="2"/>
  <c r="G4407" i="2" s="1"/>
  <c r="E4188" i="2"/>
  <c r="G4188" i="2" s="1"/>
  <c r="G9003" i="2"/>
  <c r="I8786" i="2"/>
  <c r="I8788" i="2"/>
  <c r="I8795" i="2"/>
  <c r="I8789" i="2"/>
  <c r="I8796" i="2"/>
  <c r="G5879" i="2"/>
  <c r="E3706" i="2"/>
  <c r="G3706" i="2" s="1"/>
  <c r="E3794" i="2"/>
  <c r="G3794" i="2" s="1"/>
  <c r="E3838" i="2"/>
  <c r="G3838" i="2" s="1"/>
  <c r="E4190" i="2"/>
  <c r="G4190" i="2" s="1"/>
  <c r="E4056" i="2"/>
  <c r="G4056" i="2" s="1"/>
  <c r="I8877" i="2"/>
  <c r="I8883" i="2"/>
  <c r="I8876" i="2"/>
  <c r="I8874" i="2"/>
  <c r="I8884" i="2"/>
  <c r="E8459" i="2"/>
  <c r="G8459" i="2" s="1"/>
  <c r="E8503" i="2"/>
  <c r="G8503" i="2" s="1"/>
  <c r="E3709" i="2"/>
  <c r="G3709" i="2" s="1"/>
  <c r="E3751" i="2"/>
  <c r="G3751" i="2" s="1"/>
  <c r="E3841" i="2"/>
  <c r="G3841" i="2" s="1"/>
  <c r="E4192" i="2"/>
  <c r="G4192" i="2" s="1"/>
  <c r="E4058" i="2"/>
  <c r="G4058" i="2" s="1"/>
  <c r="E4012" i="2"/>
  <c r="G4012" i="2" s="1"/>
  <c r="G7551" i="2"/>
  <c r="G3776" i="2"/>
  <c r="N18" i="3"/>
  <c r="N19" i="3"/>
  <c r="N15" i="3"/>
  <c r="N16" i="3"/>
  <c r="N17" i="3"/>
  <c r="G4040" i="2"/>
  <c r="G3996" i="2"/>
  <c r="G3952" i="2"/>
  <c r="G3943" i="2"/>
  <c r="G3908" i="2"/>
  <c r="G3864" i="2"/>
  <c r="G3820" i="2"/>
  <c r="N12" i="3"/>
  <c r="N14" i="3"/>
  <c r="N13" i="3"/>
  <c r="N3" i="3"/>
  <c r="N10" i="3"/>
  <c r="N6" i="3"/>
  <c r="N9" i="3"/>
  <c r="N5" i="3"/>
  <c r="N8" i="3"/>
  <c r="N4" i="3"/>
  <c r="N11" i="3"/>
  <c r="N7" i="3"/>
  <c r="G3732" i="2"/>
  <c r="G3688" i="2"/>
  <c r="N1" i="1"/>
  <c r="O1" i="1" s="1"/>
  <c r="Q1" i="1" s="1"/>
  <c r="N3" i="1"/>
  <c r="O10" i="1"/>
  <c r="P10" i="1"/>
  <c r="Q10" i="1"/>
  <c r="A11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D270" i="3"/>
  <c r="G3561" i="2"/>
  <c r="G3555" i="2"/>
  <c r="G3554" i="2"/>
  <c r="E3553" i="2"/>
  <c r="G3553" i="2" s="1"/>
  <c r="E3552" i="2"/>
  <c r="G3552" i="2" s="1"/>
  <c r="E3551" i="2"/>
  <c r="G3551" i="2" s="1"/>
  <c r="E3550" i="2"/>
  <c r="G3550" i="2" s="1"/>
  <c r="E3530" i="2"/>
  <c r="G3530" i="2" s="1"/>
  <c r="D3530" i="2"/>
  <c r="C3530" i="2"/>
  <c r="E3529" i="2"/>
  <c r="G3529" i="2" s="1"/>
  <c r="D3529" i="2"/>
  <c r="C3529" i="2"/>
  <c r="E3528" i="2"/>
  <c r="G3528" i="2" s="1"/>
  <c r="D3528" i="2"/>
  <c r="C3528" i="2"/>
  <c r="E3527" i="2"/>
  <c r="G3527" i="2" s="1"/>
  <c r="D3527" i="2"/>
  <c r="C3527" i="2"/>
  <c r="D3526" i="2"/>
  <c r="C3526" i="2"/>
  <c r="C3492" i="2"/>
  <c r="D3492" i="2"/>
  <c r="E3492" i="2"/>
  <c r="G3492" i="2" s="1"/>
  <c r="C3489" i="2"/>
  <c r="C3490" i="2"/>
  <c r="C3491" i="2"/>
  <c r="D3489" i="2"/>
  <c r="E3489" i="2"/>
  <c r="G3489" i="2" s="1"/>
  <c r="D3490" i="2"/>
  <c r="E3490" i="2"/>
  <c r="G3490" i="2" s="1"/>
  <c r="D3491" i="2"/>
  <c r="E3491" i="2"/>
  <c r="G3491" i="2" s="1"/>
  <c r="G3517" i="2"/>
  <c r="G3511" i="2"/>
  <c r="G3510" i="2"/>
  <c r="E3509" i="2"/>
  <c r="G3509" i="2" s="1"/>
  <c r="E3508" i="2"/>
  <c r="G3508" i="2" s="1"/>
  <c r="E3507" i="2"/>
  <c r="G3507" i="2" s="1"/>
  <c r="E3506" i="2"/>
  <c r="G3506" i="2" s="1"/>
  <c r="E3488" i="2"/>
  <c r="G3488" i="2" s="1"/>
  <c r="D3488" i="2"/>
  <c r="C3488" i="2"/>
  <c r="E3487" i="2"/>
  <c r="G3487" i="2" s="1"/>
  <c r="D3487" i="2"/>
  <c r="C3487" i="2"/>
  <c r="E3486" i="2"/>
  <c r="G3486" i="2" s="1"/>
  <c r="D3486" i="2"/>
  <c r="C3486" i="2"/>
  <c r="E3485" i="2"/>
  <c r="G3485" i="2" s="1"/>
  <c r="D3485" i="2"/>
  <c r="C3485" i="2"/>
  <c r="E3484" i="2"/>
  <c r="G3484" i="2" s="1"/>
  <c r="D3484" i="2"/>
  <c r="C3484" i="2"/>
  <c r="E3483" i="2"/>
  <c r="G3483" i="2" s="1"/>
  <c r="D3483" i="2"/>
  <c r="C3483" i="2"/>
  <c r="E3482" i="2"/>
  <c r="G3482" i="2" s="1"/>
  <c r="D3482" i="2"/>
  <c r="C3482" i="2"/>
  <c r="G921" i="2"/>
  <c r="G915" i="2"/>
  <c r="G914" i="2"/>
  <c r="E913" i="2"/>
  <c r="G913" i="2" s="1"/>
  <c r="E912" i="2"/>
  <c r="G912" i="2" s="1"/>
  <c r="E911" i="2"/>
  <c r="G911" i="2" s="1"/>
  <c r="E910" i="2"/>
  <c r="G910" i="2" s="1"/>
  <c r="G892" i="2"/>
  <c r="G891" i="2"/>
  <c r="G890" i="2"/>
  <c r="G889" i="2"/>
  <c r="G888" i="2"/>
  <c r="E887" i="2"/>
  <c r="G887" i="2" s="1"/>
  <c r="D887" i="2"/>
  <c r="C887" i="2"/>
  <c r="E886" i="2"/>
  <c r="G886" i="2" s="1"/>
  <c r="D886" i="2"/>
  <c r="C886" i="2"/>
  <c r="G3473" i="2"/>
  <c r="G3467" i="2"/>
  <c r="G3466" i="2"/>
  <c r="E3465" i="2"/>
  <c r="G3465" i="2" s="1"/>
  <c r="E3464" i="2"/>
  <c r="G3464" i="2" s="1"/>
  <c r="E3463" i="2"/>
  <c r="G3463" i="2" s="1"/>
  <c r="E3462" i="2"/>
  <c r="G3462" i="2" s="1"/>
  <c r="E3442" i="2"/>
  <c r="G3442" i="2" s="1"/>
  <c r="D3442" i="2"/>
  <c r="C3442" i="2"/>
  <c r="E3441" i="2"/>
  <c r="G3441" i="2" s="1"/>
  <c r="D3441" i="2"/>
  <c r="C3441" i="2"/>
  <c r="E3440" i="2"/>
  <c r="G3440" i="2" s="1"/>
  <c r="D3440" i="2"/>
  <c r="C3440" i="2"/>
  <c r="E3439" i="2"/>
  <c r="G3439" i="2" s="1"/>
  <c r="D3439" i="2"/>
  <c r="C3439" i="2"/>
  <c r="E3438" i="2"/>
  <c r="G3438" i="2" s="1"/>
  <c r="D3438" i="2"/>
  <c r="C3438" i="2"/>
  <c r="G3429" i="2"/>
  <c r="G3423" i="2"/>
  <c r="G3422" i="2"/>
  <c r="E3421" i="2"/>
  <c r="G3421" i="2" s="1"/>
  <c r="E3420" i="2"/>
  <c r="G3420" i="2" s="1"/>
  <c r="E3419" i="2"/>
  <c r="G3419" i="2" s="1"/>
  <c r="E3418" i="2"/>
  <c r="G3418" i="2" s="1"/>
  <c r="E3395" i="2"/>
  <c r="G3395" i="2" s="1"/>
  <c r="D3395" i="2"/>
  <c r="C3395" i="2"/>
  <c r="E3394" i="2"/>
  <c r="G3394" i="2" s="1"/>
  <c r="D3394" i="2"/>
  <c r="C3394" i="2"/>
  <c r="C3356" i="2"/>
  <c r="D3356" i="2"/>
  <c r="E3356" i="2"/>
  <c r="G3356" i="2" s="1"/>
  <c r="C3355" i="2"/>
  <c r="D3355" i="2"/>
  <c r="E3355" i="2"/>
  <c r="G3355" i="2" s="1"/>
  <c r="C3352" i="2"/>
  <c r="D3352" i="2"/>
  <c r="E3352" i="2"/>
  <c r="G3352" i="2" s="1"/>
  <c r="C3353" i="2"/>
  <c r="D3353" i="2"/>
  <c r="E3353" i="2"/>
  <c r="G3353" i="2" s="1"/>
  <c r="C3354" i="2"/>
  <c r="D3354" i="2"/>
  <c r="E3354" i="2"/>
  <c r="G3354" i="2" s="1"/>
  <c r="G3385" i="2"/>
  <c r="G3379" i="2"/>
  <c r="G3378" i="2"/>
  <c r="E3377" i="2"/>
  <c r="G3377" i="2" s="1"/>
  <c r="E3376" i="2"/>
  <c r="G3376" i="2" s="1"/>
  <c r="E3375" i="2"/>
  <c r="G3375" i="2" s="1"/>
  <c r="E3374" i="2"/>
  <c r="G3374" i="2" s="1"/>
  <c r="E3351" i="2"/>
  <c r="G3351" i="2" s="1"/>
  <c r="D3351" i="2"/>
  <c r="C3351" i="2"/>
  <c r="E3350" i="2"/>
  <c r="G3350" i="2" s="1"/>
  <c r="D3350" i="2"/>
  <c r="C3350" i="2"/>
  <c r="G3341" i="2"/>
  <c r="G3335" i="2"/>
  <c r="G3334" i="2"/>
  <c r="E3333" i="2"/>
  <c r="G3333" i="2" s="1"/>
  <c r="E3332" i="2"/>
  <c r="G3332" i="2" s="1"/>
  <c r="E3331" i="2"/>
  <c r="G3331" i="2" s="1"/>
  <c r="E3330" i="2"/>
  <c r="G3330" i="2" s="1"/>
  <c r="E3307" i="2"/>
  <c r="G3307" i="2" s="1"/>
  <c r="D3307" i="2"/>
  <c r="C3307" i="2"/>
  <c r="E3306" i="2"/>
  <c r="G3306" i="2" s="1"/>
  <c r="D3306" i="2"/>
  <c r="C3306" i="2"/>
  <c r="G3297" i="2"/>
  <c r="G3291" i="2"/>
  <c r="G3290" i="2"/>
  <c r="E3289" i="2"/>
  <c r="G3289" i="2" s="1"/>
  <c r="E3288" i="2"/>
  <c r="G3288" i="2" s="1"/>
  <c r="E3287" i="2"/>
  <c r="G3287" i="2" s="1"/>
  <c r="E3286" i="2"/>
  <c r="G3286" i="2" s="1"/>
  <c r="E3263" i="2"/>
  <c r="G3263" i="2" s="1"/>
  <c r="D3263" i="2"/>
  <c r="C3263" i="2"/>
  <c r="E3262" i="2"/>
  <c r="G3262" i="2" s="1"/>
  <c r="D3262" i="2"/>
  <c r="C3262" i="2"/>
  <c r="C3178" i="2"/>
  <c r="D3178" i="2"/>
  <c r="E3178" i="2"/>
  <c r="G3178" i="2" s="1"/>
  <c r="C3176" i="2"/>
  <c r="D3176" i="2"/>
  <c r="E3176" i="2"/>
  <c r="G3176" i="2" s="1"/>
  <c r="C3177" i="2"/>
  <c r="D3177" i="2"/>
  <c r="E3177" i="2"/>
  <c r="G3177" i="2" s="1"/>
  <c r="G3209" i="2"/>
  <c r="G3203" i="2"/>
  <c r="G3202" i="2"/>
  <c r="E3201" i="2"/>
  <c r="G3201" i="2" s="1"/>
  <c r="E3200" i="2"/>
  <c r="G3200" i="2" s="1"/>
  <c r="E3199" i="2"/>
  <c r="G3199" i="2" s="1"/>
  <c r="E3198" i="2"/>
  <c r="G3198" i="2" s="1"/>
  <c r="E3175" i="2"/>
  <c r="G3175" i="2" s="1"/>
  <c r="D3175" i="2"/>
  <c r="C3175" i="2"/>
  <c r="D3174" i="2"/>
  <c r="C3174" i="2"/>
  <c r="D252" i="3"/>
  <c r="E3174" i="2" s="1"/>
  <c r="G3174" i="2" s="1"/>
  <c r="G3165" i="2"/>
  <c r="G3159" i="2"/>
  <c r="G3158" i="2"/>
  <c r="E3157" i="2"/>
  <c r="G3157" i="2" s="1"/>
  <c r="E3156" i="2"/>
  <c r="G3156" i="2" s="1"/>
  <c r="E3155" i="2"/>
  <c r="G3155" i="2" s="1"/>
  <c r="E3154" i="2"/>
  <c r="G3154" i="2" s="1"/>
  <c r="E3131" i="2"/>
  <c r="G3131" i="2" s="1"/>
  <c r="D3131" i="2"/>
  <c r="C3131" i="2"/>
  <c r="E3130" i="2"/>
  <c r="G3130" i="2" s="1"/>
  <c r="D3130" i="2"/>
  <c r="C3130" i="2"/>
  <c r="G3121" i="2"/>
  <c r="G3115" i="2"/>
  <c r="G3114" i="2"/>
  <c r="E3113" i="2"/>
  <c r="G3113" i="2" s="1"/>
  <c r="E3112" i="2"/>
  <c r="G3112" i="2" s="1"/>
  <c r="E3111" i="2"/>
  <c r="G3111" i="2" s="1"/>
  <c r="E3110" i="2"/>
  <c r="G3110" i="2" s="1"/>
  <c r="E3087" i="2"/>
  <c r="G3087" i="2" s="1"/>
  <c r="D3087" i="2"/>
  <c r="C3087" i="2"/>
  <c r="E3086" i="2"/>
  <c r="G3086" i="2" s="1"/>
  <c r="D3086" i="2"/>
  <c r="C3086" i="2"/>
  <c r="G3077" i="2"/>
  <c r="G3071" i="2"/>
  <c r="G3070" i="2"/>
  <c r="E3069" i="2"/>
  <c r="G3069" i="2" s="1"/>
  <c r="E3068" i="2"/>
  <c r="G3068" i="2" s="1"/>
  <c r="E3067" i="2"/>
  <c r="G3067" i="2" s="1"/>
  <c r="E3066" i="2"/>
  <c r="G3066" i="2" s="1"/>
  <c r="E3043" i="2"/>
  <c r="G3043" i="2" s="1"/>
  <c r="D3043" i="2"/>
  <c r="C3043" i="2"/>
  <c r="E3042" i="2"/>
  <c r="G3042" i="2" s="1"/>
  <c r="D3042" i="2"/>
  <c r="C3042" i="2"/>
  <c r="G3033" i="2"/>
  <c r="G3027" i="2"/>
  <c r="G3026" i="2"/>
  <c r="E3025" i="2"/>
  <c r="G3025" i="2" s="1"/>
  <c r="E3024" i="2"/>
  <c r="G3024" i="2" s="1"/>
  <c r="E3023" i="2"/>
  <c r="G3023" i="2" s="1"/>
  <c r="E3022" i="2"/>
  <c r="G3022" i="2" s="1"/>
  <c r="E3002" i="2"/>
  <c r="G3002" i="2" s="1"/>
  <c r="D3002" i="2"/>
  <c r="C3002" i="2"/>
  <c r="E3001" i="2"/>
  <c r="G3001" i="2" s="1"/>
  <c r="D3001" i="2"/>
  <c r="C3001" i="2"/>
  <c r="E3000" i="2"/>
  <c r="G3000" i="2" s="1"/>
  <c r="D3000" i="2"/>
  <c r="C3000" i="2"/>
  <c r="E2999" i="2"/>
  <c r="G2999" i="2" s="1"/>
  <c r="D2999" i="2"/>
  <c r="C2999" i="2"/>
  <c r="E2998" i="2"/>
  <c r="G2998" i="2" s="1"/>
  <c r="D2998" i="2"/>
  <c r="C2998" i="2"/>
  <c r="G2945" i="2"/>
  <c r="G2939" i="2"/>
  <c r="G2938" i="2"/>
  <c r="E2937" i="2"/>
  <c r="G2937" i="2" s="1"/>
  <c r="E2936" i="2"/>
  <c r="G2936" i="2" s="1"/>
  <c r="E2935" i="2"/>
  <c r="G2935" i="2" s="1"/>
  <c r="E2934" i="2"/>
  <c r="G2934" i="2" s="1"/>
  <c r="E2914" i="2"/>
  <c r="G2914" i="2" s="1"/>
  <c r="D2914" i="2"/>
  <c r="C2914" i="2"/>
  <c r="E2913" i="2"/>
  <c r="G2913" i="2" s="1"/>
  <c r="D2913" i="2"/>
  <c r="C2913" i="2"/>
  <c r="E2912" i="2"/>
  <c r="G2912" i="2" s="1"/>
  <c r="D2912" i="2"/>
  <c r="C2912" i="2"/>
  <c r="E2911" i="2"/>
  <c r="G2911" i="2" s="1"/>
  <c r="D2911" i="2"/>
  <c r="C2911" i="2"/>
  <c r="E2910" i="2"/>
  <c r="G2910" i="2" s="1"/>
  <c r="D2910" i="2"/>
  <c r="C2910" i="2"/>
  <c r="G2989" i="2"/>
  <c r="G2983" i="2"/>
  <c r="G2982" i="2"/>
  <c r="E2981" i="2"/>
  <c r="G2981" i="2" s="1"/>
  <c r="E2980" i="2"/>
  <c r="G2980" i="2" s="1"/>
  <c r="E2979" i="2"/>
  <c r="G2979" i="2" s="1"/>
  <c r="E2978" i="2"/>
  <c r="G2978" i="2" s="1"/>
  <c r="E2955" i="2"/>
  <c r="G2955" i="2" s="1"/>
  <c r="D2955" i="2"/>
  <c r="C2955" i="2"/>
  <c r="E2954" i="2"/>
  <c r="G2954" i="2" s="1"/>
  <c r="D2954" i="2"/>
  <c r="C2954" i="2"/>
  <c r="C2874" i="2"/>
  <c r="D2874" i="2"/>
  <c r="E2874" i="2"/>
  <c r="G2874" i="2" s="1"/>
  <c r="C2875" i="2"/>
  <c r="D2875" i="2"/>
  <c r="E2875" i="2"/>
  <c r="G2875" i="2" s="1"/>
  <c r="G2901" i="2"/>
  <c r="G2895" i="2"/>
  <c r="G2894" i="2"/>
  <c r="E2893" i="2"/>
  <c r="G2893" i="2" s="1"/>
  <c r="E2892" i="2"/>
  <c r="G2892" i="2" s="1"/>
  <c r="E2891" i="2"/>
  <c r="G2891" i="2" s="1"/>
  <c r="E2890" i="2"/>
  <c r="G2890" i="2" s="1"/>
  <c r="E2873" i="2"/>
  <c r="G2873" i="2" s="1"/>
  <c r="D2873" i="2"/>
  <c r="C2873" i="2"/>
  <c r="E2872" i="2"/>
  <c r="G2872" i="2" s="1"/>
  <c r="D2872" i="2"/>
  <c r="C2872" i="2"/>
  <c r="E2871" i="2"/>
  <c r="G2871" i="2" s="1"/>
  <c r="D2871" i="2"/>
  <c r="C2871" i="2"/>
  <c r="E2870" i="2"/>
  <c r="G2870" i="2" s="1"/>
  <c r="D2870" i="2"/>
  <c r="C2870" i="2"/>
  <c r="E2869" i="2"/>
  <c r="G2869" i="2" s="1"/>
  <c r="D2869" i="2"/>
  <c r="C2869" i="2"/>
  <c r="E2868" i="2"/>
  <c r="G2868" i="2" s="1"/>
  <c r="D2868" i="2"/>
  <c r="C2868" i="2"/>
  <c r="E2867" i="2"/>
  <c r="G2867" i="2" s="1"/>
  <c r="D2867" i="2"/>
  <c r="C2867" i="2"/>
  <c r="E2866" i="2"/>
  <c r="G2866" i="2" s="1"/>
  <c r="D2866" i="2"/>
  <c r="C2866" i="2"/>
  <c r="C2742" i="2"/>
  <c r="D2742" i="2"/>
  <c r="E2742" i="2"/>
  <c r="G2742" i="2" s="1"/>
  <c r="C2743" i="2"/>
  <c r="D2743" i="2"/>
  <c r="E2743" i="2"/>
  <c r="G2743" i="2" s="1"/>
  <c r="C2827" i="2"/>
  <c r="D2827" i="2"/>
  <c r="E2827" i="2"/>
  <c r="G2827" i="2" s="1"/>
  <c r="C2828" i="2"/>
  <c r="D2828" i="2"/>
  <c r="E2828" i="2"/>
  <c r="G2828" i="2" s="1"/>
  <c r="C2829" i="2"/>
  <c r="D2829" i="2"/>
  <c r="E2829" i="2"/>
  <c r="G2829" i="2" s="1"/>
  <c r="G2857" i="2"/>
  <c r="G2851" i="2"/>
  <c r="G2850" i="2"/>
  <c r="E2849" i="2"/>
  <c r="G2849" i="2" s="1"/>
  <c r="E2848" i="2"/>
  <c r="G2848" i="2" s="1"/>
  <c r="E2847" i="2"/>
  <c r="G2847" i="2" s="1"/>
  <c r="E2846" i="2"/>
  <c r="G2846" i="2" s="1"/>
  <c r="E2826" i="2"/>
  <c r="G2826" i="2" s="1"/>
  <c r="D2826" i="2"/>
  <c r="C2826" i="2"/>
  <c r="E2825" i="2"/>
  <c r="G2825" i="2" s="1"/>
  <c r="D2825" i="2"/>
  <c r="C2825" i="2"/>
  <c r="E2824" i="2"/>
  <c r="G2824" i="2" s="1"/>
  <c r="D2824" i="2"/>
  <c r="C2824" i="2"/>
  <c r="E2823" i="2"/>
  <c r="G2823" i="2" s="1"/>
  <c r="D2823" i="2"/>
  <c r="C2823" i="2"/>
  <c r="E2822" i="2"/>
  <c r="G2822" i="2" s="1"/>
  <c r="D2822" i="2"/>
  <c r="C2822" i="2"/>
  <c r="G2813" i="2"/>
  <c r="G2807" i="2"/>
  <c r="G2806" i="2"/>
  <c r="E2805" i="2"/>
  <c r="G2805" i="2" s="1"/>
  <c r="E2804" i="2"/>
  <c r="G2804" i="2" s="1"/>
  <c r="E2803" i="2"/>
  <c r="G2803" i="2" s="1"/>
  <c r="E2802" i="2"/>
  <c r="G2802" i="2" s="1"/>
  <c r="E2782" i="2"/>
  <c r="G2782" i="2" s="1"/>
  <c r="D2782" i="2"/>
  <c r="C2782" i="2"/>
  <c r="E2781" i="2"/>
  <c r="G2781" i="2" s="1"/>
  <c r="D2781" i="2"/>
  <c r="C2781" i="2"/>
  <c r="E2780" i="2"/>
  <c r="G2780" i="2" s="1"/>
  <c r="D2780" i="2"/>
  <c r="C2780" i="2"/>
  <c r="E2779" i="2"/>
  <c r="G2779" i="2" s="1"/>
  <c r="D2779" i="2"/>
  <c r="C2779" i="2"/>
  <c r="D2778" i="2"/>
  <c r="C2778" i="2"/>
  <c r="D232" i="3"/>
  <c r="E2778" i="2" s="1"/>
  <c r="G2778" i="2" s="1"/>
  <c r="C2741" i="2"/>
  <c r="D2741" i="2"/>
  <c r="E2741" i="2"/>
  <c r="G2741" i="2" s="1"/>
  <c r="C2738" i="2"/>
  <c r="D2738" i="2"/>
  <c r="E2738" i="2"/>
  <c r="G2738" i="2" s="1"/>
  <c r="C2739" i="2"/>
  <c r="D2739" i="2"/>
  <c r="E2739" i="2"/>
  <c r="G2739" i="2" s="1"/>
  <c r="C2740" i="2"/>
  <c r="D2740" i="2"/>
  <c r="E2740" i="2"/>
  <c r="G2740" i="2" s="1"/>
  <c r="G2769" i="2"/>
  <c r="G2763" i="2"/>
  <c r="G2762" i="2"/>
  <c r="E2761" i="2"/>
  <c r="G2761" i="2" s="1"/>
  <c r="E2760" i="2"/>
  <c r="G2760" i="2" s="1"/>
  <c r="E2759" i="2"/>
  <c r="G2759" i="2" s="1"/>
  <c r="E2758" i="2"/>
  <c r="G2758" i="2" s="1"/>
  <c r="E2737" i="2"/>
  <c r="G2737" i="2" s="1"/>
  <c r="D2737" i="2"/>
  <c r="C2737" i="2"/>
  <c r="E2736" i="2"/>
  <c r="G2736" i="2" s="1"/>
  <c r="D2736" i="2"/>
  <c r="C2736" i="2"/>
  <c r="E2735" i="2"/>
  <c r="G2735" i="2" s="1"/>
  <c r="D2735" i="2"/>
  <c r="C2735" i="2"/>
  <c r="E2734" i="2"/>
  <c r="G2734" i="2" s="1"/>
  <c r="D2734" i="2"/>
  <c r="C2734" i="2"/>
  <c r="C2693" i="2"/>
  <c r="D2693" i="2"/>
  <c r="E2693" i="2"/>
  <c r="G2693" i="2" s="1"/>
  <c r="C2692" i="2"/>
  <c r="D2692" i="2"/>
  <c r="E2692" i="2"/>
  <c r="G2692" i="2" s="1"/>
  <c r="C2691" i="2"/>
  <c r="D2691" i="2"/>
  <c r="E2691" i="2"/>
  <c r="G2691" i="2" s="1"/>
  <c r="G2725" i="2"/>
  <c r="G2719" i="2"/>
  <c r="G2718" i="2"/>
  <c r="E2717" i="2"/>
  <c r="G2717" i="2" s="1"/>
  <c r="E2716" i="2"/>
  <c r="G2716" i="2" s="1"/>
  <c r="E2715" i="2"/>
  <c r="E2714" i="2"/>
  <c r="G2714" i="2" s="1"/>
  <c r="E2690" i="2"/>
  <c r="G2690" i="2" s="1"/>
  <c r="D2690" i="2"/>
  <c r="C2690" i="2"/>
  <c r="G2681" i="2"/>
  <c r="G2675" i="2"/>
  <c r="G2674" i="2"/>
  <c r="E2673" i="2"/>
  <c r="G2673" i="2" s="1"/>
  <c r="E2672" i="2"/>
  <c r="G2672" i="2" s="1"/>
  <c r="E2671" i="2"/>
  <c r="G2671" i="2" s="1"/>
  <c r="E2670" i="2"/>
  <c r="G2670" i="2" s="1"/>
  <c r="E2646" i="2"/>
  <c r="G2646" i="2" s="1"/>
  <c r="G2667" i="2" s="1"/>
  <c r="D2646" i="2"/>
  <c r="C2646" i="2"/>
  <c r="G2637" i="2"/>
  <c r="G2631" i="2"/>
  <c r="G2630" i="2"/>
  <c r="E2629" i="2"/>
  <c r="G2629" i="2" s="1"/>
  <c r="E2628" i="2"/>
  <c r="G2628" i="2" s="1"/>
  <c r="E2627" i="2"/>
  <c r="G2627" i="2" s="1"/>
  <c r="E2626" i="2"/>
  <c r="G2626" i="2" s="1"/>
  <c r="E2602" i="2"/>
  <c r="G2602" i="2" s="1"/>
  <c r="D2602" i="2"/>
  <c r="C2602" i="2"/>
  <c r="G2593" i="2"/>
  <c r="G2587" i="2"/>
  <c r="G2586" i="2"/>
  <c r="E2585" i="2"/>
  <c r="G2585" i="2" s="1"/>
  <c r="E2584" i="2"/>
  <c r="G2584" i="2" s="1"/>
  <c r="E2583" i="2"/>
  <c r="G2583" i="2" s="1"/>
  <c r="E2582" i="2"/>
  <c r="G2582" i="2" s="1"/>
  <c r="E2562" i="2"/>
  <c r="G2562" i="2" s="1"/>
  <c r="D2562" i="2"/>
  <c r="C2562" i="2"/>
  <c r="E2561" i="2"/>
  <c r="G2561" i="2" s="1"/>
  <c r="D2561" i="2"/>
  <c r="C2561" i="2"/>
  <c r="E2560" i="2"/>
  <c r="G2560" i="2" s="1"/>
  <c r="D2560" i="2"/>
  <c r="C2560" i="2"/>
  <c r="E2559" i="2"/>
  <c r="G2559" i="2" s="1"/>
  <c r="D2559" i="2"/>
  <c r="C2559" i="2"/>
  <c r="E2558" i="2"/>
  <c r="G2558" i="2" s="1"/>
  <c r="D2558" i="2"/>
  <c r="C2558" i="2"/>
  <c r="G2549" i="2"/>
  <c r="G2543" i="2"/>
  <c r="G2542" i="2"/>
  <c r="E2541" i="2"/>
  <c r="G2541" i="2" s="1"/>
  <c r="E2540" i="2"/>
  <c r="G2540" i="2" s="1"/>
  <c r="E2539" i="2"/>
  <c r="G2539" i="2" s="1"/>
  <c r="E2538" i="2"/>
  <c r="G2538" i="2" s="1"/>
  <c r="E2518" i="2"/>
  <c r="G2518" i="2" s="1"/>
  <c r="D2518" i="2"/>
  <c r="C2518" i="2"/>
  <c r="E2517" i="2"/>
  <c r="G2517" i="2" s="1"/>
  <c r="D2517" i="2"/>
  <c r="C2517" i="2"/>
  <c r="E2516" i="2"/>
  <c r="G2516" i="2" s="1"/>
  <c r="D2516" i="2"/>
  <c r="C2516" i="2"/>
  <c r="E2515" i="2"/>
  <c r="G2515" i="2" s="1"/>
  <c r="D2515" i="2"/>
  <c r="C2515" i="2"/>
  <c r="E2514" i="2"/>
  <c r="G2514" i="2" s="1"/>
  <c r="D2514" i="2"/>
  <c r="C2514" i="2"/>
  <c r="G2505" i="2"/>
  <c r="G2499" i="2"/>
  <c r="G2498" i="2"/>
  <c r="E2497" i="2"/>
  <c r="G2497" i="2" s="1"/>
  <c r="E2496" i="2"/>
  <c r="G2496" i="2" s="1"/>
  <c r="E2495" i="2"/>
  <c r="G2495" i="2" s="1"/>
  <c r="E2494" i="2"/>
  <c r="G2494" i="2" s="1"/>
  <c r="E2474" i="2"/>
  <c r="G2474" i="2" s="1"/>
  <c r="D2474" i="2"/>
  <c r="C2474" i="2"/>
  <c r="E2473" i="2"/>
  <c r="G2473" i="2" s="1"/>
  <c r="D2473" i="2"/>
  <c r="C2473" i="2"/>
  <c r="E2472" i="2"/>
  <c r="G2472" i="2" s="1"/>
  <c r="D2472" i="2"/>
  <c r="C2472" i="2"/>
  <c r="E2471" i="2"/>
  <c r="G2471" i="2" s="1"/>
  <c r="D2471" i="2"/>
  <c r="C2471" i="2"/>
  <c r="E2470" i="2"/>
  <c r="G2470" i="2" s="1"/>
  <c r="D2470" i="2"/>
  <c r="C2470" i="2"/>
  <c r="G2461" i="2"/>
  <c r="G2455" i="2"/>
  <c r="G2454" i="2"/>
  <c r="E2453" i="2"/>
  <c r="G2453" i="2" s="1"/>
  <c r="E2452" i="2"/>
  <c r="G2452" i="2" s="1"/>
  <c r="E2451" i="2"/>
  <c r="G2451" i="2" s="1"/>
  <c r="E2450" i="2"/>
  <c r="G2450" i="2" s="1"/>
  <c r="E2430" i="2"/>
  <c r="G2430" i="2" s="1"/>
  <c r="D2430" i="2"/>
  <c r="C2430" i="2"/>
  <c r="E2429" i="2"/>
  <c r="G2429" i="2" s="1"/>
  <c r="D2429" i="2"/>
  <c r="C2429" i="2"/>
  <c r="E2428" i="2"/>
  <c r="G2428" i="2" s="1"/>
  <c r="D2428" i="2"/>
  <c r="C2428" i="2"/>
  <c r="E2427" i="2"/>
  <c r="G2427" i="2" s="1"/>
  <c r="D2427" i="2"/>
  <c r="C2427" i="2"/>
  <c r="E2426" i="2"/>
  <c r="G2426" i="2" s="1"/>
  <c r="D2426" i="2"/>
  <c r="C2426" i="2"/>
  <c r="G2417" i="2"/>
  <c r="G2411" i="2"/>
  <c r="G2410" i="2"/>
  <c r="E2409" i="2"/>
  <c r="G2409" i="2" s="1"/>
  <c r="E2408" i="2"/>
  <c r="G2408" i="2" s="1"/>
  <c r="E2407" i="2"/>
  <c r="G2407" i="2" s="1"/>
  <c r="E2406" i="2"/>
  <c r="G2406" i="2" s="1"/>
  <c r="E2386" i="2"/>
  <c r="G2386" i="2" s="1"/>
  <c r="D2386" i="2"/>
  <c r="C2386" i="2"/>
  <c r="E2385" i="2"/>
  <c r="G2385" i="2" s="1"/>
  <c r="D2385" i="2"/>
  <c r="C2385" i="2"/>
  <c r="E2384" i="2"/>
  <c r="G2384" i="2" s="1"/>
  <c r="D2384" i="2"/>
  <c r="C2384" i="2"/>
  <c r="E2383" i="2"/>
  <c r="G2383" i="2" s="1"/>
  <c r="D2383" i="2"/>
  <c r="C2383" i="2"/>
  <c r="E2382" i="2"/>
  <c r="G2382" i="2" s="1"/>
  <c r="D2382" i="2"/>
  <c r="C2382" i="2"/>
  <c r="C2342" i="2"/>
  <c r="D2342" i="2"/>
  <c r="E2342" i="2"/>
  <c r="G2342" i="2" s="1"/>
  <c r="C2340" i="2"/>
  <c r="D2340" i="2"/>
  <c r="E2340" i="2"/>
  <c r="G2340" i="2" s="1"/>
  <c r="C2341" i="2"/>
  <c r="D2341" i="2"/>
  <c r="E2341" i="2"/>
  <c r="G2341" i="2" s="1"/>
  <c r="G2373" i="2"/>
  <c r="G2367" i="2"/>
  <c r="G2366" i="2"/>
  <c r="E2365" i="2"/>
  <c r="G2365" i="2" s="1"/>
  <c r="E2364" i="2"/>
  <c r="G2364" i="2" s="1"/>
  <c r="E2363" i="2"/>
  <c r="G2363" i="2" s="1"/>
  <c r="E2362" i="2"/>
  <c r="G2362" i="2" s="1"/>
  <c r="E2339" i="2"/>
  <c r="G2339" i="2" s="1"/>
  <c r="D2339" i="2"/>
  <c r="C2339" i="2"/>
  <c r="E2338" i="2"/>
  <c r="G2338" i="2" s="1"/>
  <c r="D2338" i="2"/>
  <c r="C2338" i="2"/>
  <c r="G4031" i="2" l="1"/>
  <c r="G3723" i="2"/>
  <c r="G3811" i="2"/>
  <c r="G3899" i="2"/>
  <c r="G3767" i="2"/>
  <c r="G3855" i="2"/>
  <c r="E7978" i="2"/>
  <c r="G7978" i="2" s="1"/>
  <c r="G7991" i="2" s="1"/>
  <c r="E8106" i="2"/>
  <c r="G8106" i="2" s="1"/>
  <c r="G8123" i="2" s="1"/>
  <c r="E8064" i="2"/>
  <c r="G8064" i="2" s="1"/>
  <c r="G8079" i="2" s="1"/>
  <c r="G4427" i="2"/>
  <c r="G4075" i="2"/>
  <c r="G4207" i="2"/>
  <c r="G8475" i="2"/>
  <c r="G8519" i="2"/>
  <c r="G3072" i="2"/>
  <c r="A12" i="1"/>
  <c r="A13" i="1" s="1"/>
  <c r="A14" i="1" s="1"/>
  <c r="A15" i="1" s="1"/>
  <c r="A16" i="1" s="1"/>
  <c r="A17" i="1" s="1"/>
  <c r="A18" i="1" s="1"/>
  <c r="A19" i="1" s="1"/>
  <c r="A20" i="1" s="1"/>
  <c r="E3526" i="2"/>
  <c r="G3526" i="2" s="1"/>
  <c r="G3547" i="2" s="1"/>
  <c r="G3028" i="2"/>
  <c r="G2940" i="2"/>
  <c r="G916" i="2"/>
  <c r="G2412" i="2"/>
  <c r="G2896" i="2"/>
  <c r="G3503" i="2"/>
  <c r="G3556" i="2"/>
  <c r="G3512" i="2"/>
  <c r="G907" i="2"/>
  <c r="G3415" i="2"/>
  <c r="G3459" i="2"/>
  <c r="G3468" i="2"/>
  <c r="G3424" i="2"/>
  <c r="G3327" i="2"/>
  <c r="G3371" i="2"/>
  <c r="G3380" i="2"/>
  <c r="G3336" i="2"/>
  <c r="G3292" i="2"/>
  <c r="G3283" i="2"/>
  <c r="G3195" i="2"/>
  <c r="G3204" i="2"/>
  <c r="G3160" i="2"/>
  <c r="G3151" i="2"/>
  <c r="G3107" i="2"/>
  <c r="G3116" i="2"/>
  <c r="G3063" i="2"/>
  <c r="G3019" i="2"/>
  <c r="G2931" i="2"/>
  <c r="G2984" i="2"/>
  <c r="G2975" i="2"/>
  <c r="G2887" i="2"/>
  <c r="G2843" i="2"/>
  <c r="G2852" i="2"/>
  <c r="G2799" i="2"/>
  <c r="G2808" i="2"/>
  <c r="G2755" i="2"/>
  <c r="G2764" i="2"/>
  <c r="G2715" i="2"/>
  <c r="G2720" i="2" s="1"/>
  <c r="G2711" i="2"/>
  <c r="G2676" i="2"/>
  <c r="G2632" i="2"/>
  <c r="G2623" i="2"/>
  <c r="G2588" i="2"/>
  <c r="G2579" i="2"/>
  <c r="G2544" i="2"/>
  <c r="G2535" i="2"/>
  <c r="G2491" i="2"/>
  <c r="G2500" i="2"/>
  <c r="G2447" i="2"/>
  <c r="G2456" i="2"/>
  <c r="G2403" i="2"/>
  <c r="G2359" i="2"/>
  <c r="G2368" i="2"/>
  <c r="G2329" i="2"/>
  <c r="G2323" i="2"/>
  <c r="G2322" i="2"/>
  <c r="E2321" i="2"/>
  <c r="G2321" i="2" s="1"/>
  <c r="E2320" i="2"/>
  <c r="G2320" i="2" s="1"/>
  <c r="E2319" i="2"/>
  <c r="G2319" i="2" s="1"/>
  <c r="E2318" i="2"/>
  <c r="G2318" i="2" s="1"/>
  <c r="E2295" i="2"/>
  <c r="G2295" i="2" s="1"/>
  <c r="D2295" i="2"/>
  <c r="C2295" i="2"/>
  <c r="E2294" i="2"/>
  <c r="G2294" i="2" s="1"/>
  <c r="D2294" i="2"/>
  <c r="C2294" i="2"/>
  <c r="G2285" i="2"/>
  <c r="G2279" i="2"/>
  <c r="G2278" i="2"/>
  <c r="E2277" i="2"/>
  <c r="G2277" i="2" s="1"/>
  <c r="E2276" i="2"/>
  <c r="G2276" i="2" s="1"/>
  <c r="E2275" i="2"/>
  <c r="G2275" i="2" s="1"/>
  <c r="E2274" i="2"/>
  <c r="G2274" i="2" s="1"/>
  <c r="E2251" i="2"/>
  <c r="G2251" i="2" s="1"/>
  <c r="D2251" i="2"/>
  <c r="C2251" i="2"/>
  <c r="E2250" i="2"/>
  <c r="G2250" i="2" s="1"/>
  <c r="D2250" i="2"/>
  <c r="C2250" i="2"/>
  <c r="G2241" i="2"/>
  <c r="G2235" i="2"/>
  <c r="G2234" i="2"/>
  <c r="E2233" i="2"/>
  <c r="G2233" i="2" s="1"/>
  <c r="E2232" i="2"/>
  <c r="G2232" i="2" s="1"/>
  <c r="E2231" i="2"/>
  <c r="G2231" i="2" s="1"/>
  <c r="E2230" i="2"/>
  <c r="G2230" i="2" s="1"/>
  <c r="E2207" i="2"/>
  <c r="G2207" i="2" s="1"/>
  <c r="D2207" i="2"/>
  <c r="C2207" i="2"/>
  <c r="E2206" i="2"/>
  <c r="G2206" i="2" s="1"/>
  <c r="D2206" i="2"/>
  <c r="C2206" i="2"/>
  <c r="G2197" i="2"/>
  <c r="G2191" i="2"/>
  <c r="G2190" i="2"/>
  <c r="G2189" i="2"/>
  <c r="E2189" i="2"/>
  <c r="E2188" i="2"/>
  <c r="G2188" i="2" s="1"/>
  <c r="E2187" i="2"/>
  <c r="G2187" i="2" s="1"/>
  <c r="E2186" i="2"/>
  <c r="G2186" i="2" s="1"/>
  <c r="E2163" i="2"/>
  <c r="G2163" i="2" s="1"/>
  <c r="D2163" i="2"/>
  <c r="C2163" i="2"/>
  <c r="E2162" i="2"/>
  <c r="G2162" i="2" s="1"/>
  <c r="D2162" i="2"/>
  <c r="C2162" i="2"/>
  <c r="G2153" i="2"/>
  <c r="G2147" i="2"/>
  <c r="G2146" i="2"/>
  <c r="E2145" i="2"/>
  <c r="G2145" i="2" s="1"/>
  <c r="E2144" i="2"/>
  <c r="G2144" i="2" s="1"/>
  <c r="E2143" i="2"/>
  <c r="G2143" i="2" s="1"/>
  <c r="E2142" i="2"/>
  <c r="G2142" i="2" s="1"/>
  <c r="E2119" i="2"/>
  <c r="G2119" i="2" s="1"/>
  <c r="D2119" i="2"/>
  <c r="C2119" i="2"/>
  <c r="E2118" i="2"/>
  <c r="G2118" i="2" s="1"/>
  <c r="D2118" i="2"/>
  <c r="C2118" i="2"/>
  <c r="G2109" i="2"/>
  <c r="G2103" i="2"/>
  <c r="G2102" i="2"/>
  <c r="E2101" i="2"/>
  <c r="G2101" i="2" s="1"/>
  <c r="E2100" i="2"/>
  <c r="G2100" i="2" s="1"/>
  <c r="E2099" i="2"/>
  <c r="G2099" i="2" s="1"/>
  <c r="E2098" i="2"/>
  <c r="G2098" i="2" s="1"/>
  <c r="E2075" i="2"/>
  <c r="G2075" i="2" s="1"/>
  <c r="D2075" i="2"/>
  <c r="C2075" i="2"/>
  <c r="E2074" i="2"/>
  <c r="G2074" i="2" s="1"/>
  <c r="D2074" i="2"/>
  <c r="C2074" i="2"/>
  <c r="G2065" i="2"/>
  <c r="G2059" i="2"/>
  <c r="G2058" i="2"/>
  <c r="E2057" i="2"/>
  <c r="G2057" i="2" s="1"/>
  <c r="E2056" i="2"/>
  <c r="G2056" i="2" s="1"/>
  <c r="E2055" i="2"/>
  <c r="G2055" i="2" s="1"/>
  <c r="E2054" i="2"/>
  <c r="G2054" i="2" s="1"/>
  <c r="E2041" i="2"/>
  <c r="G2041" i="2" s="1"/>
  <c r="D2041" i="2"/>
  <c r="C2041" i="2"/>
  <c r="E2040" i="2"/>
  <c r="G2040" i="2" s="1"/>
  <c r="D2040" i="2"/>
  <c r="C2040" i="2"/>
  <c r="E2039" i="2"/>
  <c r="G2039" i="2" s="1"/>
  <c r="D2039" i="2"/>
  <c r="C2039" i="2"/>
  <c r="E2038" i="2"/>
  <c r="G2038" i="2" s="1"/>
  <c r="D2038" i="2"/>
  <c r="C2038" i="2"/>
  <c r="E2037" i="2"/>
  <c r="G2037" i="2" s="1"/>
  <c r="D2037" i="2"/>
  <c r="C2037" i="2"/>
  <c r="E2036" i="2"/>
  <c r="G2036" i="2" s="1"/>
  <c r="D2036" i="2"/>
  <c r="C2036" i="2"/>
  <c r="E2035" i="2"/>
  <c r="G2035" i="2" s="1"/>
  <c r="D2035" i="2"/>
  <c r="C2035" i="2"/>
  <c r="E2034" i="2"/>
  <c r="G2034" i="2" s="1"/>
  <c r="D2034" i="2"/>
  <c r="C2034" i="2"/>
  <c r="E2033" i="2"/>
  <c r="G2033" i="2" s="1"/>
  <c r="D2033" i="2"/>
  <c r="C2033" i="2"/>
  <c r="E2032" i="2"/>
  <c r="G2032" i="2" s="1"/>
  <c r="D2032" i="2"/>
  <c r="C2032" i="2"/>
  <c r="E2031" i="2"/>
  <c r="G2031" i="2" s="1"/>
  <c r="D2031" i="2"/>
  <c r="C2031" i="2"/>
  <c r="E2030" i="2"/>
  <c r="G2030" i="2" s="1"/>
  <c r="D2030" i="2"/>
  <c r="C2030" i="2"/>
  <c r="G2021" i="2"/>
  <c r="G2015" i="2"/>
  <c r="G2014" i="2"/>
  <c r="E2013" i="2"/>
  <c r="G2013" i="2" s="1"/>
  <c r="E2012" i="2"/>
  <c r="G2012" i="2" s="1"/>
  <c r="E2011" i="2"/>
  <c r="G2011" i="2" s="1"/>
  <c r="E2010" i="2"/>
  <c r="G2010" i="2" s="1"/>
  <c r="E1997" i="2"/>
  <c r="G1997" i="2" s="1"/>
  <c r="D1997" i="2"/>
  <c r="C1997" i="2"/>
  <c r="E1996" i="2"/>
  <c r="G1996" i="2" s="1"/>
  <c r="D1996" i="2"/>
  <c r="C1996" i="2"/>
  <c r="E1995" i="2"/>
  <c r="G1995" i="2" s="1"/>
  <c r="D1995" i="2"/>
  <c r="C1995" i="2"/>
  <c r="E1994" i="2"/>
  <c r="G1994" i="2" s="1"/>
  <c r="D1994" i="2"/>
  <c r="C1994" i="2"/>
  <c r="E1993" i="2"/>
  <c r="G1993" i="2" s="1"/>
  <c r="D1993" i="2"/>
  <c r="C1993" i="2"/>
  <c r="E1992" i="2"/>
  <c r="G1992" i="2" s="1"/>
  <c r="D1992" i="2"/>
  <c r="C1992" i="2"/>
  <c r="E1991" i="2"/>
  <c r="G1991" i="2" s="1"/>
  <c r="D1991" i="2"/>
  <c r="C1991" i="2"/>
  <c r="E1990" i="2"/>
  <c r="G1990" i="2" s="1"/>
  <c r="D1990" i="2"/>
  <c r="C1990" i="2"/>
  <c r="E1989" i="2"/>
  <c r="G1989" i="2" s="1"/>
  <c r="D1989" i="2"/>
  <c r="C1989" i="2"/>
  <c r="E1988" i="2"/>
  <c r="G1988" i="2" s="1"/>
  <c r="D1988" i="2"/>
  <c r="C1988" i="2"/>
  <c r="E1987" i="2"/>
  <c r="G1987" i="2" s="1"/>
  <c r="D1987" i="2"/>
  <c r="C1987" i="2"/>
  <c r="E1986" i="2"/>
  <c r="G1986" i="2" s="1"/>
  <c r="D1986" i="2"/>
  <c r="C1986" i="2"/>
  <c r="G1977" i="2"/>
  <c r="G1971" i="2"/>
  <c r="G1970" i="2"/>
  <c r="E1969" i="2"/>
  <c r="G1969" i="2" s="1"/>
  <c r="E1968" i="2"/>
  <c r="G1968" i="2" s="1"/>
  <c r="E1967" i="2"/>
  <c r="G1967" i="2" s="1"/>
  <c r="E1966" i="2"/>
  <c r="G1966" i="2" s="1"/>
  <c r="E1953" i="2"/>
  <c r="G1953" i="2" s="1"/>
  <c r="D1953" i="2"/>
  <c r="C1953" i="2"/>
  <c r="E1952" i="2"/>
  <c r="G1952" i="2" s="1"/>
  <c r="D1952" i="2"/>
  <c r="C1952" i="2"/>
  <c r="E1951" i="2"/>
  <c r="G1951" i="2" s="1"/>
  <c r="D1951" i="2"/>
  <c r="C1951" i="2"/>
  <c r="E1950" i="2"/>
  <c r="G1950" i="2" s="1"/>
  <c r="D1950" i="2"/>
  <c r="C1950" i="2"/>
  <c r="E1949" i="2"/>
  <c r="G1949" i="2" s="1"/>
  <c r="D1949" i="2"/>
  <c r="C1949" i="2"/>
  <c r="E1948" i="2"/>
  <c r="G1948" i="2" s="1"/>
  <c r="D1948" i="2"/>
  <c r="C1948" i="2"/>
  <c r="E1947" i="2"/>
  <c r="G1947" i="2" s="1"/>
  <c r="D1947" i="2"/>
  <c r="C1947" i="2"/>
  <c r="E1946" i="2"/>
  <c r="G1946" i="2" s="1"/>
  <c r="D1946" i="2"/>
  <c r="C1946" i="2"/>
  <c r="E1945" i="2"/>
  <c r="G1945" i="2" s="1"/>
  <c r="D1945" i="2"/>
  <c r="C1945" i="2"/>
  <c r="E1944" i="2"/>
  <c r="G1944" i="2" s="1"/>
  <c r="D1944" i="2"/>
  <c r="C1944" i="2"/>
  <c r="E1943" i="2"/>
  <c r="G1943" i="2" s="1"/>
  <c r="D1943" i="2"/>
  <c r="C1943" i="2"/>
  <c r="E1942" i="2"/>
  <c r="G1942" i="2" s="1"/>
  <c r="D1942" i="2"/>
  <c r="C1942" i="2"/>
  <c r="G1933" i="2"/>
  <c r="G1927" i="2"/>
  <c r="G1926" i="2"/>
  <c r="E1925" i="2"/>
  <c r="G1925" i="2" s="1"/>
  <c r="E1924" i="2"/>
  <c r="G1924" i="2" s="1"/>
  <c r="E1923" i="2"/>
  <c r="G1923" i="2" s="1"/>
  <c r="E1922" i="2"/>
  <c r="G1922" i="2" s="1"/>
  <c r="E1909" i="2"/>
  <c r="G1909" i="2" s="1"/>
  <c r="D1909" i="2"/>
  <c r="C1909" i="2"/>
  <c r="E1908" i="2"/>
  <c r="G1908" i="2" s="1"/>
  <c r="D1908" i="2"/>
  <c r="C1908" i="2"/>
  <c r="E1907" i="2"/>
  <c r="G1907" i="2" s="1"/>
  <c r="D1907" i="2"/>
  <c r="C1907" i="2"/>
  <c r="E1906" i="2"/>
  <c r="G1906" i="2" s="1"/>
  <c r="D1906" i="2"/>
  <c r="C1906" i="2"/>
  <c r="E1905" i="2"/>
  <c r="G1905" i="2" s="1"/>
  <c r="D1905" i="2"/>
  <c r="C1905" i="2"/>
  <c r="E1904" i="2"/>
  <c r="G1904" i="2" s="1"/>
  <c r="D1904" i="2"/>
  <c r="C1904" i="2"/>
  <c r="E1903" i="2"/>
  <c r="G1903" i="2" s="1"/>
  <c r="D1903" i="2"/>
  <c r="C1903" i="2"/>
  <c r="E1902" i="2"/>
  <c r="G1902" i="2" s="1"/>
  <c r="D1902" i="2"/>
  <c r="C1902" i="2"/>
  <c r="E1901" i="2"/>
  <c r="G1901" i="2" s="1"/>
  <c r="D1901" i="2"/>
  <c r="C1901" i="2"/>
  <c r="E1900" i="2"/>
  <c r="G1900" i="2" s="1"/>
  <c r="D1900" i="2"/>
  <c r="C1900" i="2"/>
  <c r="E1899" i="2"/>
  <c r="G1899" i="2" s="1"/>
  <c r="D1899" i="2"/>
  <c r="C1899" i="2"/>
  <c r="E1898" i="2"/>
  <c r="G1898" i="2" s="1"/>
  <c r="D1898" i="2"/>
  <c r="C1898" i="2"/>
  <c r="G1889" i="2"/>
  <c r="G1883" i="2"/>
  <c r="G1882" i="2"/>
  <c r="E1881" i="2"/>
  <c r="G1881" i="2" s="1"/>
  <c r="E1880" i="2"/>
  <c r="G1880" i="2" s="1"/>
  <c r="E1879" i="2"/>
  <c r="G1879" i="2" s="1"/>
  <c r="E1878" i="2"/>
  <c r="G1878" i="2" s="1"/>
  <c r="E1865" i="2"/>
  <c r="G1865" i="2" s="1"/>
  <c r="D1865" i="2"/>
  <c r="C1865" i="2"/>
  <c r="E1864" i="2"/>
  <c r="G1864" i="2" s="1"/>
  <c r="D1864" i="2"/>
  <c r="C1864" i="2"/>
  <c r="E1863" i="2"/>
  <c r="G1863" i="2" s="1"/>
  <c r="D1863" i="2"/>
  <c r="C1863" i="2"/>
  <c r="E1862" i="2"/>
  <c r="G1862" i="2" s="1"/>
  <c r="D1862" i="2"/>
  <c r="C1862" i="2"/>
  <c r="E1861" i="2"/>
  <c r="G1861" i="2" s="1"/>
  <c r="D1861" i="2"/>
  <c r="C1861" i="2"/>
  <c r="E1860" i="2"/>
  <c r="G1860" i="2" s="1"/>
  <c r="D1860" i="2"/>
  <c r="C1860" i="2"/>
  <c r="E1859" i="2"/>
  <c r="G1859" i="2" s="1"/>
  <c r="D1859" i="2"/>
  <c r="C1859" i="2"/>
  <c r="E1858" i="2"/>
  <c r="G1858" i="2" s="1"/>
  <c r="D1858" i="2"/>
  <c r="C1858" i="2"/>
  <c r="E1857" i="2"/>
  <c r="G1857" i="2" s="1"/>
  <c r="D1857" i="2"/>
  <c r="C1857" i="2"/>
  <c r="E1856" i="2"/>
  <c r="G1856" i="2" s="1"/>
  <c r="D1856" i="2"/>
  <c r="C1856" i="2"/>
  <c r="E1855" i="2"/>
  <c r="G1855" i="2" s="1"/>
  <c r="D1855" i="2"/>
  <c r="C1855" i="2"/>
  <c r="E1854" i="2"/>
  <c r="G1854" i="2" s="1"/>
  <c r="D1854" i="2"/>
  <c r="C1854" i="2"/>
  <c r="G1845" i="2"/>
  <c r="G1839" i="2"/>
  <c r="G1838" i="2"/>
  <c r="E1837" i="2"/>
  <c r="G1837" i="2" s="1"/>
  <c r="E1836" i="2"/>
  <c r="G1836" i="2" s="1"/>
  <c r="E1835" i="2"/>
  <c r="G1835" i="2" s="1"/>
  <c r="E1834" i="2"/>
  <c r="G1834" i="2" s="1"/>
  <c r="E1821" i="2"/>
  <c r="G1821" i="2" s="1"/>
  <c r="D1821" i="2"/>
  <c r="C1821" i="2"/>
  <c r="E1820" i="2"/>
  <c r="G1820" i="2" s="1"/>
  <c r="D1820" i="2"/>
  <c r="C1820" i="2"/>
  <c r="E1819" i="2"/>
  <c r="G1819" i="2" s="1"/>
  <c r="D1819" i="2"/>
  <c r="C1819" i="2"/>
  <c r="E1818" i="2"/>
  <c r="G1818" i="2" s="1"/>
  <c r="D1818" i="2"/>
  <c r="C1818" i="2"/>
  <c r="E1817" i="2"/>
  <c r="G1817" i="2" s="1"/>
  <c r="D1817" i="2"/>
  <c r="C1817" i="2"/>
  <c r="E1816" i="2"/>
  <c r="G1816" i="2" s="1"/>
  <c r="D1816" i="2"/>
  <c r="C1816" i="2"/>
  <c r="E1815" i="2"/>
  <c r="G1815" i="2" s="1"/>
  <c r="D1815" i="2"/>
  <c r="C1815" i="2"/>
  <c r="E1814" i="2"/>
  <c r="G1814" i="2" s="1"/>
  <c r="D1814" i="2"/>
  <c r="C1814" i="2"/>
  <c r="E1813" i="2"/>
  <c r="G1813" i="2" s="1"/>
  <c r="D1813" i="2"/>
  <c r="C1813" i="2"/>
  <c r="E1812" i="2"/>
  <c r="G1812" i="2" s="1"/>
  <c r="D1812" i="2"/>
  <c r="C1812" i="2"/>
  <c r="E1811" i="2"/>
  <c r="G1811" i="2" s="1"/>
  <c r="D1811" i="2"/>
  <c r="C1811" i="2"/>
  <c r="E1810" i="2"/>
  <c r="G1810" i="2" s="1"/>
  <c r="D1810" i="2"/>
  <c r="C1810" i="2"/>
  <c r="G1801" i="2"/>
  <c r="G1795" i="2"/>
  <c r="G1794" i="2"/>
  <c r="E1793" i="2"/>
  <c r="G1793" i="2" s="1"/>
  <c r="E1792" i="2"/>
  <c r="G1792" i="2" s="1"/>
  <c r="E1791" i="2"/>
  <c r="G1791" i="2" s="1"/>
  <c r="E1790" i="2"/>
  <c r="G1790" i="2" s="1"/>
  <c r="E1777" i="2"/>
  <c r="G1777" i="2" s="1"/>
  <c r="D1777" i="2"/>
  <c r="C1777" i="2"/>
  <c r="E1776" i="2"/>
  <c r="G1776" i="2" s="1"/>
  <c r="D1776" i="2"/>
  <c r="C1776" i="2"/>
  <c r="E1775" i="2"/>
  <c r="G1775" i="2" s="1"/>
  <c r="D1775" i="2"/>
  <c r="C1775" i="2"/>
  <c r="E1774" i="2"/>
  <c r="G1774" i="2" s="1"/>
  <c r="D1774" i="2"/>
  <c r="C1774" i="2"/>
  <c r="E1773" i="2"/>
  <c r="G1773" i="2" s="1"/>
  <c r="D1773" i="2"/>
  <c r="C1773" i="2"/>
  <c r="E1772" i="2"/>
  <c r="G1772" i="2" s="1"/>
  <c r="D1772" i="2"/>
  <c r="C1772" i="2"/>
  <c r="E1771" i="2"/>
  <c r="G1771" i="2" s="1"/>
  <c r="D1771" i="2"/>
  <c r="C1771" i="2"/>
  <c r="E1770" i="2"/>
  <c r="G1770" i="2" s="1"/>
  <c r="D1770" i="2"/>
  <c r="C1770" i="2"/>
  <c r="E1769" i="2"/>
  <c r="G1769" i="2" s="1"/>
  <c r="D1769" i="2"/>
  <c r="C1769" i="2"/>
  <c r="E1768" i="2"/>
  <c r="G1768" i="2" s="1"/>
  <c r="D1768" i="2"/>
  <c r="C1768" i="2"/>
  <c r="E1767" i="2"/>
  <c r="G1767" i="2" s="1"/>
  <c r="D1767" i="2"/>
  <c r="C1767" i="2"/>
  <c r="E1766" i="2"/>
  <c r="G1766" i="2" s="1"/>
  <c r="D1766" i="2"/>
  <c r="C1766" i="2"/>
  <c r="G1757" i="2"/>
  <c r="G1751" i="2"/>
  <c r="G1750" i="2"/>
  <c r="E1749" i="2"/>
  <c r="G1749" i="2" s="1"/>
  <c r="E1748" i="2"/>
  <c r="G1748" i="2" s="1"/>
  <c r="E1747" i="2"/>
  <c r="G1747" i="2" s="1"/>
  <c r="E1746" i="2"/>
  <c r="G1746" i="2" s="1"/>
  <c r="E1733" i="2"/>
  <c r="G1733" i="2" s="1"/>
  <c r="D1733" i="2"/>
  <c r="C1733" i="2"/>
  <c r="E1732" i="2"/>
  <c r="G1732" i="2" s="1"/>
  <c r="D1732" i="2"/>
  <c r="C1732" i="2"/>
  <c r="E1731" i="2"/>
  <c r="G1731" i="2" s="1"/>
  <c r="D1731" i="2"/>
  <c r="C1731" i="2"/>
  <c r="E1730" i="2"/>
  <c r="G1730" i="2" s="1"/>
  <c r="D1730" i="2"/>
  <c r="C1730" i="2"/>
  <c r="E1729" i="2"/>
  <c r="G1729" i="2" s="1"/>
  <c r="D1729" i="2"/>
  <c r="C1729" i="2"/>
  <c r="E1728" i="2"/>
  <c r="G1728" i="2" s="1"/>
  <c r="D1728" i="2"/>
  <c r="C1728" i="2"/>
  <c r="E1727" i="2"/>
  <c r="G1727" i="2" s="1"/>
  <c r="D1727" i="2"/>
  <c r="C1727" i="2"/>
  <c r="E1726" i="2"/>
  <c r="G1726" i="2" s="1"/>
  <c r="D1726" i="2"/>
  <c r="C1726" i="2"/>
  <c r="E1725" i="2"/>
  <c r="G1725" i="2" s="1"/>
  <c r="D1725" i="2"/>
  <c r="C1725" i="2"/>
  <c r="E1724" i="2"/>
  <c r="G1724" i="2" s="1"/>
  <c r="D1724" i="2"/>
  <c r="C1724" i="2"/>
  <c r="E1723" i="2"/>
  <c r="G1723" i="2" s="1"/>
  <c r="D1723" i="2"/>
  <c r="C1723" i="2"/>
  <c r="E1722" i="2"/>
  <c r="G1722" i="2" s="1"/>
  <c r="D1722" i="2"/>
  <c r="C1722" i="2"/>
  <c r="G1713" i="2"/>
  <c r="G1707" i="2"/>
  <c r="G1706" i="2"/>
  <c r="E1705" i="2"/>
  <c r="G1705" i="2" s="1"/>
  <c r="E1704" i="2"/>
  <c r="G1704" i="2" s="1"/>
  <c r="E1703" i="2"/>
  <c r="G1703" i="2" s="1"/>
  <c r="E1702" i="2"/>
  <c r="G1702" i="2" s="1"/>
  <c r="E1689" i="2"/>
  <c r="G1689" i="2" s="1"/>
  <c r="D1689" i="2"/>
  <c r="C1689" i="2"/>
  <c r="E1688" i="2"/>
  <c r="G1688" i="2" s="1"/>
  <c r="D1688" i="2"/>
  <c r="C1688" i="2"/>
  <c r="E1687" i="2"/>
  <c r="G1687" i="2" s="1"/>
  <c r="D1687" i="2"/>
  <c r="C1687" i="2"/>
  <c r="E1686" i="2"/>
  <c r="G1686" i="2" s="1"/>
  <c r="D1686" i="2"/>
  <c r="C1686" i="2"/>
  <c r="E1685" i="2"/>
  <c r="G1685" i="2" s="1"/>
  <c r="D1685" i="2"/>
  <c r="C1685" i="2"/>
  <c r="E1684" i="2"/>
  <c r="G1684" i="2" s="1"/>
  <c r="D1684" i="2"/>
  <c r="C1684" i="2"/>
  <c r="E1683" i="2"/>
  <c r="G1683" i="2" s="1"/>
  <c r="D1683" i="2"/>
  <c r="C1683" i="2"/>
  <c r="E1682" i="2"/>
  <c r="G1682" i="2" s="1"/>
  <c r="D1682" i="2"/>
  <c r="C1682" i="2"/>
  <c r="E1681" i="2"/>
  <c r="G1681" i="2" s="1"/>
  <c r="D1681" i="2"/>
  <c r="C1681" i="2"/>
  <c r="E1680" i="2"/>
  <c r="G1680" i="2" s="1"/>
  <c r="D1680" i="2"/>
  <c r="C1680" i="2"/>
  <c r="E1679" i="2"/>
  <c r="G1679" i="2" s="1"/>
  <c r="D1679" i="2"/>
  <c r="C1679" i="2"/>
  <c r="E1678" i="2"/>
  <c r="G1678" i="2" s="1"/>
  <c r="D1678" i="2"/>
  <c r="C1678" i="2"/>
  <c r="G1669" i="2"/>
  <c r="G1663" i="2"/>
  <c r="G1662" i="2"/>
  <c r="E1661" i="2"/>
  <c r="G1661" i="2" s="1"/>
  <c r="E1660" i="2"/>
  <c r="G1660" i="2" s="1"/>
  <c r="E1659" i="2"/>
  <c r="G1659" i="2" s="1"/>
  <c r="E1658" i="2"/>
  <c r="G1658" i="2" s="1"/>
  <c r="E1645" i="2"/>
  <c r="G1645" i="2" s="1"/>
  <c r="D1645" i="2"/>
  <c r="C1645" i="2"/>
  <c r="E1644" i="2"/>
  <c r="G1644" i="2" s="1"/>
  <c r="D1644" i="2"/>
  <c r="C1644" i="2"/>
  <c r="E1643" i="2"/>
  <c r="G1643" i="2" s="1"/>
  <c r="D1643" i="2"/>
  <c r="C1643" i="2"/>
  <c r="E1642" i="2"/>
  <c r="G1642" i="2" s="1"/>
  <c r="D1642" i="2"/>
  <c r="C1642" i="2"/>
  <c r="E1641" i="2"/>
  <c r="G1641" i="2" s="1"/>
  <c r="D1641" i="2"/>
  <c r="C1641" i="2"/>
  <c r="E1640" i="2"/>
  <c r="G1640" i="2" s="1"/>
  <c r="D1640" i="2"/>
  <c r="C1640" i="2"/>
  <c r="E1639" i="2"/>
  <c r="G1639" i="2" s="1"/>
  <c r="D1639" i="2"/>
  <c r="C1639" i="2"/>
  <c r="E1638" i="2"/>
  <c r="G1638" i="2" s="1"/>
  <c r="D1638" i="2"/>
  <c r="C1638" i="2"/>
  <c r="E1637" i="2"/>
  <c r="G1637" i="2" s="1"/>
  <c r="D1637" i="2"/>
  <c r="C1637" i="2"/>
  <c r="E1636" i="2"/>
  <c r="G1636" i="2" s="1"/>
  <c r="D1636" i="2"/>
  <c r="C1636" i="2"/>
  <c r="E1635" i="2"/>
  <c r="G1635" i="2" s="1"/>
  <c r="D1635" i="2"/>
  <c r="C1635" i="2"/>
  <c r="E1634" i="2"/>
  <c r="G1634" i="2" s="1"/>
  <c r="D1634" i="2"/>
  <c r="C1634" i="2"/>
  <c r="G1537" i="2"/>
  <c r="G1531" i="2"/>
  <c r="G1530" i="2"/>
  <c r="E1529" i="2"/>
  <c r="G1529" i="2" s="1"/>
  <c r="E1528" i="2"/>
  <c r="G1528" i="2" s="1"/>
  <c r="E1527" i="2"/>
  <c r="G1527" i="2" s="1"/>
  <c r="E1526" i="2"/>
  <c r="G1526" i="2" s="1"/>
  <c r="E1513" i="2"/>
  <c r="G1513" i="2" s="1"/>
  <c r="D1513" i="2"/>
  <c r="C1513" i="2"/>
  <c r="E1512" i="2"/>
  <c r="G1512" i="2" s="1"/>
  <c r="D1512" i="2"/>
  <c r="C1512" i="2"/>
  <c r="E1511" i="2"/>
  <c r="G1511" i="2" s="1"/>
  <c r="D1511" i="2"/>
  <c r="C1511" i="2"/>
  <c r="E1510" i="2"/>
  <c r="G1510" i="2" s="1"/>
  <c r="D1510" i="2"/>
  <c r="C1510" i="2"/>
  <c r="E1509" i="2"/>
  <c r="G1509" i="2" s="1"/>
  <c r="D1509" i="2"/>
  <c r="C1509" i="2"/>
  <c r="E1508" i="2"/>
  <c r="G1508" i="2" s="1"/>
  <c r="D1508" i="2"/>
  <c r="C1508" i="2"/>
  <c r="E1507" i="2"/>
  <c r="G1507" i="2" s="1"/>
  <c r="D1507" i="2"/>
  <c r="C1507" i="2"/>
  <c r="E1506" i="2"/>
  <c r="G1506" i="2" s="1"/>
  <c r="D1506" i="2"/>
  <c r="C1506" i="2"/>
  <c r="E1505" i="2"/>
  <c r="G1505" i="2" s="1"/>
  <c r="D1505" i="2"/>
  <c r="C1505" i="2"/>
  <c r="E1504" i="2"/>
  <c r="G1504" i="2" s="1"/>
  <c r="D1504" i="2"/>
  <c r="C1504" i="2"/>
  <c r="E1503" i="2"/>
  <c r="G1503" i="2" s="1"/>
  <c r="D1503" i="2"/>
  <c r="C1503" i="2"/>
  <c r="E1502" i="2"/>
  <c r="G1502" i="2" s="1"/>
  <c r="D1502" i="2"/>
  <c r="C1502" i="2"/>
  <c r="G1493" i="2"/>
  <c r="G1487" i="2"/>
  <c r="G1486" i="2"/>
  <c r="E1485" i="2"/>
  <c r="G1485" i="2" s="1"/>
  <c r="E1484" i="2"/>
  <c r="G1484" i="2" s="1"/>
  <c r="E1483" i="2"/>
  <c r="G1483" i="2" s="1"/>
  <c r="E1482" i="2"/>
  <c r="G1482" i="2" s="1"/>
  <c r="E1469" i="2"/>
  <c r="G1469" i="2" s="1"/>
  <c r="D1469" i="2"/>
  <c r="C1469" i="2"/>
  <c r="E1468" i="2"/>
  <c r="G1468" i="2" s="1"/>
  <c r="D1468" i="2"/>
  <c r="C1468" i="2"/>
  <c r="E1467" i="2"/>
  <c r="G1467" i="2" s="1"/>
  <c r="D1467" i="2"/>
  <c r="C1467" i="2"/>
  <c r="E1466" i="2"/>
  <c r="G1466" i="2" s="1"/>
  <c r="D1466" i="2"/>
  <c r="C1466" i="2"/>
  <c r="E1465" i="2"/>
  <c r="G1465" i="2" s="1"/>
  <c r="D1465" i="2"/>
  <c r="C1465" i="2"/>
  <c r="E1464" i="2"/>
  <c r="G1464" i="2" s="1"/>
  <c r="D1464" i="2"/>
  <c r="C1464" i="2"/>
  <c r="E1463" i="2"/>
  <c r="G1463" i="2" s="1"/>
  <c r="D1463" i="2"/>
  <c r="C1463" i="2"/>
  <c r="E1462" i="2"/>
  <c r="G1462" i="2" s="1"/>
  <c r="D1462" i="2"/>
  <c r="C1462" i="2"/>
  <c r="E1461" i="2"/>
  <c r="G1461" i="2" s="1"/>
  <c r="D1461" i="2"/>
  <c r="C1461" i="2"/>
  <c r="E1460" i="2"/>
  <c r="G1460" i="2" s="1"/>
  <c r="D1460" i="2"/>
  <c r="C1460" i="2"/>
  <c r="E1459" i="2"/>
  <c r="G1459" i="2" s="1"/>
  <c r="D1459" i="2"/>
  <c r="C1459" i="2"/>
  <c r="E1458" i="2"/>
  <c r="G1458" i="2" s="1"/>
  <c r="D1458" i="2"/>
  <c r="C1458" i="2"/>
  <c r="G1449" i="2"/>
  <c r="G1443" i="2"/>
  <c r="G1442" i="2"/>
  <c r="G1441" i="2"/>
  <c r="E1441" i="2"/>
  <c r="E1440" i="2"/>
  <c r="G1440" i="2" s="1"/>
  <c r="E1439" i="2"/>
  <c r="G1439" i="2" s="1"/>
  <c r="E1438" i="2"/>
  <c r="G1438" i="2" s="1"/>
  <c r="E1425" i="2"/>
  <c r="G1425" i="2" s="1"/>
  <c r="D1425" i="2"/>
  <c r="C1425" i="2"/>
  <c r="E1424" i="2"/>
  <c r="G1424" i="2" s="1"/>
  <c r="D1424" i="2"/>
  <c r="C1424" i="2"/>
  <c r="E1423" i="2"/>
  <c r="G1423" i="2" s="1"/>
  <c r="D1423" i="2"/>
  <c r="C1423" i="2"/>
  <c r="E1422" i="2"/>
  <c r="G1422" i="2" s="1"/>
  <c r="D1422" i="2"/>
  <c r="C1422" i="2"/>
  <c r="E1421" i="2"/>
  <c r="G1421" i="2" s="1"/>
  <c r="D1421" i="2"/>
  <c r="C1421" i="2"/>
  <c r="E1420" i="2"/>
  <c r="G1420" i="2" s="1"/>
  <c r="D1420" i="2"/>
  <c r="C1420" i="2"/>
  <c r="E1419" i="2"/>
  <c r="G1419" i="2" s="1"/>
  <c r="D1419" i="2"/>
  <c r="C1419" i="2"/>
  <c r="E1418" i="2"/>
  <c r="G1418" i="2" s="1"/>
  <c r="D1418" i="2"/>
  <c r="C1418" i="2"/>
  <c r="E1417" i="2"/>
  <c r="G1417" i="2" s="1"/>
  <c r="D1417" i="2"/>
  <c r="C1417" i="2"/>
  <c r="E1416" i="2"/>
  <c r="G1416" i="2" s="1"/>
  <c r="D1416" i="2"/>
  <c r="C1416" i="2"/>
  <c r="E1415" i="2"/>
  <c r="G1415" i="2" s="1"/>
  <c r="D1415" i="2"/>
  <c r="C1415" i="2"/>
  <c r="E1414" i="2"/>
  <c r="G1414" i="2" s="1"/>
  <c r="D1414" i="2"/>
  <c r="C1414" i="2"/>
  <c r="G1405" i="2"/>
  <c r="G1399" i="2"/>
  <c r="G1398" i="2"/>
  <c r="E1397" i="2"/>
  <c r="G1397" i="2" s="1"/>
  <c r="E1396" i="2"/>
  <c r="G1396" i="2" s="1"/>
  <c r="E1395" i="2"/>
  <c r="G1395" i="2" s="1"/>
  <c r="E1394" i="2"/>
  <c r="G1394" i="2" s="1"/>
  <c r="E1381" i="2"/>
  <c r="G1381" i="2" s="1"/>
  <c r="D1381" i="2"/>
  <c r="C1381" i="2"/>
  <c r="E1380" i="2"/>
  <c r="G1380" i="2" s="1"/>
  <c r="D1380" i="2"/>
  <c r="C1380" i="2"/>
  <c r="E1379" i="2"/>
  <c r="G1379" i="2" s="1"/>
  <c r="D1379" i="2"/>
  <c r="C1379" i="2"/>
  <c r="E1378" i="2"/>
  <c r="G1378" i="2" s="1"/>
  <c r="D1378" i="2"/>
  <c r="C1378" i="2"/>
  <c r="E1377" i="2"/>
  <c r="G1377" i="2" s="1"/>
  <c r="D1377" i="2"/>
  <c r="C1377" i="2"/>
  <c r="E1376" i="2"/>
  <c r="G1376" i="2" s="1"/>
  <c r="D1376" i="2"/>
  <c r="C1376" i="2"/>
  <c r="E1375" i="2"/>
  <c r="G1375" i="2" s="1"/>
  <c r="D1375" i="2"/>
  <c r="C1375" i="2"/>
  <c r="E1374" i="2"/>
  <c r="G1374" i="2" s="1"/>
  <c r="D1374" i="2"/>
  <c r="C1374" i="2"/>
  <c r="E1373" i="2"/>
  <c r="G1373" i="2" s="1"/>
  <c r="D1373" i="2"/>
  <c r="C1373" i="2"/>
  <c r="E1372" i="2"/>
  <c r="G1372" i="2" s="1"/>
  <c r="D1372" i="2"/>
  <c r="C1372" i="2"/>
  <c r="E1371" i="2"/>
  <c r="G1371" i="2" s="1"/>
  <c r="D1371" i="2"/>
  <c r="C1371" i="2"/>
  <c r="E1370" i="2"/>
  <c r="G1370" i="2" s="1"/>
  <c r="D1370" i="2"/>
  <c r="C1370" i="2"/>
  <c r="G1361" i="2"/>
  <c r="G1355" i="2"/>
  <c r="G1354" i="2"/>
  <c r="E1353" i="2"/>
  <c r="G1353" i="2" s="1"/>
  <c r="E1352" i="2"/>
  <c r="G1352" i="2" s="1"/>
  <c r="E1351" i="2"/>
  <c r="G1351" i="2" s="1"/>
  <c r="E1350" i="2"/>
  <c r="G1350" i="2" s="1"/>
  <c r="E1337" i="2"/>
  <c r="G1337" i="2" s="1"/>
  <c r="D1337" i="2"/>
  <c r="C1337" i="2"/>
  <c r="E1336" i="2"/>
  <c r="G1336" i="2" s="1"/>
  <c r="D1336" i="2"/>
  <c r="C1336" i="2"/>
  <c r="E1335" i="2"/>
  <c r="G1335" i="2" s="1"/>
  <c r="D1335" i="2"/>
  <c r="C1335" i="2"/>
  <c r="E1334" i="2"/>
  <c r="G1334" i="2" s="1"/>
  <c r="D1334" i="2"/>
  <c r="C1334" i="2"/>
  <c r="E1333" i="2"/>
  <c r="G1333" i="2" s="1"/>
  <c r="D1333" i="2"/>
  <c r="C1333" i="2"/>
  <c r="E1332" i="2"/>
  <c r="G1332" i="2" s="1"/>
  <c r="D1332" i="2"/>
  <c r="C1332" i="2"/>
  <c r="E1331" i="2"/>
  <c r="G1331" i="2" s="1"/>
  <c r="D1331" i="2"/>
  <c r="C1331" i="2"/>
  <c r="E1330" i="2"/>
  <c r="G1330" i="2" s="1"/>
  <c r="D1330" i="2"/>
  <c r="C1330" i="2"/>
  <c r="E1329" i="2"/>
  <c r="G1329" i="2" s="1"/>
  <c r="D1329" i="2"/>
  <c r="C1329" i="2"/>
  <c r="E1328" i="2"/>
  <c r="G1328" i="2" s="1"/>
  <c r="D1328" i="2"/>
  <c r="C1328" i="2"/>
  <c r="E1327" i="2"/>
  <c r="G1327" i="2" s="1"/>
  <c r="D1327" i="2"/>
  <c r="C1327" i="2"/>
  <c r="E1326" i="2"/>
  <c r="G1326" i="2" s="1"/>
  <c r="D1326" i="2"/>
  <c r="C1326" i="2"/>
  <c r="G1229" i="2"/>
  <c r="G1223" i="2"/>
  <c r="G1222" i="2"/>
  <c r="E1221" i="2"/>
  <c r="G1221" i="2" s="1"/>
  <c r="E1220" i="2"/>
  <c r="G1220" i="2" s="1"/>
  <c r="E1219" i="2"/>
  <c r="G1219" i="2" s="1"/>
  <c r="E1218" i="2"/>
  <c r="G1218" i="2" s="1"/>
  <c r="E1205" i="2"/>
  <c r="G1205" i="2" s="1"/>
  <c r="D1205" i="2"/>
  <c r="C1205" i="2"/>
  <c r="E1204" i="2"/>
  <c r="G1204" i="2" s="1"/>
  <c r="D1204" i="2"/>
  <c r="C1204" i="2"/>
  <c r="E1203" i="2"/>
  <c r="G1203" i="2" s="1"/>
  <c r="D1203" i="2"/>
  <c r="C1203" i="2"/>
  <c r="E1202" i="2"/>
  <c r="G1202" i="2" s="1"/>
  <c r="D1202" i="2"/>
  <c r="C1202" i="2"/>
  <c r="E1201" i="2"/>
  <c r="G1201" i="2" s="1"/>
  <c r="D1201" i="2"/>
  <c r="C1201" i="2"/>
  <c r="E1200" i="2"/>
  <c r="G1200" i="2" s="1"/>
  <c r="D1200" i="2"/>
  <c r="C1200" i="2"/>
  <c r="E1199" i="2"/>
  <c r="G1199" i="2" s="1"/>
  <c r="D1199" i="2"/>
  <c r="C1199" i="2"/>
  <c r="E1198" i="2"/>
  <c r="G1198" i="2" s="1"/>
  <c r="D1198" i="2"/>
  <c r="C1198" i="2"/>
  <c r="E1197" i="2"/>
  <c r="G1197" i="2" s="1"/>
  <c r="D1197" i="2"/>
  <c r="C1197" i="2"/>
  <c r="E1196" i="2"/>
  <c r="G1196" i="2" s="1"/>
  <c r="D1196" i="2"/>
  <c r="C1196" i="2"/>
  <c r="E1195" i="2"/>
  <c r="G1195" i="2" s="1"/>
  <c r="D1195" i="2"/>
  <c r="C1195" i="2"/>
  <c r="E1194" i="2"/>
  <c r="G1194" i="2" s="1"/>
  <c r="D1194" i="2"/>
  <c r="C1194" i="2"/>
  <c r="G1185" i="2"/>
  <c r="G1179" i="2"/>
  <c r="G1178" i="2"/>
  <c r="E1177" i="2"/>
  <c r="G1177" i="2" s="1"/>
  <c r="E1176" i="2"/>
  <c r="G1176" i="2" s="1"/>
  <c r="E1175" i="2"/>
  <c r="G1175" i="2" s="1"/>
  <c r="E1174" i="2"/>
  <c r="G1174" i="2" s="1"/>
  <c r="E1158" i="2"/>
  <c r="G1158" i="2" s="1"/>
  <c r="D1158" i="2"/>
  <c r="C1158" i="2"/>
  <c r="E1157" i="2"/>
  <c r="G1157" i="2" s="1"/>
  <c r="D1157" i="2"/>
  <c r="C1157" i="2"/>
  <c r="E1156" i="2"/>
  <c r="G1156" i="2" s="1"/>
  <c r="D1156" i="2"/>
  <c r="C1156" i="2"/>
  <c r="E1155" i="2"/>
  <c r="G1155" i="2" s="1"/>
  <c r="D1155" i="2"/>
  <c r="C1155" i="2"/>
  <c r="E1154" i="2"/>
  <c r="G1154" i="2" s="1"/>
  <c r="D1154" i="2"/>
  <c r="C1154" i="2"/>
  <c r="E1153" i="2"/>
  <c r="G1153" i="2" s="1"/>
  <c r="D1153" i="2"/>
  <c r="C1153" i="2"/>
  <c r="E1152" i="2"/>
  <c r="G1152" i="2" s="1"/>
  <c r="D1152" i="2"/>
  <c r="C1152" i="2"/>
  <c r="E1151" i="2"/>
  <c r="G1151" i="2" s="1"/>
  <c r="D1151" i="2"/>
  <c r="C1151" i="2"/>
  <c r="E1150" i="2"/>
  <c r="G1150" i="2" s="1"/>
  <c r="D1150" i="2"/>
  <c r="C1150" i="2"/>
  <c r="G1141" i="2"/>
  <c r="G1135" i="2"/>
  <c r="G1134" i="2"/>
  <c r="E1133" i="2"/>
  <c r="G1133" i="2" s="1"/>
  <c r="E1132" i="2"/>
  <c r="G1132" i="2" s="1"/>
  <c r="E1131" i="2"/>
  <c r="G1131" i="2" s="1"/>
  <c r="E1130" i="2"/>
  <c r="G1130" i="2" s="1"/>
  <c r="E1117" i="2"/>
  <c r="G1117" i="2" s="1"/>
  <c r="D1117" i="2"/>
  <c r="C1117" i="2"/>
  <c r="E1116" i="2"/>
  <c r="G1116" i="2" s="1"/>
  <c r="D1116" i="2"/>
  <c r="C1116" i="2"/>
  <c r="E1115" i="2"/>
  <c r="G1115" i="2" s="1"/>
  <c r="D1115" i="2"/>
  <c r="C1115" i="2"/>
  <c r="E1114" i="2"/>
  <c r="G1114" i="2" s="1"/>
  <c r="D1114" i="2"/>
  <c r="C1114" i="2"/>
  <c r="E1113" i="2"/>
  <c r="G1113" i="2" s="1"/>
  <c r="D1113" i="2"/>
  <c r="C1113" i="2"/>
  <c r="E1112" i="2"/>
  <c r="G1112" i="2" s="1"/>
  <c r="D1112" i="2"/>
  <c r="C1112" i="2"/>
  <c r="E1111" i="2"/>
  <c r="G1111" i="2" s="1"/>
  <c r="D1111" i="2"/>
  <c r="C1111" i="2"/>
  <c r="E1110" i="2"/>
  <c r="G1110" i="2" s="1"/>
  <c r="D1110" i="2"/>
  <c r="C1110" i="2"/>
  <c r="E1109" i="2"/>
  <c r="G1109" i="2" s="1"/>
  <c r="D1109" i="2"/>
  <c r="C1109" i="2"/>
  <c r="E1108" i="2"/>
  <c r="G1108" i="2" s="1"/>
  <c r="D1108" i="2"/>
  <c r="C1108" i="2"/>
  <c r="E1107" i="2"/>
  <c r="G1107" i="2" s="1"/>
  <c r="D1107" i="2"/>
  <c r="C1107" i="2"/>
  <c r="E1106" i="2"/>
  <c r="G1106" i="2" s="1"/>
  <c r="D1106" i="2"/>
  <c r="C1106" i="2"/>
  <c r="C1066" i="2"/>
  <c r="D1066" i="2"/>
  <c r="E1066" i="2"/>
  <c r="G1066" i="2" s="1"/>
  <c r="C1067" i="2"/>
  <c r="D1067" i="2"/>
  <c r="E1067" i="2"/>
  <c r="G1067" i="2" s="1"/>
  <c r="C1068" i="2"/>
  <c r="D1068" i="2"/>
  <c r="E1068" i="2"/>
  <c r="G1068" i="2" s="1"/>
  <c r="C1069" i="2"/>
  <c r="D1069" i="2"/>
  <c r="E1069" i="2"/>
  <c r="G1069" i="2" s="1"/>
  <c r="C1070" i="2"/>
  <c r="D1070" i="2"/>
  <c r="E1070" i="2"/>
  <c r="G1070" i="2" s="1"/>
  <c r="C1071" i="2"/>
  <c r="D1071" i="2"/>
  <c r="E1071" i="2"/>
  <c r="G1071" i="2" s="1"/>
  <c r="C1072" i="2"/>
  <c r="D1072" i="2"/>
  <c r="E1072" i="2"/>
  <c r="G1072" i="2" s="1"/>
  <c r="C1073" i="2"/>
  <c r="D1073" i="2"/>
  <c r="E1073" i="2"/>
  <c r="G1073" i="2" s="1"/>
  <c r="G1097" i="2"/>
  <c r="G1091" i="2"/>
  <c r="G1090" i="2"/>
  <c r="E1089" i="2"/>
  <c r="G1089" i="2" s="1"/>
  <c r="E1088" i="2"/>
  <c r="G1088" i="2" s="1"/>
  <c r="E1087" i="2"/>
  <c r="G1087" i="2" s="1"/>
  <c r="E1086" i="2"/>
  <c r="G1086" i="2" s="1"/>
  <c r="E1065" i="2"/>
  <c r="G1065" i="2" s="1"/>
  <c r="D1065" i="2"/>
  <c r="C1065" i="2"/>
  <c r="E1064" i="2"/>
  <c r="G1064" i="2" s="1"/>
  <c r="D1064" i="2"/>
  <c r="C1064" i="2"/>
  <c r="E1063" i="2"/>
  <c r="G1063" i="2" s="1"/>
  <c r="D1063" i="2"/>
  <c r="C1063" i="2"/>
  <c r="E1062" i="2"/>
  <c r="G1062" i="2" s="1"/>
  <c r="D1062" i="2"/>
  <c r="C1062" i="2"/>
  <c r="A21" i="1"/>
  <c r="G1928" i="2" l="1"/>
  <c r="A22" i="1"/>
  <c r="G1092" i="2"/>
  <c r="G1796" i="2"/>
  <c r="G1884" i="2"/>
  <c r="G1444" i="2"/>
  <c r="G1532" i="2"/>
  <c r="C178" i="2"/>
  <c r="B180" i="2" s="1"/>
  <c r="C134" i="2"/>
  <c r="B136" i="2" s="1"/>
  <c r="G2016" i="2"/>
  <c r="G2280" i="2"/>
  <c r="G1488" i="2"/>
  <c r="G1356" i="2"/>
  <c r="G1708" i="2"/>
  <c r="G1972" i="2"/>
  <c r="G2227" i="2"/>
  <c r="G2271" i="2"/>
  <c r="G2315" i="2"/>
  <c r="G2324" i="2"/>
  <c r="G2183" i="2"/>
  <c r="G2236" i="2"/>
  <c r="G2192" i="2"/>
  <c r="G2139" i="2"/>
  <c r="G2148" i="2"/>
  <c r="G2095" i="2"/>
  <c r="G2104" i="2"/>
  <c r="G2051" i="2"/>
  <c r="G2060" i="2"/>
  <c r="G2007" i="2"/>
  <c r="G1963" i="2"/>
  <c r="G1919" i="2"/>
  <c r="G1875" i="2"/>
  <c r="G1831" i="2"/>
  <c r="G1840" i="2"/>
  <c r="G1787" i="2"/>
  <c r="G1752" i="2"/>
  <c r="G1743" i="2"/>
  <c r="G1699" i="2"/>
  <c r="G1655" i="2"/>
  <c r="G1664" i="2"/>
  <c r="G1523" i="2"/>
  <c r="G1479" i="2"/>
  <c r="G1435" i="2"/>
  <c r="G1391" i="2"/>
  <c r="G1400" i="2"/>
  <c r="G1347" i="2"/>
  <c r="G1215" i="2"/>
  <c r="G1224" i="2"/>
  <c r="G1171" i="2"/>
  <c r="G1180" i="2"/>
  <c r="G1127" i="2"/>
  <c r="G1136" i="2"/>
  <c r="G1083" i="2"/>
  <c r="A23" i="1" l="1"/>
  <c r="B187" i="2"/>
  <c r="B182" i="2"/>
  <c r="B205" i="2"/>
  <c r="B206" i="2"/>
  <c r="B209" i="2"/>
  <c r="B207" i="2"/>
  <c r="B217" i="2"/>
  <c r="B212" i="2"/>
  <c r="B220" i="2"/>
  <c r="B215" i="2"/>
  <c r="B188" i="2"/>
  <c r="B216" i="2"/>
  <c r="B185" i="2"/>
  <c r="B210" i="2"/>
  <c r="B191" i="2"/>
  <c r="B194" i="2"/>
  <c r="B198" i="2"/>
  <c r="B199" i="2"/>
  <c r="B200" i="2"/>
  <c r="B196" i="2"/>
  <c r="B189" i="2"/>
  <c r="B186" i="2"/>
  <c r="B197" i="2"/>
  <c r="B204" i="2"/>
  <c r="B219" i="2"/>
  <c r="B193" i="2"/>
  <c r="B202" i="2"/>
  <c r="B214" i="2"/>
  <c r="B208" i="2"/>
  <c r="B211" i="2"/>
  <c r="G179" i="2"/>
  <c r="B201" i="2"/>
  <c r="B213" i="2"/>
  <c r="B203" i="2"/>
  <c r="B218" i="2"/>
  <c r="B183" i="2"/>
  <c r="B184" i="2"/>
  <c r="B195" i="2"/>
  <c r="B190" i="2"/>
  <c r="B192" i="2"/>
  <c r="B149" i="2"/>
  <c r="B167" i="2"/>
  <c r="B146" i="2"/>
  <c r="B147" i="2"/>
  <c r="B151" i="2"/>
  <c r="B141" i="2"/>
  <c r="B160" i="2"/>
  <c r="B139" i="2"/>
  <c r="B170" i="2"/>
  <c r="B156" i="2"/>
  <c r="B138" i="2"/>
  <c r="B163" i="2"/>
  <c r="B158" i="2"/>
  <c r="B169" i="2"/>
  <c r="B157" i="2"/>
  <c r="B165" i="2"/>
  <c r="B155" i="2"/>
  <c r="B164" i="2"/>
  <c r="B174" i="2"/>
  <c r="B176" i="2"/>
  <c r="B153" i="2"/>
  <c r="B161" i="2"/>
  <c r="B154" i="2"/>
  <c r="B148" i="2"/>
  <c r="B145" i="2"/>
  <c r="B175" i="2"/>
  <c r="B152" i="2"/>
  <c r="B162" i="2"/>
  <c r="B166" i="2"/>
  <c r="B140" i="2"/>
  <c r="B159" i="2"/>
  <c r="B172" i="2"/>
  <c r="B144" i="2"/>
  <c r="B150" i="2"/>
  <c r="G135" i="2"/>
  <c r="B143" i="2"/>
  <c r="B168" i="2"/>
  <c r="B173" i="2"/>
  <c r="B142" i="2"/>
  <c r="B171" i="2"/>
  <c r="D81" i="3"/>
  <c r="G1053" i="2"/>
  <c r="G1047" i="2"/>
  <c r="G1046" i="2"/>
  <c r="E1045" i="2"/>
  <c r="G1045" i="2" s="1"/>
  <c r="E1044" i="2"/>
  <c r="G1044" i="2" s="1"/>
  <c r="E1043" i="2"/>
  <c r="G1043" i="2" s="1"/>
  <c r="E1042" i="2"/>
  <c r="G1042" i="2" s="1"/>
  <c r="E1021" i="2"/>
  <c r="G1021" i="2" s="1"/>
  <c r="D1021" i="2"/>
  <c r="C1021" i="2"/>
  <c r="E1020" i="2"/>
  <c r="G1020" i="2" s="1"/>
  <c r="D1020" i="2"/>
  <c r="C1020" i="2"/>
  <c r="E1019" i="2"/>
  <c r="G1019" i="2" s="1"/>
  <c r="D1019" i="2"/>
  <c r="C1019" i="2"/>
  <c r="E1018" i="2"/>
  <c r="G1018" i="2" s="1"/>
  <c r="D1018" i="2"/>
  <c r="C1018" i="2"/>
  <c r="G1009" i="2"/>
  <c r="G1003" i="2"/>
  <c r="G1002" i="2"/>
  <c r="E1001" i="2"/>
  <c r="G1001" i="2" s="1"/>
  <c r="E1000" i="2"/>
  <c r="G1000" i="2" s="1"/>
  <c r="E999" i="2"/>
  <c r="G999" i="2" s="1"/>
  <c r="E998" i="2"/>
  <c r="G998" i="2" s="1"/>
  <c r="E977" i="2"/>
  <c r="G977" i="2" s="1"/>
  <c r="D977" i="2"/>
  <c r="C977" i="2"/>
  <c r="E976" i="2"/>
  <c r="G976" i="2" s="1"/>
  <c r="D976" i="2"/>
  <c r="C976" i="2"/>
  <c r="E975" i="2"/>
  <c r="G975" i="2" s="1"/>
  <c r="D975" i="2"/>
  <c r="C975" i="2"/>
  <c r="E974" i="2"/>
  <c r="G974" i="2" s="1"/>
  <c r="D974" i="2"/>
  <c r="C974" i="2"/>
  <c r="C931" i="2"/>
  <c r="D931" i="2"/>
  <c r="E931" i="2"/>
  <c r="G931" i="2" s="1"/>
  <c r="C932" i="2"/>
  <c r="D932" i="2"/>
  <c r="E932" i="2"/>
  <c r="G932" i="2" s="1"/>
  <c r="C933" i="2"/>
  <c r="D933" i="2"/>
  <c r="E933" i="2"/>
  <c r="G933" i="2" s="1"/>
  <c r="C934" i="2"/>
  <c r="D934" i="2"/>
  <c r="E934" i="2"/>
  <c r="G934" i="2" s="1"/>
  <c r="C935" i="2"/>
  <c r="D935" i="2"/>
  <c r="E935" i="2"/>
  <c r="G935" i="2" s="1"/>
  <c r="J419" i="3"/>
  <c r="J421" i="3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G1039" i="2"/>
  <c r="G1048" i="2"/>
  <c r="G1004" i="2"/>
  <c r="G995" i="2"/>
  <c r="G965" i="2"/>
  <c r="G959" i="2"/>
  <c r="G958" i="2"/>
  <c r="E957" i="2"/>
  <c r="G957" i="2" s="1"/>
  <c r="E956" i="2"/>
  <c r="G956" i="2" s="1"/>
  <c r="E955" i="2"/>
  <c r="G955" i="2" s="1"/>
  <c r="E954" i="2"/>
  <c r="G954" i="2" s="1"/>
  <c r="E930" i="2"/>
  <c r="G930" i="2" s="1"/>
  <c r="G951" i="2" s="1"/>
  <c r="D930" i="2"/>
  <c r="C930" i="2"/>
  <c r="C706" i="2" l="1"/>
  <c r="B708" i="2" s="1"/>
  <c r="B741" i="2" s="1"/>
  <c r="C750" i="2"/>
  <c r="B752" i="2" s="1"/>
  <c r="B754" i="2" s="1"/>
  <c r="C4182" i="2"/>
  <c r="B4184" i="2" s="1"/>
  <c r="B4189" i="2" s="1"/>
  <c r="C3830" i="2"/>
  <c r="B3832" i="2" s="1"/>
  <c r="B3867" i="2" s="1"/>
  <c r="C3698" i="2"/>
  <c r="B3700" i="2" s="1"/>
  <c r="B3726" i="2" s="1"/>
  <c r="C4358" i="2"/>
  <c r="B4360" i="2" s="1"/>
  <c r="B4381" i="2" s="1"/>
  <c r="C4094" i="2"/>
  <c r="B4096" i="2" s="1"/>
  <c r="B4112" i="2" s="1"/>
  <c r="C4050" i="2"/>
  <c r="B4052" i="2" s="1"/>
  <c r="B4080" i="2" s="1"/>
  <c r="C3786" i="2"/>
  <c r="B3788" i="2" s="1"/>
  <c r="B3810" i="2" s="1"/>
  <c r="C3742" i="2"/>
  <c r="B3744" i="2" s="1"/>
  <c r="B3763" i="2" s="1"/>
  <c r="C4006" i="2"/>
  <c r="B4008" i="2" s="1"/>
  <c r="B4014" i="2" s="1"/>
  <c r="C3654" i="2"/>
  <c r="B3656" i="2" s="1"/>
  <c r="B3691" i="2" s="1"/>
  <c r="C4138" i="2"/>
  <c r="B4140" i="2" s="1"/>
  <c r="B4167" i="2" s="1"/>
  <c r="C4226" i="2"/>
  <c r="B4228" i="2" s="1"/>
  <c r="B4265" i="2" s="1"/>
  <c r="C3962" i="2"/>
  <c r="B3964" i="2" s="1"/>
  <c r="B3977" i="2" s="1"/>
  <c r="C3874" i="2"/>
  <c r="B3876" i="2" s="1"/>
  <c r="B3916" i="2" s="1"/>
  <c r="C4270" i="2"/>
  <c r="B4272" i="2" s="1"/>
  <c r="B4309" i="2" s="1"/>
  <c r="C3918" i="2"/>
  <c r="B3920" i="2" s="1"/>
  <c r="B3940" i="2" s="1"/>
  <c r="C4314" i="2"/>
  <c r="B4316" i="2" s="1"/>
  <c r="B4331" i="2" s="1"/>
  <c r="A111" i="1"/>
  <c r="C4402" i="2"/>
  <c r="B4404" i="2" s="1"/>
  <c r="G960" i="2"/>
  <c r="B718" i="2" l="1"/>
  <c r="B742" i="2"/>
  <c r="B739" i="2"/>
  <c r="B784" i="2"/>
  <c r="B777" i="2"/>
  <c r="B782" i="2"/>
  <c r="B785" i="2"/>
  <c r="B778" i="2"/>
  <c r="B774" i="2"/>
  <c r="B759" i="2"/>
  <c r="B761" i="2"/>
  <c r="B763" i="2"/>
  <c r="B773" i="2"/>
  <c r="B768" i="2"/>
  <c r="B764" i="2"/>
  <c r="B786" i="2"/>
  <c r="B781" i="2"/>
  <c r="B756" i="2"/>
  <c r="G751" i="2"/>
  <c r="B791" i="2"/>
  <c r="B775" i="2"/>
  <c r="B767" i="2"/>
  <c r="B788" i="2"/>
  <c r="B758" i="2"/>
  <c r="B757" i="2"/>
  <c r="B790" i="2"/>
  <c r="B783" i="2"/>
  <c r="B792" i="2"/>
  <c r="B780" i="2"/>
  <c r="B787" i="2"/>
  <c r="B722" i="2"/>
  <c r="B765" i="2"/>
  <c r="B760" i="2"/>
  <c r="B769" i="2"/>
  <c r="B744" i="2"/>
  <c r="B3859" i="2"/>
  <c r="B745" i="2"/>
  <c r="B717" i="2"/>
  <c r="B726" i="2"/>
  <c r="B712" i="2"/>
  <c r="G707" i="2"/>
  <c r="B748" i="2"/>
  <c r="B725" i="2"/>
  <c r="B735" i="2"/>
  <c r="B746" i="2"/>
  <c r="B737" i="2"/>
  <c r="B710" i="2"/>
  <c r="B719" i="2"/>
  <c r="B740" i="2"/>
  <c r="B730" i="2"/>
  <c r="B715" i="2"/>
  <c r="B738" i="2"/>
  <c r="B734" i="2"/>
  <c r="B733" i="2"/>
  <c r="B729" i="2"/>
  <c r="B724" i="2"/>
  <c r="B720" i="2"/>
  <c r="B723" i="2"/>
  <c r="B727" i="2"/>
  <c r="B743" i="2"/>
  <c r="B713" i="2"/>
  <c r="B736" i="2"/>
  <c r="B732" i="2"/>
  <c r="B721" i="2"/>
  <c r="B747" i="2"/>
  <c r="B731" i="2"/>
  <c r="B711" i="2"/>
  <c r="B716" i="2"/>
  <c r="B714" i="2"/>
  <c r="B728" i="2"/>
  <c r="B3721" i="2"/>
  <c r="B3714" i="2"/>
  <c r="B3720" i="2"/>
  <c r="B3852" i="2"/>
  <c r="B3706" i="2"/>
  <c r="B3710" i="2"/>
  <c r="B3723" i="2"/>
  <c r="B3844" i="2"/>
  <c r="B3737" i="2"/>
  <c r="B762" i="2"/>
  <c r="B772" i="2"/>
  <c r="B766" i="2"/>
  <c r="B789" i="2"/>
  <c r="B3847" i="2"/>
  <c r="B3871" i="2"/>
  <c r="B3708" i="2"/>
  <c r="B3834" i="2"/>
  <c r="B3839" i="2"/>
  <c r="B3865" i="2"/>
  <c r="B3851" i="2"/>
  <c r="B3702" i="2"/>
  <c r="B3732" i="2"/>
  <c r="B3713" i="2"/>
  <c r="B3716" i="2"/>
  <c r="B3860" i="2"/>
  <c r="B3727" i="2"/>
  <c r="B3841" i="2"/>
  <c r="B3866" i="2"/>
  <c r="B3722" i="2"/>
  <c r="B3835" i="2"/>
  <c r="B3729" i="2"/>
  <c r="B3707" i="2"/>
  <c r="B3856" i="2"/>
  <c r="B3711" i="2"/>
  <c r="B3868" i="2"/>
  <c r="B776" i="2"/>
  <c r="B755" i="2"/>
  <c r="B770" i="2"/>
  <c r="B779" i="2"/>
  <c r="B771" i="2"/>
  <c r="B3854" i="2"/>
  <c r="B3858" i="2"/>
  <c r="B3861" i="2"/>
  <c r="B3843" i="2"/>
  <c r="B3836" i="2"/>
  <c r="B3837" i="2"/>
  <c r="B3870" i="2"/>
  <c r="B3863" i="2"/>
  <c r="B3872" i="2"/>
  <c r="B3864" i="2"/>
  <c r="B3848" i="2"/>
  <c r="B3853" i="2"/>
  <c r="B3849" i="2"/>
  <c r="B3862" i="2"/>
  <c r="B3846" i="2"/>
  <c r="B3838" i="2"/>
  <c r="B3855" i="2"/>
  <c r="B4397" i="2"/>
  <c r="B4379" i="2"/>
  <c r="B3730" i="2"/>
  <c r="B3704" i="2"/>
  <c r="B3738" i="2"/>
  <c r="B3703" i="2"/>
  <c r="B3728" i="2"/>
  <c r="G3699" i="2"/>
  <c r="B3740" i="2"/>
  <c r="B3717" i="2"/>
  <c r="B3705" i="2"/>
  <c r="B3725" i="2"/>
  <c r="B3734" i="2"/>
  <c r="B3733" i="2"/>
  <c r="B3735" i="2"/>
  <c r="B4366" i="2"/>
  <c r="B4388" i="2"/>
  <c r="B3709" i="2"/>
  <c r="B3718" i="2"/>
  <c r="B3731" i="2"/>
  <c r="B3739" i="2"/>
  <c r="B3724" i="2"/>
  <c r="B4369" i="2"/>
  <c r="B3719" i="2"/>
  <c r="B3850" i="2"/>
  <c r="B3857" i="2"/>
  <c r="B3736" i="2"/>
  <c r="B3842" i="2"/>
  <c r="B3715" i="2"/>
  <c r="B3712" i="2"/>
  <c r="B3845" i="2"/>
  <c r="G3831" i="2"/>
  <c r="B3840" i="2"/>
  <c r="B4384" i="2"/>
  <c r="B4382" i="2"/>
  <c r="B4364" i="2"/>
  <c r="B4395" i="2"/>
  <c r="B4368" i="2"/>
  <c r="B4208" i="2"/>
  <c r="B4126" i="2"/>
  <c r="B4113" i="2"/>
  <c r="B4119" i="2"/>
  <c r="B4122" i="2"/>
  <c r="B4111" i="2"/>
  <c r="B4120" i="2"/>
  <c r="G4095" i="2"/>
  <c r="B4116" i="2"/>
  <c r="B4105" i="2"/>
  <c r="B4124" i="2"/>
  <c r="B4108" i="2"/>
  <c r="B4104" i="2"/>
  <c r="B4134" i="2"/>
  <c r="B4133" i="2"/>
  <c r="B4123" i="2"/>
  <c r="B4128" i="2"/>
  <c r="B4098" i="2"/>
  <c r="B4125" i="2"/>
  <c r="B4132" i="2"/>
  <c r="B4100" i="2"/>
  <c r="B4109" i="2"/>
  <c r="B4127" i="2"/>
  <c r="B4130" i="2"/>
  <c r="B4129" i="2"/>
  <c r="B4107" i="2"/>
  <c r="B4099" i="2"/>
  <c r="B4121" i="2"/>
  <c r="B4101" i="2"/>
  <c r="B4114" i="2"/>
  <c r="B4103" i="2"/>
  <c r="B4117" i="2"/>
  <c r="B4131" i="2"/>
  <c r="B4110" i="2"/>
  <c r="B4102" i="2"/>
  <c r="B4115" i="2"/>
  <c r="B4118" i="2"/>
  <c r="B4136" i="2"/>
  <c r="B4106" i="2"/>
  <c r="B4135" i="2"/>
  <c r="B3869" i="2"/>
  <c r="B4217" i="2"/>
  <c r="B4197" i="2"/>
  <c r="B4216" i="2"/>
  <c r="B4393" i="2"/>
  <c r="B4399" i="2"/>
  <c r="B4396" i="2"/>
  <c r="B4389" i="2"/>
  <c r="B4067" i="2"/>
  <c r="B4090" i="2"/>
  <c r="B4076" i="2"/>
  <c r="B4071" i="2"/>
  <c r="B4064" i="2"/>
  <c r="G4051" i="2"/>
  <c r="B4058" i="2"/>
  <c r="B4383" i="2"/>
  <c r="B4362" i="2"/>
  <c r="B4387" i="2"/>
  <c r="B4378" i="2"/>
  <c r="B4374" i="2"/>
  <c r="B4078" i="2"/>
  <c r="B4081" i="2"/>
  <c r="B4087" i="2"/>
  <c r="B4213" i="2"/>
  <c r="B4069" i="2"/>
  <c r="B4062" i="2"/>
  <c r="B4086" i="2"/>
  <c r="B4072" i="2"/>
  <c r="B4083" i="2"/>
  <c r="B4073" i="2"/>
  <c r="B4066" i="2"/>
  <c r="B4372" i="2"/>
  <c r="B4391" i="2"/>
  <c r="B4363" i="2"/>
  <c r="G4359" i="2"/>
  <c r="B4375" i="2"/>
  <c r="B4070" i="2"/>
  <c r="B4056" i="2"/>
  <c r="B4063" i="2"/>
  <c r="B4061" i="2"/>
  <c r="B4075" i="2"/>
  <c r="B4373" i="2"/>
  <c r="B4365" i="2"/>
  <c r="B4400" i="2"/>
  <c r="B4386" i="2"/>
  <c r="B4377" i="2"/>
  <c r="B4077" i="2"/>
  <c r="B4088" i="2"/>
  <c r="B4092" i="2"/>
  <c r="B4082" i="2"/>
  <c r="B4084" i="2"/>
  <c r="B4192" i="2"/>
  <c r="B4380" i="2"/>
  <c r="B4367" i="2"/>
  <c r="B4398" i="2"/>
  <c r="B4390" i="2"/>
  <c r="B4371" i="2"/>
  <c r="B4207" i="2"/>
  <c r="B4060" i="2"/>
  <c r="B4059" i="2"/>
  <c r="B4085" i="2"/>
  <c r="B4089" i="2"/>
  <c r="B4079" i="2"/>
  <c r="B4065" i="2"/>
  <c r="B4057" i="2"/>
  <c r="B4068" i="2"/>
  <c r="B4055" i="2"/>
  <c r="B4370" i="2"/>
  <c r="B4392" i="2"/>
  <c r="B4394" i="2"/>
  <c r="B4376" i="2"/>
  <c r="B4385" i="2"/>
  <c r="B4054" i="2"/>
  <c r="B4196" i="2"/>
  <c r="B4091" i="2"/>
  <c r="B4202" i="2"/>
  <c r="G4183" i="2"/>
  <c r="B4074" i="2"/>
  <c r="B3778" i="2"/>
  <c r="B3765" i="2"/>
  <c r="B3758" i="2"/>
  <c r="B3747" i="2"/>
  <c r="B3770" i="2"/>
  <c r="B3755" i="2"/>
  <c r="B3769" i="2"/>
  <c r="B3782" i="2"/>
  <c r="B3754" i="2"/>
  <c r="B3746" i="2"/>
  <c r="B3761" i="2"/>
  <c r="B3768" i="2"/>
  <c r="B3764" i="2"/>
  <c r="B3757" i="2"/>
  <c r="B3749" i="2"/>
  <c r="B3781" i="2"/>
  <c r="B3767" i="2"/>
  <c r="B3771" i="2"/>
  <c r="B3752" i="2"/>
  <c r="B3756" i="2"/>
  <c r="B3780" i="2"/>
  <c r="B3748" i="2"/>
  <c r="B3751" i="2"/>
  <c r="B3784" i="2"/>
  <c r="G3743" i="2"/>
  <c r="B3775" i="2"/>
  <c r="B3776" i="2"/>
  <c r="B3774" i="2"/>
  <c r="B3773" i="2"/>
  <c r="B3766" i="2"/>
  <c r="B3777" i="2"/>
  <c r="B3762" i="2"/>
  <c r="B3753" i="2"/>
  <c r="B3750" i="2"/>
  <c r="B3760" i="2"/>
  <c r="B3779" i="2"/>
  <c r="B3772" i="2"/>
  <c r="B4210" i="2"/>
  <c r="B4206" i="2"/>
  <c r="B4190" i="2"/>
  <c r="B4194" i="2"/>
  <c r="B4205" i="2"/>
  <c r="B4186" i="2"/>
  <c r="B4195" i="2"/>
  <c r="B4033" i="2"/>
  <c r="B4016" i="2"/>
  <c r="B4042" i="2"/>
  <c r="B4220" i="2"/>
  <c r="B4218" i="2"/>
  <c r="B4191" i="2"/>
  <c r="B4017" i="2"/>
  <c r="B4024" i="2"/>
  <c r="B4019" i="2"/>
  <c r="B4018" i="2"/>
  <c r="B4035" i="2"/>
  <c r="B4045" i="2"/>
  <c r="B4214" i="2"/>
  <c r="B4188" i="2"/>
  <c r="B4211" i="2"/>
  <c r="B4224" i="2"/>
  <c r="B4200" i="2"/>
  <c r="B4209" i="2"/>
  <c r="B4028" i="2"/>
  <c r="B4043" i="2"/>
  <c r="B4046" i="2"/>
  <c r="B4212" i="2"/>
  <c r="B4193" i="2"/>
  <c r="B4030" i="2"/>
  <c r="B4041" i="2"/>
  <c r="B4038" i="2"/>
  <c r="B4020" i="2"/>
  <c r="B4199" i="2"/>
  <c r="B4219" i="2"/>
  <c r="B4221" i="2"/>
  <c r="B4222" i="2"/>
  <c r="B4223" i="2"/>
  <c r="B4039" i="2"/>
  <c r="B4034" i="2"/>
  <c r="B4029" i="2"/>
  <c r="B4198" i="2"/>
  <c r="B4203" i="2"/>
  <c r="B4201" i="2"/>
  <c r="B4204" i="2"/>
  <c r="B4215" i="2"/>
  <c r="B4187" i="2"/>
  <c r="B4026" i="2"/>
  <c r="B4037" i="2"/>
  <c r="B4032" i="2"/>
  <c r="B4031" i="2"/>
  <c r="B4048" i="2"/>
  <c r="B3783" i="2"/>
  <c r="B3759" i="2"/>
  <c r="B4010" i="2"/>
  <c r="B3975" i="2"/>
  <c r="B3670" i="2"/>
  <c r="B3677" i="2"/>
  <c r="B3664" i="2"/>
  <c r="B3683" i="2"/>
  <c r="B3671" i="2"/>
  <c r="B3695" i="2"/>
  <c r="B3661" i="2"/>
  <c r="B3696" i="2"/>
  <c r="B3987" i="2"/>
  <c r="G3655" i="2"/>
  <c r="B3679" i="2"/>
  <c r="B3658" i="2"/>
  <c r="B3669" i="2"/>
  <c r="B3662" i="2"/>
  <c r="B3667" i="2"/>
  <c r="B3675" i="2"/>
  <c r="B3674" i="2"/>
  <c r="B3687" i="2"/>
  <c r="B3673" i="2"/>
  <c r="B3665" i="2"/>
  <c r="B3672" i="2"/>
  <c r="B3690" i="2"/>
  <c r="B3676" i="2"/>
  <c r="B3668" i="2"/>
  <c r="B3681" i="2"/>
  <c r="B3686" i="2"/>
  <c r="B3659" i="2"/>
  <c r="B3688" i="2"/>
  <c r="B3684" i="2"/>
  <c r="B3685" i="2"/>
  <c r="B3692" i="2"/>
  <c r="B3666" i="2"/>
  <c r="B3693" i="2"/>
  <c r="B3663" i="2"/>
  <c r="B3903" i="2"/>
  <c r="B3821" i="2"/>
  <c r="B3806" i="2"/>
  <c r="B3814" i="2"/>
  <c r="B3823" i="2"/>
  <c r="B3805" i="2"/>
  <c r="B4179" i="2"/>
  <c r="B4172" i="2"/>
  <c r="B4170" i="2"/>
  <c r="B4248" i="2"/>
  <c r="B3888" i="2"/>
  <c r="B3811" i="2"/>
  <c r="B3792" i="2"/>
  <c r="B3826" i="2"/>
  <c r="B3791" i="2"/>
  <c r="B4158" i="2"/>
  <c r="B4175" i="2"/>
  <c r="B4160" i="2"/>
  <c r="B3886" i="2"/>
  <c r="B3799" i="2"/>
  <c r="B3802" i="2"/>
  <c r="B3812" i="2"/>
  <c r="B3817" i="2"/>
  <c r="B4168" i="2"/>
  <c r="B3827" i="2"/>
  <c r="B3825" i="2"/>
  <c r="B3796" i="2"/>
  <c r="B3818" i="2"/>
  <c r="G3787" i="2"/>
  <c r="B4149" i="2"/>
  <c r="B4164" i="2"/>
  <c r="B4174" i="2"/>
  <c r="B4163" i="2"/>
  <c r="B3804" i="2"/>
  <c r="B3790" i="2"/>
  <c r="B3809" i="2"/>
  <c r="B4150" i="2"/>
  <c r="B4242" i="2"/>
  <c r="B3795" i="2"/>
  <c r="B3793" i="2"/>
  <c r="B3828" i="2"/>
  <c r="B3896" i="2"/>
  <c r="B3808" i="2"/>
  <c r="B4148" i="2"/>
  <c r="B4146" i="2"/>
  <c r="B3797" i="2"/>
  <c r="B3798" i="2"/>
  <c r="B3813" i="2"/>
  <c r="B3824" i="2"/>
  <c r="B3816" i="2"/>
  <c r="B4176" i="2"/>
  <c r="B4157" i="2"/>
  <c r="B4144" i="2"/>
  <c r="B4173" i="2"/>
  <c r="B4180" i="2"/>
  <c r="B3803" i="2"/>
  <c r="B3815" i="2"/>
  <c r="B4155" i="2"/>
  <c r="B4156" i="2"/>
  <c r="B3807" i="2"/>
  <c r="B3819" i="2"/>
  <c r="B4166" i="2"/>
  <c r="B4154" i="2"/>
  <c r="B3800" i="2"/>
  <c r="B3794" i="2"/>
  <c r="B3822" i="2"/>
  <c r="B3820" i="2"/>
  <c r="B3801" i="2"/>
  <c r="B4145" i="2"/>
  <c r="G4139" i="2"/>
  <c r="B4165" i="2"/>
  <c r="B4152" i="2"/>
  <c r="B4178" i="2"/>
  <c r="B4142" i="2"/>
  <c r="B3660" i="2"/>
  <c r="B3678" i="2"/>
  <c r="B4027" i="2"/>
  <c r="B4040" i="2"/>
  <c r="B3694" i="2"/>
  <c r="B3689" i="2"/>
  <c r="B3680" i="2"/>
  <c r="B3682" i="2"/>
  <c r="B4012" i="2"/>
  <c r="B4036" i="2"/>
  <c r="B4022" i="2"/>
  <c r="B4047" i="2"/>
  <c r="B4143" i="2"/>
  <c r="B4171" i="2"/>
  <c r="B4159" i="2"/>
  <c r="B4177" i="2"/>
  <c r="B4234" i="2"/>
  <c r="B4266" i="2"/>
  <c r="B3997" i="2"/>
  <c r="B4023" i="2"/>
  <c r="B4025" i="2"/>
  <c r="B4335" i="2"/>
  <c r="B4268" i="2"/>
  <c r="B4252" i="2"/>
  <c r="B4151" i="2"/>
  <c r="B4147" i="2"/>
  <c r="B4161" i="2"/>
  <c r="B4153" i="2"/>
  <c r="B4162" i="2"/>
  <c r="B4169" i="2"/>
  <c r="B4015" i="2"/>
  <c r="B4044" i="2"/>
  <c r="B4011" i="2"/>
  <c r="B4013" i="2"/>
  <c r="G4007" i="2"/>
  <c r="B4021" i="2"/>
  <c r="G3875" i="2"/>
  <c r="B3879" i="2"/>
  <c r="B3969" i="2"/>
  <c r="B3901" i="2"/>
  <c r="B3978" i="2"/>
  <c r="B3966" i="2"/>
  <c r="B4263" i="2"/>
  <c r="B4239" i="2"/>
  <c r="B3915" i="2"/>
  <c r="B3991" i="2"/>
  <c r="B4260" i="2"/>
  <c r="B3909" i="2"/>
  <c r="B4004" i="2"/>
  <c r="B3980" i="2"/>
  <c r="B4001" i="2"/>
  <c r="B3885" i="2"/>
  <c r="B3994" i="2"/>
  <c r="B3979" i="2"/>
  <c r="B4238" i="2"/>
  <c r="B4240" i="2"/>
  <c r="B3971" i="2"/>
  <c r="B3993" i="2"/>
  <c r="B4251" i="2"/>
  <c r="B4256" i="2"/>
  <c r="B3989" i="2"/>
  <c r="B3995" i="2"/>
  <c r="B3992" i="2"/>
  <c r="B4241" i="2"/>
  <c r="B4245" i="2"/>
  <c r="B4247" i="2"/>
  <c r="B3878" i="2"/>
  <c r="B3910" i="2"/>
  <c r="B3988" i="2"/>
  <c r="B4246" i="2"/>
  <c r="B4261" i="2"/>
  <c r="B3912" i="2"/>
  <c r="B3897" i="2"/>
  <c r="B3887" i="2"/>
  <c r="B3973" i="2"/>
  <c r="B3970" i="2"/>
  <c r="B3990" i="2"/>
  <c r="B3974" i="2"/>
  <c r="B3913" i="2"/>
  <c r="B3911" i="2"/>
  <c r="B3905" i="2"/>
  <c r="B4002" i="2"/>
  <c r="B3999" i="2"/>
  <c r="B4254" i="2"/>
  <c r="B4267" i="2"/>
  <c r="B3891" i="2"/>
  <c r="B3899" i="2"/>
  <c r="B3898" i="2"/>
  <c r="G3963" i="2"/>
  <c r="B3972" i="2"/>
  <c r="B4230" i="2"/>
  <c r="G4227" i="2"/>
  <c r="B3884" i="2"/>
  <c r="B3890" i="2"/>
  <c r="B3882" i="2"/>
  <c r="B4262" i="2"/>
  <c r="B4257" i="2"/>
  <c r="B4258" i="2"/>
  <c r="B4243" i="2"/>
  <c r="B4237" i="2"/>
  <c r="B3914" i="2"/>
  <c r="B3881" i="2"/>
  <c r="B3883" i="2"/>
  <c r="B3895" i="2"/>
  <c r="B3908" i="2"/>
  <c r="B3983" i="2"/>
  <c r="B3967" i="2"/>
  <c r="B3984" i="2"/>
  <c r="B3998" i="2"/>
  <c r="B3985" i="2"/>
  <c r="B4255" i="2"/>
  <c r="B4235" i="2"/>
  <c r="B4244" i="2"/>
  <c r="B4232" i="2"/>
  <c r="B4233" i="2"/>
  <c r="B4259" i="2"/>
  <c r="B4231" i="2"/>
  <c r="B4264" i="2"/>
  <c r="B3906" i="2"/>
  <c r="B3892" i="2"/>
  <c r="B3904" i="2"/>
  <c r="B3893" i="2"/>
  <c r="B3902" i="2"/>
  <c r="B3981" i="2"/>
  <c r="B3976" i="2"/>
  <c r="B3996" i="2"/>
  <c r="B4000" i="2"/>
  <c r="B4249" i="2"/>
  <c r="B4253" i="2"/>
  <c r="B4250" i="2"/>
  <c r="B4236" i="2"/>
  <c r="B3907" i="2"/>
  <c r="B3880" i="2"/>
  <c r="B3894" i="2"/>
  <c r="B3900" i="2"/>
  <c r="B3889" i="2"/>
  <c r="B3982" i="2"/>
  <c r="B3986" i="2"/>
  <c r="B3968" i="2"/>
  <c r="B4003" i="2"/>
  <c r="B3938" i="2"/>
  <c r="B4329" i="2"/>
  <c r="B3927" i="2"/>
  <c r="B3923" i="2"/>
  <c r="B4334" i="2"/>
  <c r="B3958" i="2"/>
  <c r="B3933" i="2"/>
  <c r="B3944" i="2"/>
  <c r="B3935" i="2"/>
  <c r="B3922" i="2"/>
  <c r="B3950" i="2"/>
  <c r="B4336" i="2"/>
  <c r="B4341" i="2"/>
  <c r="B4305" i="2"/>
  <c r="B3929" i="2"/>
  <c r="B3934" i="2"/>
  <c r="B4343" i="2"/>
  <c r="B4289" i="2"/>
  <c r="B3939" i="2"/>
  <c r="B3954" i="2"/>
  <c r="B4351" i="2"/>
  <c r="B4352" i="2"/>
  <c r="B4318" i="2"/>
  <c r="B4290" i="2"/>
  <c r="B4302" i="2"/>
  <c r="B3960" i="2"/>
  <c r="B3926" i="2"/>
  <c r="B3937" i="2"/>
  <c r="B4356" i="2"/>
  <c r="B4348" i="2"/>
  <c r="B4346" i="2"/>
  <c r="B4287" i="2"/>
  <c r="B3953" i="2"/>
  <c r="B3931" i="2"/>
  <c r="B4339" i="2"/>
  <c r="B4337" i="2"/>
  <c r="B4319" i="2"/>
  <c r="B4278" i="2"/>
  <c r="B4340" i="2"/>
  <c r="B4300" i="2"/>
  <c r="B4276" i="2"/>
  <c r="B4292" i="2"/>
  <c r="B4299" i="2"/>
  <c r="B4311" i="2"/>
  <c r="B3947" i="2"/>
  <c r="B3948" i="2"/>
  <c r="B3941" i="2"/>
  <c r="B3955" i="2"/>
  <c r="B3945" i="2"/>
  <c r="B4342" i="2"/>
  <c r="B4332" i="2"/>
  <c r="B4350" i="2"/>
  <c r="B4324" i="2"/>
  <c r="B4297" i="2"/>
  <c r="B4277" i="2"/>
  <c r="B4295" i="2"/>
  <c r="B4286" i="2"/>
  <c r="G4271" i="2"/>
  <c r="B4280" i="2"/>
  <c r="B4310" i="2"/>
  <c r="B3951" i="2"/>
  <c r="B3928" i="2"/>
  <c r="B3932" i="2"/>
  <c r="B3946" i="2"/>
  <c r="B3924" i="2"/>
  <c r="B3930" i="2"/>
  <c r="B4355" i="2"/>
  <c r="B4323" i="2"/>
  <c r="B4320" i="2"/>
  <c r="B4349" i="2"/>
  <c r="B4353" i="2"/>
  <c r="B4284" i="2"/>
  <c r="B4306" i="2"/>
  <c r="B4282" i="2"/>
  <c r="B4281" i="2"/>
  <c r="B4307" i="2"/>
  <c r="B4288" i="2"/>
  <c r="B4301" i="2"/>
  <c r="B3952" i="2"/>
  <c r="G3919" i="2"/>
  <c r="B3942" i="2"/>
  <c r="B3957" i="2"/>
  <c r="B3925" i="2"/>
  <c r="B4321" i="2"/>
  <c r="G4315" i="2"/>
  <c r="B4326" i="2"/>
  <c r="B4328" i="2"/>
  <c r="B4333" i="2"/>
  <c r="B4296" i="2"/>
  <c r="B4312" i="2"/>
  <c r="B4274" i="2"/>
  <c r="B4291" i="2"/>
  <c r="B4308" i="2"/>
  <c r="B4285" i="2"/>
  <c r="B3956" i="2"/>
  <c r="B3936" i="2"/>
  <c r="B3943" i="2"/>
  <c r="B3959" i="2"/>
  <c r="B3949" i="2"/>
  <c r="B4330" i="2"/>
  <c r="B4327" i="2"/>
  <c r="B4344" i="2"/>
  <c r="B4338" i="2"/>
  <c r="B4345" i="2"/>
  <c r="B4279" i="2"/>
  <c r="B4304" i="2"/>
  <c r="B4294" i="2"/>
  <c r="B4303" i="2"/>
  <c r="B4325" i="2"/>
  <c r="B4322" i="2"/>
  <c r="B4347" i="2"/>
  <c r="B4275" i="2"/>
  <c r="B4293" i="2"/>
  <c r="B4298" i="2"/>
  <c r="B4283" i="2"/>
  <c r="B4354" i="2"/>
  <c r="C4446" i="2"/>
  <c r="B4448" i="2" s="1"/>
  <c r="B4454" i="2" s="1"/>
  <c r="B4432" i="2"/>
  <c r="B4431" i="2"/>
  <c r="B4418" i="2"/>
  <c r="B4439" i="2"/>
  <c r="B4435" i="2"/>
  <c r="B4426" i="2"/>
  <c r="B4419" i="2"/>
  <c r="B4415" i="2"/>
  <c r="B4407" i="2"/>
  <c r="B4416" i="2"/>
  <c r="B4424" i="2"/>
  <c r="B4409" i="2"/>
  <c r="B4440" i="2"/>
  <c r="B4430" i="2"/>
  <c r="B4442" i="2"/>
  <c r="B4443" i="2"/>
  <c r="B4427" i="2"/>
  <c r="B4423" i="2"/>
  <c r="B4433" i="2"/>
  <c r="B4412" i="2"/>
  <c r="B4414" i="2"/>
  <c r="B4420" i="2"/>
  <c r="B4429" i="2"/>
  <c r="B4417" i="2"/>
  <c r="B4422" i="2"/>
  <c r="B4434" i="2"/>
  <c r="G4403" i="2"/>
  <c r="B4406" i="2"/>
  <c r="B4441" i="2"/>
  <c r="B4411" i="2"/>
  <c r="B4444" i="2"/>
  <c r="B4425" i="2"/>
  <c r="B4436" i="2"/>
  <c r="B4438" i="2"/>
  <c r="B4410" i="2"/>
  <c r="B4421" i="2"/>
  <c r="B4428" i="2"/>
  <c r="B4413" i="2"/>
  <c r="B4437" i="2"/>
  <c r="B4408" i="2"/>
  <c r="A112" i="1"/>
  <c r="G877" i="2"/>
  <c r="G871" i="2"/>
  <c r="G870" i="2"/>
  <c r="E869" i="2"/>
  <c r="G869" i="2" s="1"/>
  <c r="E868" i="2"/>
  <c r="G868" i="2" s="1"/>
  <c r="E867" i="2"/>
  <c r="G867" i="2" s="1"/>
  <c r="E866" i="2"/>
  <c r="G866" i="2" s="1"/>
  <c r="E842" i="2"/>
  <c r="G842" i="2" s="1"/>
  <c r="D842" i="2"/>
  <c r="C842" i="2"/>
  <c r="G833" i="2"/>
  <c r="G827" i="2"/>
  <c r="G826" i="2"/>
  <c r="E825" i="2"/>
  <c r="G825" i="2" s="1"/>
  <c r="E824" i="2"/>
  <c r="G824" i="2" s="1"/>
  <c r="E823" i="2"/>
  <c r="G823" i="2" s="1"/>
  <c r="E822" i="2"/>
  <c r="G822" i="2" s="1"/>
  <c r="E800" i="2"/>
  <c r="G800" i="2" s="1"/>
  <c r="D800" i="2"/>
  <c r="C800" i="2"/>
  <c r="E799" i="2"/>
  <c r="G799" i="2" s="1"/>
  <c r="D799" i="2"/>
  <c r="C799" i="2"/>
  <c r="E798" i="2"/>
  <c r="G798" i="2" s="1"/>
  <c r="D798" i="2"/>
  <c r="C798" i="2"/>
  <c r="C669" i="2"/>
  <c r="D669" i="2"/>
  <c r="E669" i="2"/>
  <c r="G669" i="2" s="1"/>
  <c r="G701" i="2"/>
  <c r="G695" i="2"/>
  <c r="G694" i="2"/>
  <c r="E693" i="2"/>
  <c r="G693" i="2" s="1"/>
  <c r="E692" i="2"/>
  <c r="G692" i="2" s="1"/>
  <c r="E691" i="2"/>
  <c r="G691" i="2" s="1"/>
  <c r="E690" i="2"/>
  <c r="G690" i="2" s="1"/>
  <c r="E668" i="2"/>
  <c r="G668" i="2" s="1"/>
  <c r="D668" i="2"/>
  <c r="C668" i="2"/>
  <c r="E667" i="2"/>
  <c r="G667" i="2" s="1"/>
  <c r="D667" i="2"/>
  <c r="C667" i="2"/>
  <c r="E666" i="2"/>
  <c r="G666" i="2" s="1"/>
  <c r="D666" i="2"/>
  <c r="C666" i="2"/>
  <c r="C624" i="2"/>
  <c r="D624" i="2"/>
  <c r="E624" i="2"/>
  <c r="G624" i="2" s="1"/>
  <c r="C625" i="2"/>
  <c r="D625" i="2"/>
  <c r="E625" i="2"/>
  <c r="G625" i="2" s="1"/>
  <c r="C626" i="2"/>
  <c r="D626" i="2"/>
  <c r="E626" i="2"/>
  <c r="G626" i="2" s="1"/>
  <c r="C623" i="2"/>
  <c r="D623" i="2"/>
  <c r="E623" i="2"/>
  <c r="G623" i="2" s="1"/>
  <c r="G657" i="2"/>
  <c r="G651" i="2"/>
  <c r="G650" i="2"/>
  <c r="E649" i="2"/>
  <c r="G649" i="2" s="1"/>
  <c r="E648" i="2"/>
  <c r="G648" i="2" s="1"/>
  <c r="E647" i="2"/>
  <c r="G647" i="2" s="1"/>
  <c r="E646" i="2"/>
  <c r="G646" i="2" s="1"/>
  <c r="E622" i="2"/>
  <c r="G622" i="2" s="1"/>
  <c r="D622" i="2"/>
  <c r="C622" i="2"/>
  <c r="G613" i="2"/>
  <c r="G607" i="2"/>
  <c r="G606" i="2"/>
  <c r="E605" i="2"/>
  <c r="G605" i="2" s="1"/>
  <c r="E604" i="2"/>
  <c r="G604" i="2" s="1"/>
  <c r="E603" i="2"/>
  <c r="G603" i="2" s="1"/>
  <c r="E602" i="2"/>
  <c r="G602" i="2" s="1"/>
  <c r="E578" i="2"/>
  <c r="G578" i="2" s="1"/>
  <c r="D578" i="2"/>
  <c r="C578" i="2"/>
  <c r="G569" i="2"/>
  <c r="G563" i="2"/>
  <c r="G562" i="2"/>
  <c r="E561" i="2"/>
  <c r="G561" i="2" s="1"/>
  <c r="E560" i="2"/>
  <c r="G560" i="2" s="1"/>
  <c r="E559" i="2"/>
  <c r="G559" i="2" s="1"/>
  <c r="E558" i="2"/>
  <c r="G558" i="2" s="1"/>
  <c r="E534" i="2"/>
  <c r="G534" i="2" s="1"/>
  <c r="G555" i="2" s="1"/>
  <c r="D534" i="2"/>
  <c r="C534" i="2"/>
  <c r="G525" i="2"/>
  <c r="G519" i="2"/>
  <c r="G518" i="2"/>
  <c r="E517" i="2"/>
  <c r="G517" i="2" s="1"/>
  <c r="E516" i="2"/>
  <c r="G516" i="2" s="1"/>
  <c r="E515" i="2"/>
  <c r="G515" i="2" s="1"/>
  <c r="E514" i="2"/>
  <c r="G514" i="2" s="1"/>
  <c r="E490" i="2"/>
  <c r="G490" i="2" s="1"/>
  <c r="D490" i="2"/>
  <c r="C490" i="2"/>
  <c r="B4476" i="2" l="1"/>
  <c r="B4472" i="2"/>
  <c r="B4479" i="2"/>
  <c r="B4463" i="2"/>
  <c r="B4481" i="2"/>
  <c r="B4488" i="2"/>
  <c r="B4487" i="2"/>
  <c r="B4455" i="2"/>
  <c r="B4478" i="2"/>
  <c r="B4475" i="2"/>
  <c r="B4483" i="2"/>
  <c r="B4466" i="2"/>
  <c r="B4457" i="2"/>
  <c r="B4451" i="2"/>
  <c r="B4485" i="2"/>
  <c r="B4453" i="2"/>
  <c r="B4467" i="2"/>
  <c r="B4450" i="2"/>
  <c r="B4461" i="2"/>
  <c r="B4486" i="2"/>
  <c r="B4477" i="2"/>
  <c r="G4447" i="2"/>
  <c r="B4468" i="2"/>
  <c r="B4459" i="2"/>
  <c r="B4474" i="2"/>
  <c r="B4452" i="2"/>
  <c r="B4465" i="2"/>
  <c r="B4482" i="2"/>
  <c r="B4460" i="2"/>
  <c r="B4458" i="2"/>
  <c r="B4456" i="2"/>
  <c r="B4462" i="2"/>
  <c r="B4470" i="2"/>
  <c r="B4469" i="2"/>
  <c r="B4480" i="2"/>
  <c r="B4471" i="2"/>
  <c r="B4484" i="2"/>
  <c r="B4464" i="2"/>
  <c r="B4473" i="2"/>
  <c r="A113" i="1"/>
  <c r="C4490" i="2"/>
  <c r="B4492" i="2" s="1"/>
  <c r="G652" i="2"/>
  <c r="G863" i="2"/>
  <c r="G872" i="2"/>
  <c r="G828" i="2"/>
  <c r="G819" i="2"/>
  <c r="G687" i="2"/>
  <c r="G696" i="2"/>
  <c r="G643" i="2"/>
  <c r="G599" i="2"/>
  <c r="G608" i="2"/>
  <c r="G564" i="2"/>
  <c r="G511" i="2"/>
  <c r="G520" i="2"/>
  <c r="C4534" i="2" l="1"/>
  <c r="B4536" i="2" s="1"/>
  <c r="B4560" i="2" s="1"/>
  <c r="B4516" i="2"/>
  <c r="B4529" i="2"/>
  <c r="B4518" i="2"/>
  <c r="B4527" i="2"/>
  <c r="B4526" i="2"/>
  <c r="B4504" i="2"/>
  <c r="B4517" i="2"/>
  <c r="G4491" i="2"/>
  <c r="B4494" i="2"/>
  <c r="B4508" i="2"/>
  <c r="B4509" i="2"/>
  <c r="B4522" i="2"/>
  <c r="B4531" i="2"/>
  <c r="B4513" i="2"/>
  <c r="B4521" i="2"/>
  <c r="B4510" i="2"/>
  <c r="B4505" i="2"/>
  <c r="B4515" i="2"/>
  <c r="B4530" i="2"/>
  <c r="B4519" i="2"/>
  <c r="B4528" i="2"/>
  <c r="B4501" i="2"/>
  <c r="B4497" i="2"/>
  <c r="B4498" i="2"/>
  <c r="B4514" i="2"/>
  <c r="B4512" i="2"/>
  <c r="B4523" i="2"/>
  <c r="B4503" i="2"/>
  <c r="B4502" i="2"/>
  <c r="B4499" i="2"/>
  <c r="B4520" i="2"/>
  <c r="B4511" i="2"/>
  <c r="B4496" i="2"/>
  <c r="B4532" i="2"/>
  <c r="B4495" i="2"/>
  <c r="B4525" i="2"/>
  <c r="B4507" i="2"/>
  <c r="B4500" i="2"/>
  <c r="B4506" i="2"/>
  <c r="B4524" i="2"/>
  <c r="A114" i="1"/>
  <c r="G448" i="2"/>
  <c r="C447" i="2"/>
  <c r="D447" i="2"/>
  <c r="E447" i="2"/>
  <c r="G447" i="2" s="1"/>
  <c r="G481" i="2"/>
  <c r="G475" i="2"/>
  <c r="G474" i="2"/>
  <c r="E473" i="2"/>
  <c r="G473" i="2" s="1"/>
  <c r="E472" i="2"/>
  <c r="G472" i="2" s="1"/>
  <c r="E471" i="2"/>
  <c r="G471" i="2" s="1"/>
  <c r="E470" i="2"/>
  <c r="G470" i="2" s="1"/>
  <c r="E446" i="2"/>
  <c r="G446" i="2" s="1"/>
  <c r="D446" i="2"/>
  <c r="C446" i="2"/>
  <c r="G437" i="2"/>
  <c r="G431" i="2"/>
  <c r="G430" i="2"/>
  <c r="E429" i="2"/>
  <c r="G429" i="2" s="1"/>
  <c r="E428" i="2"/>
  <c r="G428" i="2" s="1"/>
  <c r="E427" i="2"/>
  <c r="G427" i="2" s="1"/>
  <c r="E426" i="2"/>
  <c r="G426" i="2" s="1"/>
  <c r="E402" i="2"/>
  <c r="G402" i="2" s="1"/>
  <c r="G423" i="2" s="1"/>
  <c r="D402" i="2"/>
  <c r="C402" i="2"/>
  <c r="G349" i="2"/>
  <c r="G343" i="2"/>
  <c r="G342" i="2"/>
  <c r="E341" i="2"/>
  <c r="G341" i="2" s="1"/>
  <c r="E340" i="2"/>
  <c r="G340" i="2" s="1"/>
  <c r="E339" i="2"/>
  <c r="G339" i="2" s="1"/>
  <c r="E338" i="2"/>
  <c r="G338" i="2" s="1"/>
  <c r="E314" i="2"/>
  <c r="G314" i="2" s="1"/>
  <c r="G335" i="2" s="1"/>
  <c r="D314" i="2"/>
  <c r="C314" i="2"/>
  <c r="G305" i="2"/>
  <c r="G299" i="2"/>
  <c r="G298" i="2"/>
  <c r="E297" i="2"/>
  <c r="G297" i="2" s="1"/>
  <c r="E296" i="2"/>
  <c r="G296" i="2" s="1"/>
  <c r="E295" i="2"/>
  <c r="G295" i="2" s="1"/>
  <c r="E294" i="2"/>
  <c r="G294" i="2" s="1"/>
  <c r="E270" i="2"/>
  <c r="G270" i="2" s="1"/>
  <c r="G291" i="2" s="1"/>
  <c r="D270" i="2"/>
  <c r="C270" i="2"/>
  <c r="G261" i="2"/>
  <c r="G255" i="2"/>
  <c r="G254" i="2"/>
  <c r="E253" i="2"/>
  <c r="G253" i="2" s="1"/>
  <c r="E252" i="2"/>
  <c r="G252" i="2" s="1"/>
  <c r="E251" i="2"/>
  <c r="G251" i="2" s="1"/>
  <c r="E250" i="2"/>
  <c r="G250" i="2" s="1"/>
  <c r="E226" i="2"/>
  <c r="G226" i="2" s="1"/>
  <c r="G247" i="2" s="1"/>
  <c r="D226" i="2"/>
  <c r="C226" i="2"/>
  <c r="G129" i="2"/>
  <c r="G123" i="2"/>
  <c r="G122" i="2"/>
  <c r="E121" i="2"/>
  <c r="G121" i="2" s="1"/>
  <c r="E120" i="2"/>
  <c r="G120" i="2" s="1"/>
  <c r="E119" i="2"/>
  <c r="G119" i="2" s="1"/>
  <c r="E118" i="2"/>
  <c r="G118" i="2" s="1"/>
  <c r="E94" i="2"/>
  <c r="G94" i="2" s="1"/>
  <c r="G115" i="2" s="1"/>
  <c r="D94" i="2"/>
  <c r="C94" i="2"/>
  <c r="G85" i="2"/>
  <c r="G79" i="2"/>
  <c r="G78" i="2"/>
  <c r="E77" i="2"/>
  <c r="G77" i="2" s="1"/>
  <c r="E76" i="2"/>
  <c r="G76" i="2" s="1"/>
  <c r="E75" i="2"/>
  <c r="G75" i="2" s="1"/>
  <c r="E74" i="2"/>
  <c r="G74" i="2" s="1"/>
  <c r="E50" i="2"/>
  <c r="G50" i="2" s="1"/>
  <c r="G71" i="2" s="1"/>
  <c r="D50" i="2"/>
  <c r="C50" i="2"/>
  <c r="G256" i="2" l="1"/>
  <c r="B4543" i="2"/>
  <c r="B4556" i="2"/>
  <c r="B4553" i="2"/>
  <c r="B4551" i="2"/>
  <c r="B4567" i="2"/>
  <c r="B4564" i="2"/>
  <c r="B4574" i="2"/>
  <c r="B4541" i="2"/>
  <c r="B4558" i="2"/>
  <c r="B4562" i="2"/>
  <c r="B4548" i="2"/>
  <c r="B4542" i="2"/>
  <c r="B4566" i="2"/>
  <c r="B4552" i="2"/>
  <c r="B4569" i="2"/>
  <c r="B4544" i="2"/>
  <c r="B4570" i="2"/>
  <c r="B4565" i="2"/>
  <c r="B4540" i="2"/>
  <c r="B4563" i="2"/>
  <c r="B4573" i="2"/>
  <c r="B4538" i="2"/>
  <c r="B4576" i="2"/>
  <c r="B4539" i="2"/>
  <c r="B4545" i="2"/>
  <c r="B4572" i="2"/>
  <c r="B4549" i="2"/>
  <c r="B4554" i="2"/>
  <c r="B4561" i="2"/>
  <c r="B4547" i="2"/>
  <c r="B4568" i="2"/>
  <c r="B4575" i="2"/>
  <c r="B4550" i="2"/>
  <c r="B4555" i="2"/>
  <c r="B4559" i="2"/>
  <c r="B4557" i="2"/>
  <c r="B4571" i="2"/>
  <c r="G4535" i="2"/>
  <c r="B4546" i="2"/>
  <c r="A115" i="1"/>
  <c r="C4622" i="2" s="1"/>
  <c r="B4624" i="2" s="1"/>
  <c r="C4578" i="2"/>
  <c r="B4580" i="2" s="1"/>
  <c r="G300" i="2"/>
  <c r="C2554" i="2"/>
  <c r="B2556" i="2" s="1"/>
  <c r="C2642" i="2"/>
  <c r="B2644" i="2" s="1"/>
  <c r="C2158" i="2"/>
  <c r="B2160" i="2" s="1"/>
  <c r="C2114" i="2"/>
  <c r="B2116" i="2" s="1"/>
  <c r="C2202" i="2"/>
  <c r="B2204" i="2" s="1"/>
  <c r="C2290" i="2"/>
  <c r="B2292" i="2" s="1"/>
  <c r="C2246" i="2"/>
  <c r="B2248" i="2" s="1"/>
  <c r="C222" i="2"/>
  <c r="B224" i="2" s="1"/>
  <c r="G223" i="2" s="1"/>
  <c r="C90" i="2"/>
  <c r="B92" i="2" s="1"/>
  <c r="G91" i="2" s="1"/>
  <c r="C310" i="2"/>
  <c r="B312" i="2" s="1"/>
  <c r="G311" i="2" s="1"/>
  <c r="C1938" i="2"/>
  <c r="B1940" i="2" s="1"/>
  <c r="C1498" i="2"/>
  <c r="B1500" i="2" s="1"/>
  <c r="C1894" i="2"/>
  <c r="B1896" i="2" s="1"/>
  <c r="C1674" i="2"/>
  <c r="B1676" i="2" s="1"/>
  <c r="C1146" i="2"/>
  <c r="B1148" i="2" s="1"/>
  <c r="C1410" i="2"/>
  <c r="B1412" i="2" s="1"/>
  <c r="C1058" i="2"/>
  <c r="B1060" i="2" s="1"/>
  <c r="C1762" i="2"/>
  <c r="B1764" i="2" s="1"/>
  <c r="C1718" i="2"/>
  <c r="B1720" i="2" s="1"/>
  <c r="C1322" i="2"/>
  <c r="B1324" i="2" s="1"/>
  <c r="C1630" i="2"/>
  <c r="B1632" i="2" s="1"/>
  <c r="C1454" i="2"/>
  <c r="B1456" i="2" s="1"/>
  <c r="C1102" i="2"/>
  <c r="B1104" i="2" s="1"/>
  <c r="C2026" i="2"/>
  <c r="B2028" i="2" s="1"/>
  <c r="C1850" i="2"/>
  <c r="B1852" i="2" s="1"/>
  <c r="C1190" i="2"/>
  <c r="B1192" i="2" s="1"/>
  <c r="C1366" i="2"/>
  <c r="B1368" i="2" s="1"/>
  <c r="C1982" i="2"/>
  <c r="B1984" i="2" s="1"/>
  <c r="C1806" i="2"/>
  <c r="B1808" i="2" s="1"/>
  <c r="C970" i="2"/>
  <c r="B972" i="2" s="1"/>
  <c r="C1014" i="2"/>
  <c r="B1016" i="2" s="1"/>
  <c r="C926" i="2"/>
  <c r="B928" i="2" s="1"/>
  <c r="C618" i="2"/>
  <c r="B620" i="2" s="1"/>
  <c r="C530" i="2"/>
  <c r="B532" i="2" s="1"/>
  <c r="C662" i="2"/>
  <c r="B664" i="2" s="1"/>
  <c r="C838" i="2"/>
  <c r="B840" i="2" s="1"/>
  <c r="C794" i="2"/>
  <c r="B796" i="2" s="1"/>
  <c r="C486" i="2"/>
  <c r="B488" i="2" s="1"/>
  <c r="C574" i="2"/>
  <c r="B576" i="2" s="1"/>
  <c r="C266" i="2"/>
  <c r="B268" i="2" s="1"/>
  <c r="G267" i="2" s="1"/>
  <c r="C398" i="2"/>
  <c r="B400" i="2" s="1"/>
  <c r="G399" i="2" s="1"/>
  <c r="C442" i="2"/>
  <c r="B444" i="2" s="1"/>
  <c r="G443" i="2" s="1"/>
  <c r="G467" i="2"/>
  <c r="G476" i="2"/>
  <c r="G432" i="2"/>
  <c r="G344" i="2"/>
  <c r="G124" i="2"/>
  <c r="G80" i="2"/>
  <c r="E6" i="2"/>
  <c r="G6" i="2" s="1"/>
  <c r="G27" i="2" s="1"/>
  <c r="C6" i="2"/>
  <c r="D6" i="2"/>
  <c r="E31" i="2"/>
  <c r="G31" i="2" s="1"/>
  <c r="E32" i="2"/>
  <c r="G32" i="2" s="1"/>
  <c r="E33" i="2"/>
  <c r="G33" i="2" s="1"/>
  <c r="E30" i="2"/>
  <c r="G30" i="2" s="1"/>
  <c r="G34" i="2"/>
  <c r="G35" i="2"/>
  <c r="G41" i="2"/>
  <c r="D80" i="4"/>
  <c r="G80" i="4" s="1"/>
  <c r="D81" i="4"/>
  <c r="G81" i="4" s="1"/>
  <c r="D82" i="4"/>
  <c r="D79" i="4"/>
  <c r="G79" i="4" s="1"/>
  <c r="D70" i="4"/>
  <c r="G70" i="4" s="1"/>
  <c r="D71" i="4"/>
  <c r="G71" i="4" s="1"/>
  <c r="D72" i="4"/>
  <c r="G72" i="4" s="1"/>
  <c r="D73" i="4"/>
  <c r="G61" i="4"/>
  <c r="F61" i="4"/>
  <c r="I58" i="4" s="1"/>
  <c r="J58" i="4" s="1"/>
  <c r="D65" i="4" s="1"/>
  <c r="D61" i="4"/>
  <c r="AC61" i="4"/>
  <c r="X63" i="4" s="1"/>
  <c r="AB61" i="4"/>
  <c r="AA61" i="4"/>
  <c r="X61" i="4"/>
  <c r="X62" i="4"/>
  <c r="X60" i="4"/>
  <c r="M83" i="4"/>
  <c r="H83" i="4"/>
  <c r="G83" i="4"/>
  <c r="F83" i="4"/>
  <c r="E83" i="4"/>
  <c r="D83" i="4"/>
  <c r="G82" i="4"/>
  <c r="F82" i="4"/>
  <c r="E82" i="4"/>
  <c r="E80" i="4"/>
  <c r="F79" i="4"/>
  <c r="N79" i="4" s="1"/>
  <c r="E79" i="4"/>
  <c r="N78" i="4"/>
  <c r="M74" i="4"/>
  <c r="H74" i="4"/>
  <c r="G74" i="4"/>
  <c r="F74" i="4"/>
  <c r="E74" i="4"/>
  <c r="D74" i="4"/>
  <c r="I73" i="4"/>
  <c r="G73" i="4"/>
  <c r="F73" i="4"/>
  <c r="E73" i="4"/>
  <c r="I72" i="4"/>
  <c r="F70" i="4"/>
  <c r="E70" i="4"/>
  <c r="N69" i="4"/>
  <c r="I59" i="4"/>
  <c r="J59" i="4" s="1"/>
  <c r="D66" i="4" s="1"/>
  <c r="B103" i="2" l="1"/>
  <c r="B96" i="2"/>
  <c r="B319" i="2"/>
  <c r="B332" i="2"/>
  <c r="B4650" i="2"/>
  <c r="B4631" i="2"/>
  <c r="B4639" i="2"/>
  <c r="B4663" i="2"/>
  <c r="B4638" i="2"/>
  <c r="B4664" i="2"/>
  <c r="B4655" i="2"/>
  <c r="B4657" i="2"/>
  <c r="B4641" i="2"/>
  <c r="B4642" i="2"/>
  <c r="B4654" i="2"/>
  <c r="B4656" i="2"/>
  <c r="B4661" i="2"/>
  <c r="B4636" i="2"/>
  <c r="B4658" i="2"/>
  <c r="B4628" i="2"/>
  <c r="B4643" i="2"/>
  <c r="B4633" i="2"/>
  <c r="B4662" i="2"/>
  <c r="G4623" i="2"/>
  <c r="B4635" i="2"/>
  <c r="B4637" i="2"/>
  <c r="B4646" i="2"/>
  <c r="B4660" i="2"/>
  <c r="B4652" i="2"/>
  <c r="B4651" i="2"/>
  <c r="B4632" i="2"/>
  <c r="B4644" i="2"/>
  <c r="B4648" i="2"/>
  <c r="B4627" i="2"/>
  <c r="B4647" i="2"/>
  <c r="B4649" i="2"/>
  <c r="B4645" i="2"/>
  <c r="B4653" i="2"/>
  <c r="B4659" i="2"/>
  <c r="B4626" i="2"/>
  <c r="B4629" i="2"/>
  <c r="B4640" i="2"/>
  <c r="B4630" i="2"/>
  <c r="B4634" i="2"/>
  <c r="B4587" i="2"/>
  <c r="B4586" i="2"/>
  <c r="B4600" i="2"/>
  <c r="B4584" i="2"/>
  <c r="B4593" i="2"/>
  <c r="B4592" i="2"/>
  <c r="B4597" i="2"/>
  <c r="B4609" i="2"/>
  <c r="B4591" i="2"/>
  <c r="B4582" i="2"/>
  <c r="B4616" i="2"/>
  <c r="B4594" i="2"/>
  <c r="B4599" i="2"/>
  <c r="B4590" i="2"/>
  <c r="B4611" i="2"/>
  <c r="B4603" i="2"/>
  <c r="B4610" i="2"/>
  <c r="G4579" i="2"/>
  <c r="B4598" i="2"/>
  <c r="B4588" i="2"/>
  <c r="B4601" i="2"/>
  <c r="B4604" i="2"/>
  <c r="B4606" i="2"/>
  <c r="B4613" i="2"/>
  <c r="B4620" i="2"/>
  <c r="B4596" i="2"/>
  <c r="B4595" i="2"/>
  <c r="B4619" i="2"/>
  <c r="B4602" i="2"/>
  <c r="B4612" i="2"/>
  <c r="B4589" i="2"/>
  <c r="B4614" i="2"/>
  <c r="B4617" i="2"/>
  <c r="B4607" i="2"/>
  <c r="B4615" i="2"/>
  <c r="B4585" i="2"/>
  <c r="B4605" i="2"/>
  <c r="B4618" i="2"/>
  <c r="B4583" i="2"/>
  <c r="B4608" i="2"/>
  <c r="A116" i="1"/>
  <c r="B105" i="2"/>
  <c r="B102" i="2"/>
  <c r="B325" i="2"/>
  <c r="B340" i="2"/>
  <c r="B328" i="2"/>
  <c r="C2598" i="2"/>
  <c r="B2600" i="2" s="1"/>
  <c r="B2624" i="2" s="1"/>
  <c r="C2510" i="2"/>
  <c r="B2512" i="2" s="1"/>
  <c r="B2529" i="2" s="1"/>
  <c r="C2466" i="2"/>
  <c r="B2468" i="2" s="1"/>
  <c r="B2492" i="2" s="1"/>
  <c r="C882" i="2"/>
  <c r="B884" i="2" s="1"/>
  <c r="C2070" i="2"/>
  <c r="B2072" i="2" s="1"/>
  <c r="B2091" i="2" s="1"/>
  <c r="C2686" i="2"/>
  <c r="B2688" i="2" s="1"/>
  <c r="B2696" i="2" s="1"/>
  <c r="C2378" i="2"/>
  <c r="B2380" i="2" s="1"/>
  <c r="B2401" i="2" s="1"/>
  <c r="C2730" i="2"/>
  <c r="B2732" i="2" s="1"/>
  <c r="B2765" i="2" s="1"/>
  <c r="C2422" i="2"/>
  <c r="B2424" i="2" s="1"/>
  <c r="B2437" i="2" s="1"/>
  <c r="C2774" i="2"/>
  <c r="B2776" i="2" s="1"/>
  <c r="B2785" i="2" s="1"/>
  <c r="C2334" i="2"/>
  <c r="B2336" i="2" s="1"/>
  <c r="B2371" i="2" s="1"/>
  <c r="B97" i="2"/>
  <c r="B126" i="2"/>
  <c r="B330" i="2"/>
  <c r="B116" i="2"/>
  <c r="B120" i="2"/>
  <c r="B110" i="2"/>
  <c r="B323" i="2"/>
  <c r="B321" i="2"/>
  <c r="B331" i="2"/>
  <c r="B320" i="2"/>
  <c r="B348" i="2"/>
  <c r="B334" i="2"/>
  <c r="B342" i="2"/>
  <c r="B317" i="2"/>
  <c r="B350" i="2"/>
  <c r="B316" i="2"/>
  <c r="B314" i="2"/>
  <c r="B337" i="2"/>
  <c r="B341" i="2"/>
  <c r="B257" i="2"/>
  <c r="B318" i="2"/>
  <c r="B322" i="2"/>
  <c r="B324" i="2"/>
  <c r="B114" i="2"/>
  <c r="B124" i="2"/>
  <c r="B129" i="2"/>
  <c r="B132" i="2"/>
  <c r="B100" i="2"/>
  <c r="B121" i="2"/>
  <c r="B329" i="2"/>
  <c r="B315" i="2"/>
  <c r="B352" i="2"/>
  <c r="B254" i="2"/>
  <c r="B261" i="2"/>
  <c r="B98" i="2"/>
  <c r="B130" i="2"/>
  <c r="B106" i="2"/>
  <c r="B115" i="2"/>
  <c r="B131" i="2"/>
  <c r="B104" i="2"/>
  <c r="B109" i="2"/>
  <c r="B95" i="2"/>
  <c r="B235" i="2"/>
  <c r="B128" i="2"/>
  <c r="B346" i="2"/>
  <c r="B347" i="2"/>
  <c r="B338" i="2"/>
  <c r="B345" i="2"/>
  <c r="B263" i="2"/>
  <c r="B253" i="2"/>
  <c r="B238" i="2"/>
  <c r="B240" i="2"/>
  <c r="B113" i="2"/>
  <c r="B108" i="2"/>
  <c r="B122" i="2"/>
  <c r="B111" i="2"/>
  <c r="B107" i="2"/>
  <c r="B94" i="2"/>
  <c r="B101" i="2"/>
  <c r="B127" i="2"/>
  <c r="B118" i="2"/>
  <c r="B125" i="2"/>
  <c r="B259" i="2"/>
  <c r="B112" i="2"/>
  <c r="B119" i="2"/>
  <c r="B123" i="2"/>
  <c r="B117" i="2"/>
  <c r="B99" i="2"/>
  <c r="B242" i="2"/>
  <c r="B2173" i="2"/>
  <c r="B2195" i="2"/>
  <c r="B2178" i="2"/>
  <c r="B2188" i="2"/>
  <c r="B2167" i="2"/>
  <c r="B2176" i="2"/>
  <c r="B2165" i="2"/>
  <c r="B2199" i="2"/>
  <c r="B2170" i="2"/>
  <c r="B2184" i="2"/>
  <c r="B2194" i="2"/>
  <c r="B2174" i="2"/>
  <c r="B2200" i="2"/>
  <c r="B2196" i="2"/>
  <c r="B2162" i="2"/>
  <c r="B2177" i="2"/>
  <c r="B2187" i="2"/>
  <c r="B2186" i="2"/>
  <c r="B2189" i="2"/>
  <c r="B2192" i="2"/>
  <c r="B2190" i="2"/>
  <c r="B2169" i="2"/>
  <c r="B2182" i="2"/>
  <c r="B2180" i="2"/>
  <c r="B2172" i="2"/>
  <c r="B2179" i="2"/>
  <c r="B2163" i="2"/>
  <c r="B2168" i="2"/>
  <c r="B2166" i="2"/>
  <c r="B2193" i="2"/>
  <c r="B2164" i="2"/>
  <c r="B2171" i="2"/>
  <c r="B2198" i="2"/>
  <c r="B2197" i="2"/>
  <c r="B2175" i="2"/>
  <c r="B2181" i="2"/>
  <c r="G2159" i="2"/>
  <c r="B2185" i="2"/>
  <c r="B2191" i="2"/>
  <c r="B2183" i="2"/>
  <c r="B2677" i="2"/>
  <c r="B2652" i="2"/>
  <c r="B2679" i="2"/>
  <c r="B2647" i="2"/>
  <c r="G2643" i="2"/>
  <c r="B2665" i="2"/>
  <c r="B2671" i="2"/>
  <c r="B2660" i="2"/>
  <c r="B2654" i="2"/>
  <c r="B2655" i="2"/>
  <c r="B2648" i="2"/>
  <c r="B2675" i="2"/>
  <c r="B2646" i="2"/>
  <c r="B2653" i="2"/>
  <c r="B2662" i="2"/>
  <c r="B2663" i="2"/>
  <c r="B2656" i="2"/>
  <c r="B2649" i="2"/>
  <c r="B2650" i="2"/>
  <c r="B2661" i="2"/>
  <c r="B2669" i="2"/>
  <c r="B2670" i="2"/>
  <c r="B2664" i="2"/>
  <c r="B2658" i="2"/>
  <c r="B2668" i="2"/>
  <c r="B2651" i="2"/>
  <c r="B2676" i="2"/>
  <c r="B2673" i="2"/>
  <c r="B2666" i="2"/>
  <c r="B2672" i="2"/>
  <c r="B2659" i="2"/>
  <c r="B2680" i="2"/>
  <c r="B2684" i="2"/>
  <c r="B2683" i="2"/>
  <c r="B2678" i="2"/>
  <c r="B2682" i="2"/>
  <c r="B2681" i="2"/>
  <c r="B2674" i="2"/>
  <c r="B2657" i="2"/>
  <c r="B2667" i="2"/>
  <c r="B239" i="2"/>
  <c r="B236" i="2"/>
  <c r="B2253" i="2"/>
  <c r="B2284" i="2"/>
  <c r="B2258" i="2"/>
  <c r="B2272" i="2"/>
  <c r="G2247" i="2"/>
  <c r="B2282" i="2"/>
  <c r="B2280" i="2"/>
  <c r="B2250" i="2"/>
  <c r="B2265" i="2"/>
  <c r="B2285" i="2"/>
  <c r="B2288" i="2"/>
  <c r="B2274" i="2"/>
  <c r="B2278" i="2"/>
  <c r="B2257" i="2"/>
  <c r="B2270" i="2"/>
  <c r="B2277" i="2"/>
  <c r="B2267" i="2"/>
  <c r="B2271" i="2"/>
  <c r="B2283" i="2"/>
  <c r="B2262" i="2"/>
  <c r="B2268" i="2"/>
  <c r="B2259" i="2"/>
  <c r="B2255" i="2"/>
  <c r="B2263" i="2"/>
  <c r="B2254" i="2"/>
  <c r="B2281" i="2"/>
  <c r="B2260" i="2"/>
  <c r="B2275" i="2"/>
  <c r="B2286" i="2"/>
  <c r="B2251" i="2"/>
  <c r="B2269" i="2"/>
  <c r="B2252" i="2"/>
  <c r="B2273" i="2"/>
  <c r="B2279" i="2"/>
  <c r="B2264" i="2"/>
  <c r="B2261" i="2"/>
  <c r="B2287" i="2"/>
  <c r="B2266" i="2"/>
  <c r="B2276" i="2"/>
  <c r="B2256" i="2"/>
  <c r="B2325" i="2"/>
  <c r="B2299" i="2"/>
  <c r="B2326" i="2"/>
  <c r="B2323" i="2"/>
  <c r="B2318" i="2"/>
  <c r="B2332" i="2"/>
  <c r="B2307" i="2"/>
  <c r="G2291" i="2"/>
  <c r="B2330" i="2"/>
  <c r="B2324" i="2"/>
  <c r="B2297" i="2"/>
  <c r="B2315" i="2"/>
  <c r="B2300" i="2"/>
  <c r="B2294" i="2"/>
  <c r="B2328" i="2"/>
  <c r="B2305" i="2"/>
  <c r="B2322" i="2"/>
  <c r="B2308" i="2"/>
  <c r="B2302" i="2"/>
  <c r="B2331" i="2"/>
  <c r="B2313" i="2"/>
  <c r="B2327" i="2"/>
  <c r="B2301" i="2"/>
  <c r="B2310" i="2"/>
  <c r="B2296" i="2"/>
  <c r="B2306" i="2"/>
  <c r="B2329" i="2"/>
  <c r="B2309" i="2"/>
  <c r="B2317" i="2"/>
  <c r="B2304" i="2"/>
  <c r="B2319" i="2"/>
  <c r="B2298" i="2"/>
  <c r="B2316" i="2"/>
  <c r="B2303" i="2"/>
  <c r="B2312" i="2"/>
  <c r="B2295" i="2"/>
  <c r="B2314" i="2"/>
  <c r="B2320" i="2"/>
  <c r="B2311" i="2"/>
  <c r="B2321" i="2"/>
  <c r="B2589" i="2"/>
  <c r="B2586" i="2"/>
  <c r="B2573" i="2"/>
  <c r="B2562" i="2"/>
  <c r="B2582" i="2"/>
  <c r="B2561" i="2"/>
  <c r="B2591" i="2"/>
  <c r="B2580" i="2"/>
  <c r="B2566" i="2"/>
  <c r="B2588" i="2"/>
  <c r="B2569" i="2"/>
  <c r="B2593" i="2"/>
  <c r="B2584" i="2"/>
  <c r="B2574" i="2"/>
  <c r="B2592" i="2"/>
  <c r="B2577" i="2"/>
  <c r="B2578" i="2"/>
  <c r="B2587" i="2"/>
  <c r="B2581" i="2"/>
  <c r="B2595" i="2"/>
  <c r="B2567" i="2"/>
  <c r="B2558" i="2"/>
  <c r="B2560" i="2"/>
  <c r="B2594" i="2"/>
  <c r="G2555" i="2"/>
  <c r="B2568" i="2"/>
  <c r="B2563" i="2"/>
  <c r="B2564" i="2"/>
  <c r="B2570" i="2"/>
  <c r="B2559" i="2"/>
  <c r="B2576" i="2"/>
  <c r="B2571" i="2"/>
  <c r="B2572" i="2"/>
  <c r="B2585" i="2"/>
  <c r="B2579" i="2"/>
  <c r="B2565" i="2"/>
  <c r="B2590" i="2"/>
  <c r="B2575" i="2"/>
  <c r="B2596" i="2"/>
  <c r="B2583" i="2"/>
  <c r="B2209" i="2"/>
  <c r="B2234" i="2"/>
  <c r="B2229" i="2"/>
  <c r="B2232" i="2"/>
  <c r="B2218" i="2"/>
  <c r="B2244" i="2"/>
  <c r="B2211" i="2"/>
  <c r="B2222" i="2"/>
  <c r="B2228" i="2"/>
  <c r="B2210" i="2"/>
  <c r="B2233" i="2"/>
  <c r="B2243" i="2"/>
  <c r="B2214" i="2"/>
  <c r="B2221" i="2"/>
  <c r="B2206" i="2"/>
  <c r="B2224" i="2"/>
  <c r="B2240" i="2"/>
  <c r="B2239" i="2"/>
  <c r="B2213" i="2"/>
  <c r="B2220" i="2"/>
  <c r="B2216" i="2"/>
  <c r="B2236" i="2"/>
  <c r="B2219" i="2"/>
  <c r="B2227" i="2"/>
  <c r="B2212" i="2"/>
  <c r="B2237" i="2"/>
  <c r="B2208" i="2"/>
  <c r="B2230" i="2"/>
  <c r="B2207" i="2"/>
  <c r="B2238" i="2"/>
  <c r="B2225" i="2"/>
  <c r="G2203" i="2"/>
  <c r="B2223" i="2"/>
  <c r="B2242" i="2"/>
  <c r="B2231" i="2"/>
  <c r="B2217" i="2"/>
  <c r="B2241" i="2"/>
  <c r="B2215" i="2"/>
  <c r="B2235" i="2"/>
  <c r="B2226" i="2"/>
  <c r="B262" i="2"/>
  <c r="B245" i="2"/>
  <c r="B2149" i="2"/>
  <c r="B2119" i="2"/>
  <c r="B2132" i="2"/>
  <c r="B2128" i="2"/>
  <c r="B2154" i="2"/>
  <c r="B2123" i="2"/>
  <c r="B2118" i="2"/>
  <c r="B2141" i="2"/>
  <c r="G2115" i="2"/>
  <c r="B2127" i="2"/>
  <c r="B2136" i="2"/>
  <c r="B2133" i="2"/>
  <c r="B2131" i="2"/>
  <c r="B2135" i="2"/>
  <c r="B2145" i="2"/>
  <c r="B2126" i="2"/>
  <c r="B2122" i="2"/>
  <c r="B2139" i="2"/>
  <c r="B2142" i="2"/>
  <c r="B2156" i="2"/>
  <c r="B2134" i="2"/>
  <c r="B2125" i="2"/>
  <c r="B2148" i="2"/>
  <c r="B2138" i="2"/>
  <c r="B2151" i="2"/>
  <c r="B2152" i="2"/>
  <c r="B2140" i="2"/>
  <c r="B2121" i="2"/>
  <c r="B2146" i="2"/>
  <c r="B2143" i="2"/>
  <c r="B2153" i="2"/>
  <c r="B2155" i="2"/>
  <c r="B2144" i="2"/>
  <c r="B2129" i="2"/>
  <c r="B2150" i="2"/>
  <c r="B2124" i="2"/>
  <c r="B2120" i="2"/>
  <c r="B2147" i="2"/>
  <c r="B2137" i="2"/>
  <c r="B2130" i="2"/>
  <c r="B226" i="2"/>
  <c r="B250" i="2"/>
  <c r="B252" i="2"/>
  <c r="B230" i="2"/>
  <c r="B256" i="2"/>
  <c r="B237" i="2"/>
  <c r="B234" i="2"/>
  <c r="B264" i="2"/>
  <c r="B258" i="2"/>
  <c r="B260" i="2"/>
  <c r="B229" i="2"/>
  <c r="B339" i="2"/>
  <c r="B343" i="2"/>
  <c r="B349" i="2"/>
  <c r="B351" i="2"/>
  <c r="B333" i="2"/>
  <c r="B326" i="2"/>
  <c r="B336" i="2"/>
  <c r="B327" i="2"/>
  <c r="B344" i="2"/>
  <c r="B335" i="2"/>
  <c r="B465" i="2"/>
  <c r="B477" i="2"/>
  <c r="B449" i="2"/>
  <c r="B247" i="2"/>
  <c r="B232" i="2"/>
  <c r="B243" i="2"/>
  <c r="B244" i="2"/>
  <c r="B255" i="2"/>
  <c r="B451" i="2"/>
  <c r="B246" i="2"/>
  <c r="B249" i="2"/>
  <c r="B233" i="2"/>
  <c r="B241" i="2"/>
  <c r="B282" i="2"/>
  <c r="B231" i="2"/>
  <c r="B251" i="2"/>
  <c r="B227" i="2"/>
  <c r="B228" i="2"/>
  <c r="B248" i="2"/>
  <c r="B453" i="2"/>
  <c r="B416" i="2"/>
  <c r="B429" i="2"/>
  <c r="B439" i="2"/>
  <c r="B428" i="2"/>
  <c r="B427" i="2"/>
  <c r="B423" i="2"/>
  <c r="B424" i="2"/>
  <c r="B422" i="2"/>
  <c r="B415" i="2"/>
  <c r="B438" i="2"/>
  <c r="B434" i="2"/>
  <c r="B430" i="2"/>
  <c r="B407" i="2"/>
  <c r="B418" i="2"/>
  <c r="B435" i="2"/>
  <c r="B436" i="2"/>
  <c r="B410" i="2"/>
  <c r="B419" i="2"/>
  <c r="B408" i="2"/>
  <c r="B425" i="2"/>
  <c r="B432" i="2"/>
  <c r="B421" i="2"/>
  <c r="B409" i="2"/>
  <c r="B406" i="2"/>
  <c r="B440" i="2"/>
  <c r="B285" i="2"/>
  <c r="B482" i="2"/>
  <c r="B471" i="2"/>
  <c r="B417" i="2"/>
  <c r="B402" i="2"/>
  <c r="B412" i="2"/>
  <c r="B413" i="2"/>
  <c r="B455" i="2"/>
  <c r="B468" i="2"/>
  <c r="B278" i="2"/>
  <c r="B483" i="2"/>
  <c r="B469" i="2"/>
  <c r="B460" i="2"/>
  <c r="B456" i="2"/>
  <c r="B280" i="2"/>
  <c r="B457" i="2"/>
  <c r="B463" i="2"/>
  <c r="B293" i="2"/>
  <c r="B277" i="2"/>
  <c r="B478" i="2"/>
  <c r="B480" i="2"/>
  <c r="B296" i="2"/>
  <c r="B403" i="2"/>
  <c r="B411" i="2"/>
  <c r="B298" i="2"/>
  <c r="B420" i="2"/>
  <c r="B426" i="2"/>
  <c r="B450" i="2"/>
  <c r="B462" i="2"/>
  <c r="B467" i="2"/>
  <c r="B271" i="2"/>
  <c r="B481" i="2"/>
  <c r="B472" i="2"/>
  <c r="B459" i="2"/>
  <c r="B292" i="2"/>
  <c r="B286" i="2"/>
  <c r="B272" i="2"/>
  <c r="B287" i="2"/>
  <c r="B308" i="2"/>
  <c r="B294" i="2"/>
  <c r="B306" i="2"/>
  <c r="B302" i="2"/>
  <c r="B273" i="2"/>
  <c r="B289" i="2"/>
  <c r="B274" i="2"/>
  <c r="B295" i="2"/>
  <c r="B276" i="2"/>
  <c r="B283" i="2"/>
  <c r="B300" i="2"/>
  <c r="B284" i="2"/>
  <c r="B303" i="2"/>
  <c r="B270" i="2"/>
  <c r="B301" i="2"/>
  <c r="B458" i="2"/>
  <c r="B454" i="2"/>
  <c r="B479" i="2"/>
  <c r="B405" i="2"/>
  <c r="B446" i="2"/>
  <c r="B461" i="2"/>
  <c r="B447" i="2"/>
  <c r="B448" i="2"/>
  <c r="B464" i="2"/>
  <c r="B431" i="2"/>
  <c r="B414" i="2"/>
  <c r="B404" i="2"/>
  <c r="B437" i="2"/>
  <c r="B433" i="2"/>
  <c r="B466" i="2"/>
  <c r="B475" i="2"/>
  <c r="B470" i="2"/>
  <c r="B484" i="2"/>
  <c r="G1103" i="2"/>
  <c r="B1112" i="2"/>
  <c r="B1129" i="2"/>
  <c r="B1121" i="2"/>
  <c r="B1117" i="2"/>
  <c r="B1130" i="2"/>
  <c r="B1135" i="2"/>
  <c r="B1139" i="2"/>
  <c r="B1114" i="2"/>
  <c r="B1109" i="2"/>
  <c r="B1123" i="2"/>
  <c r="B1132" i="2"/>
  <c r="B1134" i="2"/>
  <c r="B1106" i="2"/>
  <c r="B1144" i="2"/>
  <c r="B1128" i="2"/>
  <c r="B1127" i="2"/>
  <c r="B1133" i="2"/>
  <c r="B1113" i="2"/>
  <c r="B1115" i="2"/>
  <c r="B1107" i="2"/>
  <c r="B1119" i="2"/>
  <c r="B1143" i="2"/>
  <c r="B1118" i="2"/>
  <c r="B1116" i="2"/>
  <c r="B1138" i="2"/>
  <c r="B1125" i="2"/>
  <c r="B1108" i="2"/>
  <c r="B1142" i="2"/>
  <c r="B1137" i="2"/>
  <c r="B1124" i="2"/>
  <c r="B1141" i="2"/>
  <c r="B1140" i="2"/>
  <c r="B1131" i="2"/>
  <c r="B1126" i="2"/>
  <c r="B1120" i="2"/>
  <c r="B1111" i="2"/>
  <c r="B1136" i="2"/>
  <c r="B1122" i="2"/>
  <c r="B1110" i="2"/>
  <c r="G1147" i="2"/>
  <c r="B1181" i="2"/>
  <c r="B1175" i="2"/>
  <c r="B1164" i="2"/>
  <c r="B1154" i="2"/>
  <c r="B1180" i="2"/>
  <c r="B1169" i="2"/>
  <c r="B1158" i="2"/>
  <c r="B1160" i="2"/>
  <c r="B1162" i="2"/>
  <c r="B1187" i="2"/>
  <c r="B1170" i="2"/>
  <c r="B1152" i="2"/>
  <c r="B1166" i="2"/>
  <c r="B1156" i="2"/>
  <c r="B1182" i="2"/>
  <c r="B1173" i="2"/>
  <c r="B1168" i="2"/>
  <c r="B1155" i="2"/>
  <c r="B1165" i="2"/>
  <c r="B1177" i="2"/>
  <c r="B1157" i="2"/>
  <c r="B1151" i="2"/>
  <c r="B1163" i="2"/>
  <c r="B1178" i="2"/>
  <c r="B1176" i="2"/>
  <c r="B1167" i="2"/>
  <c r="B1161" i="2"/>
  <c r="B1172" i="2"/>
  <c r="B1179" i="2"/>
  <c r="B1153" i="2"/>
  <c r="B1159" i="2"/>
  <c r="B1150" i="2"/>
  <c r="B1183" i="2"/>
  <c r="B1186" i="2"/>
  <c r="B1185" i="2"/>
  <c r="B1174" i="2"/>
  <c r="B1171" i="2"/>
  <c r="B1184" i="2"/>
  <c r="B1188" i="2"/>
  <c r="B279" i="2"/>
  <c r="B275" i="2"/>
  <c r="B281" i="2"/>
  <c r="G487" i="2"/>
  <c r="B505" i="2"/>
  <c r="B524" i="2"/>
  <c r="B498" i="2"/>
  <c r="B504" i="2"/>
  <c r="B518" i="2"/>
  <c r="B495" i="2"/>
  <c r="B522" i="2"/>
  <c r="B510" i="2"/>
  <c r="B526" i="2"/>
  <c r="B521" i="2"/>
  <c r="B497" i="2"/>
  <c r="B520" i="2"/>
  <c r="B496" i="2"/>
  <c r="B515" i="2"/>
  <c r="B508" i="2"/>
  <c r="B500" i="2"/>
  <c r="B506" i="2"/>
  <c r="B509" i="2"/>
  <c r="B490" i="2"/>
  <c r="B514" i="2"/>
  <c r="B525" i="2"/>
  <c r="B511" i="2"/>
  <c r="B491" i="2"/>
  <c r="B512" i="2"/>
  <c r="B501" i="2"/>
  <c r="B528" i="2"/>
  <c r="B507" i="2"/>
  <c r="B523" i="2"/>
  <c r="B503" i="2"/>
  <c r="B517" i="2"/>
  <c r="B492" i="2"/>
  <c r="B516" i="2"/>
  <c r="B494" i="2"/>
  <c r="B493" i="2"/>
  <c r="B499" i="2"/>
  <c r="B502" i="2"/>
  <c r="B513" i="2"/>
  <c r="B519" i="2"/>
  <c r="B527" i="2"/>
  <c r="G971" i="2"/>
  <c r="B980" i="2"/>
  <c r="B1010" i="2"/>
  <c r="B998" i="2"/>
  <c r="B1012" i="2"/>
  <c r="B1005" i="2"/>
  <c r="B988" i="2"/>
  <c r="B974" i="2"/>
  <c r="B1004" i="2"/>
  <c r="B985" i="2"/>
  <c r="B999" i="2"/>
  <c r="B977" i="2"/>
  <c r="B982" i="2"/>
  <c r="B1008" i="2"/>
  <c r="B993" i="2"/>
  <c r="B1006" i="2"/>
  <c r="B987" i="2"/>
  <c r="B981" i="2"/>
  <c r="B990" i="2"/>
  <c r="B1011" i="2"/>
  <c r="B994" i="2"/>
  <c r="B995" i="2"/>
  <c r="B989" i="2"/>
  <c r="B997" i="2"/>
  <c r="B976" i="2"/>
  <c r="B978" i="2"/>
  <c r="B1002" i="2"/>
  <c r="B996" i="2"/>
  <c r="B979" i="2"/>
  <c r="B984" i="2"/>
  <c r="B986" i="2"/>
  <c r="B1007" i="2"/>
  <c r="B1000" i="2"/>
  <c r="B983" i="2"/>
  <c r="B992" i="2"/>
  <c r="B975" i="2"/>
  <c r="B1009" i="2"/>
  <c r="B1003" i="2"/>
  <c r="B991" i="2"/>
  <c r="B1001" i="2"/>
  <c r="B1489" i="2"/>
  <c r="B1467" i="2"/>
  <c r="B1459" i="2"/>
  <c r="B1475" i="2"/>
  <c r="B1484" i="2"/>
  <c r="B1496" i="2"/>
  <c r="B1491" i="2"/>
  <c r="B1466" i="2"/>
  <c r="B1495" i="2"/>
  <c r="B1460" i="2"/>
  <c r="B1493" i="2"/>
  <c r="B1463" i="2"/>
  <c r="B1494" i="2"/>
  <c r="B1462" i="2"/>
  <c r="B1482" i="2"/>
  <c r="B1458" i="2"/>
  <c r="B1470" i="2"/>
  <c r="B1490" i="2"/>
  <c r="B1488" i="2"/>
  <c r="B1468" i="2"/>
  <c r="B1478" i="2"/>
  <c r="B1464" i="2"/>
  <c r="B1492" i="2"/>
  <c r="B1476" i="2"/>
  <c r="B1471" i="2"/>
  <c r="B1461" i="2"/>
  <c r="B1473" i="2"/>
  <c r="B1465" i="2"/>
  <c r="B1479" i="2"/>
  <c r="B1474" i="2"/>
  <c r="B1480" i="2"/>
  <c r="B1477" i="2"/>
  <c r="B1487" i="2"/>
  <c r="G1455" i="2"/>
  <c r="B1485" i="2"/>
  <c r="B1483" i="2"/>
  <c r="B1486" i="2"/>
  <c r="B1469" i="2"/>
  <c r="B1472" i="2"/>
  <c r="B1481" i="2"/>
  <c r="B1689" i="2"/>
  <c r="B1678" i="2"/>
  <c r="B1694" i="2"/>
  <c r="B1685" i="2"/>
  <c r="B1691" i="2"/>
  <c r="B1681" i="2"/>
  <c r="B1715" i="2"/>
  <c r="B1690" i="2"/>
  <c r="B1692" i="2"/>
  <c r="B1683" i="2"/>
  <c r="B1679" i="2"/>
  <c r="B1712" i="2"/>
  <c r="B1682" i="2"/>
  <c r="B1688" i="2"/>
  <c r="B1710" i="2"/>
  <c r="B1696" i="2"/>
  <c r="B1695" i="2"/>
  <c r="B1704" i="2"/>
  <c r="B1711" i="2"/>
  <c r="B1686" i="2"/>
  <c r="B1697" i="2"/>
  <c r="B1701" i="2"/>
  <c r="B1699" i="2"/>
  <c r="B1716" i="2"/>
  <c r="B1714" i="2"/>
  <c r="B1703" i="2"/>
  <c r="B1705" i="2"/>
  <c r="B1707" i="2"/>
  <c r="B1698" i="2"/>
  <c r="B1684" i="2"/>
  <c r="B1700" i="2"/>
  <c r="B1708" i="2"/>
  <c r="B1680" i="2"/>
  <c r="B1702" i="2"/>
  <c r="B1713" i="2"/>
  <c r="B1706" i="2"/>
  <c r="B1709" i="2"/>
  <c r="G1675" i="2"/>
  <c r="B1687" i="2"/>
  <c r="B1693" i="2"/>
  <c r="G575" i="2"/>
  <c r="B597" i="2"/>
  <c r="B615" i="2"/>
  <c r="B610" i="2"/>
  <c r="B604" i="2"/>
  <c r="B613" i="2"/>
  <c r="B584" i="2"/>
  <c r="B589" i="2"/>
  <c r="B612" i="2"/>
  <c r="B598" i="2"/>
  <c r="B600" i="2"/>
  <c r="B611" i="2"/>
  <c r="B579" i="2"/>
  <c r="B580" i="2"/>
  <c r="B581" i="2"/>
  <c r="B608" i="2"/>
  <c r="B590" i="2"/>
  <c r="B593" i="2"/>
  <c r="B606" i="2"/>
  <c r="B592" i="2"/>
  <c r="B594" i="2"/>
  <c r="B616" i="2"/>
  <c r="B602" i="2"/>
  <c r="B578" i="2"/>
  <c r="B585" i="2"/>
  <c r="B599" i="2"/>
  <c r="B614" i="2"/>
  <c r="B607" i="2"/>
  <c r="B605" i="2"/>
  <c r="B595" i="2"/>
  <c r="B601" i="2"/>
  <c r="B603" i="2"/>
  <c r="B591" i="2"/>
  <c r="B596" i="2"/>
  <c r="B587" i="2"/>
  <c r="B586" i="2"/>
  <c r="B582" i="2"/>
  <c r="B583" i="2"/>
  <c r="B609" i="2"/>
  <c r="B588" i="2"/>
  <c r="B829" i="2"/>
  <c r="B811" i="2"/>
  <c r="B799" i="2"/>
  <c r="B821" i="2"/>
  <c r="B807" i="2"/>
  <c r="B825" i="2"/>
  <c r="B816" i="2"/>
  <c r="G795" i="2"/>
  <c r="B819" i="2"/>
  <c r="B826" i="2"/>
  <c r="B801" i="2"/>
  <c r="B815" i="2"/>
  <c r="B836" i="2"/>
  <c r="B814" i="2"/>
  <c r="B833" i="2"/>
  <c r="B831" i="2"/>
  <c r="B805" i="2"/>
  <c r="B822" i="2"/>
  <c r="B800" i="2"/>
  <c r="B803" i="2"/>
  <c r="B802" i="2"/>
  <c r="B804" i="2"/>
  <c r="B820" i="2"/>
  <c r="B828" i="2"/>
  <c r="B809" i="2"/>
  <c r="B810" i="2"/>
  <c r="B812" i="2"/>
  <c r="B824" i="2"/>
  <c r="B832" i="2"/>
  <c r="B817" i="2"/>
  <c r="B830" i="2"/>
  <c r="B818" i="2"/>
  <c r="B813" i="2"/>
  <c r="B827" i="2"/>
  <c r="B835" i="2"/>
  <c r="B798" i="2"/>
  <c r="B823" i="2"/>
  <c r="B806" i="2"/>
  <c r="B834" i="2"/>
  <c r="B808" i="2"/>
  <c r="B1841" i="2"/>
  <c r="B1830" i="2"/>
  <c r="B1845" i="2"/>
  <c r="B1839" i="2"/>
  <c r="B1819" i="2"/>
  <c r="B1837" i="2"/>
  <c r="B1835" i="2"/>
  <c r="B1810" i="2"/>
  <c r="B1846" i="2"/>
  <c r="B1827" i="2"/>
  <c r="B1848" i="2"/>
  <c r="B1842" i="2"/>
  <c r="B1820" i="2"/>
  <c r="B1812" i="2"/>
  <c r="B1834" i="2"/>
  <c r="B1813" i="2"/>
  <c r="B1815" i="2"/>
  <c r="B1824" i="2"/>
  <c r="B1822" i="2"/>
  <c r="B1840" i="2"/>
  <c r="B1821" i="2"/>
  <c r="B1831" i="2"/>
  <c r="B1825" i="2"/>
  <c r="B1833" i="2"/>
  <c r="B1847" i="2"/>
  <c r="B1836" i="2"/>
  <c r="G1807" i="2"/>
  <c r="B1826" i="2"/>
  <c r="B1818" i="2"/>
  <c r="B1814" i="2"/>
  <c r="B1823" i="2"/>
  <c r="B1811" i="2"/>
  <c r="B1843" i="2"/>
  <c r="B1816" i="2"/>
  <c r="B1817" i="2"/>
  <c r="B1828" i="2"/>
  <c r="B1838" i="2"/>
  <c r="B1829" i="2"/>
  <c r="B1832" i="2"/>
  <c r="B1844" i="2"/>
  <c r="B1665" i="2"/>
  <c r="B1652" i="2"/>
  <c r="B1643" i="2"/>
  <c r="B1662" i="2"/>
  <c r="B1648" i="2"/>
  <c r="B1653" i="2"/>
  <c r="B1640" i="2"/>
  <c r="B1635" i="2"/>
  <c r="B1647" i="2"/>
  <c r="B1644" i="2"/>
  <c r="B1645" i="2"/>
  <c r="G1631" i="2"/>
  <c r="B1667" i="2"/>
  <c r="B1670" i="2"/>
  <c r="B1636" i="2"/>
  <c r="B1655" i="2"/>
  <c r="B1664" i="2"/>
  <c r="B1650" i="2"/>
  <c r="B1656" i="2"/>
  <c r="B1659" i="2"/>
  <c r="B1661" i="2"/>
  <c r="B1638" i="2"/>
  <c r="B1642" i="2"/>
  <c r="B1671" i="2"/>
  <c r="B1663" i="2"/>
  <c r="B1668" i="2"/>
  <c r="B1660" i="2"/>
  <c r="B1658" i="2"/>
  <c r="B1649" i="2"/>
  <c r="B1637" i="2"/>
  <c r="B1634" i="2"/>
  <c r="B1639" i="2"/>
  <c r="B1669" i="2"/>
  <c r="B1657" i="2"/>
  <c r="B1666" i="2"/>
  <c r="B1654" i="2"/>
  <c r="B1651" i="2"/>
  <c r="B1672" i="2"/>
  <c r="B1646" i="2"/>
  <c r="B1641" i="2"/>
  <c r="G1895" i="2"/>
  <c r="B1923" i="2"/>
  <c r="B1927" i="2"/>
  <c r="B1915" i="2"/>
  <c r="B1936" i="2"/>
  <c r="B1911" i="2"/>
  <c r="B1930" i="2"/>
  <c r="B1934" i="2"/>
  <c r="B1922" i="2"/>
  <c r="B1909" i="2"/>
  <c r="B1929" i="2"/>
  <c r="B1926" i="2"/>
  <c r="B1908" i="2"/>
  <c r="B1910" i="2"/>
  <c r="B1928" i="2"/>
  <c r="B1917" i="2"/>
  <c r="B1903" i="2"/>
  <c r="B1912" i="2"/>
  <c r="B1914" i="2"/>
  <c r="B1932" i="2"/>
  <c r="B1933" i="2"/>
  <c r="B1901" i="2"/>
  <c r="B1905" i="2"/>
  <c r="B1900" i="2"/>
  <c r="B1898" i="2"/>
  <c r="B1913" i="2"/>
  <c r="B1902" i="2"/>
  <c r="B1904" i="2"/>
  <c r="B1924" i="2"/>
  <c r="B1921" i="2"/>
  <c r="B1931" i="2"/>
  <c r="B1899" i="2"/>
  <c r="B1919" i="2"/>
  <c r="B1907" i="2"/>
  <c r="B1906" i="2"/>
  <c r="B1916" i="2"/>
  <c r="B1918" i="2"/>
  <c r="B1925" i="2"/>
  <c r="B1935" i="2"/>
  <c r="B1920" i="2"/>
  <c r="G1499" i="2"/>
  <c r="B1510" i="2"/>
  <c r="B1535" i="2"/>
  <c r="B1522" i="2"/>
  <c r="B1537" i="2"/>
  <c r="B1506" i="2"/>
  <c r="B1532" i="2"/>
  <c r="B1540" i="2"/>
  <c r="B1533" i="2"/>
  <c r="B1515" i="2"/>
  <c r="B1517" i="2"/>
  <c r="B1509" i="2"/>
  <c r="B1503" i="2"/>
  <c r="B1534" i="2"/>
  <c r="B1531" i="2"/>
  <c r="B1536" i="2"/>
  <c r="B1521" i="2"/>
  <c r="B1507" i="2"/>
  <c r="B1538" i="2"/>
  <c r="B1539" i="2"/>
  <c r="B1523" i="2"/>
  <c r="B1514" i="2"/>
  <c r="B1524" i="2"/>
  <c r="B1530" i="2"/>
  <c r="B1518" i="2"/>
  <c r="B1508" i="2"/>
  <c r="B1502" i="2"/>
  <c r="B1512" i="2"/>
  <c r="B1511" i="2"/>
  <c r="B1529" i="2"/>
  <c r="B1516" i="2"/>
  <c r="B1519" i="2"/>
  <c r="B1505" i="2"/>
  <c r="B1520" i="2"/>
  <c r="B1513" i="2"/>
  <c r="B1504" i="2"/>
  <c r="B1527" i="2"/>
  <c r="B1528" i="2"/>
  <c r="B1525" i="2"/>
  <c r="B1526" i="2"/>
  <c r="G1015" i="2"/>
  <c r="B1049" i="2"/>
  <c r="B1055" i="2"/>
  <c r="B1026" i="2"/>
  <c r="B1021" i="2"/>
  <c r="B1023" i="2"/>
  <c r="B1037" i="2"/>
  <c r="B1052" i="2"/>
  <c r="B1018" i="2"/>
  <c r="B1032" i="2"/>
  <c r="B1019" i="2"/>
  <c r="B1029" i="2"/>
  <c r="B1048" i="2"/>
  <c r="B1054" i="2"/>
  <c r="B1024" i="2"/>
  <c r="B1050" i="2"/>
  <c r="B1056" i="2"/>
  <c r="B1042" i="2"/>
  <c r="B1047" i="2"/>
  <c r="B1053" i="2"/>
  <c r="B1043" i="2"/>
  <c r="B1045" i="2"/>
  <c r="B1035" i="2"/>
  <c r="B1044" i="2"/>
  <c r="B1051" i="2"/>
  <c r="B1038" i="2"/>
  <c r="B1036" i="2"/>
  <c r="B1027" i="2"/>
  <c r="B1040" i="2"/>
  <c r="B1046" i="2"/>
  <c r="B1030" i="2"/>
  <c r="B1028" i="2"/>
  <c r="B1041" i="2"/>
  <c r="B1033" i="2"/>
  <c r="B1039" i="2"/>
  <c r="B1022" i="2"/>
  <c r="B1020" i="2"/>
  <c r="B1034" i="2"/>
  <c r="B1025" i="2"/>
  <c r="B1031" i="2"/>
  <c r="G839" i="2"/>
  <c r="B855" i="2"/>
  <c r="B876" i="2"/>
  <c r="B878" i="2"/>
  <c r="B844" i="2"/>
  <c r="B846" i="2"/>
  <c r="B854" i="2"/>
  <c r="B880" i="2"/>
  <c r="B872" i="2"/>
  <c r="B871" i="2"/>
  <c r="B877" i="2"/>
  <c r="B842" i="2"/>
  <c r="B850" i="2"/>
  <c r="B869" i="2"/>
  <c r="B866" i="2"/>
  <c r="B868" i="2"/>
  <c r="B875" i="2"/>
  <c r="B843" i="2"/>
  <c r="B860" i="2"/>
  <c r="B859" i="2"/>
  <c r="B864" i="2"/>
  <c r="B870" i="2"/>
  <c r="B879" i="2"/>
  <c r="B873" i="2"/>
  <c r="B852" i="2"/>
  <c r="B851" i="2"/>
  <c r="B857" i="2"/>
  <c r="B874" i="2"/>
  <c r="B848" i="2"/>
  <c r="B861" i="2"/>
  <c r="B863" i="2"/>
  <c r="B865" i="2"/>
  <c r="B849" i="2"/>
  <c r="B867" i="2"/>
  <c r="B845" i="2"/>
  <c r="B853" i="2"/>
  <c r="B847" i="2"/>
  <c r="B858" i="2"/>
  <c r="B856" i="2"/>
  <c r="B862" i="2"/>
  <c r="G663" i="2"/>
  <c r="B677" i="2"/>
  <c r="B667" i="2"/>
  <c r="B692" i="2"/>
  <c r="B668" i="2"/>
  <c r="B691" i="2"/>
  <c r="B672" i="2"/>
  <c r="B704" i="2"/>
  <c r="B689" i="2"/>
  <c r="B688" i="2"/>
  <c r="B701" i="2"/>
  <c r="B686" i="2"/>
  <c r="B698" i="2"/>
  <c r="B703" i="2"/>
  <c r="B682" i="2"/>
  <c r="B681" i="2"/>
  <c r="B699" i="2"/>
  <c r="B678" i="2"/>
  <c r="B675" i="2"/>
  <c r="B700" i="2"/>
  <c r="B674" i="2"/>
  <c r="B673" i="2"/>
  <c r="B694" i="2"/>
  <c r="B666" i="2"/>
  <c r="B685" i="2"/>
  <c r="B696" i="2"/>
  <c r="B670" i="2"/>
  <c r="B693" i="2"/>
  <c r="B687" i="2"/>
  <c r="B669" i="2"/>
  <c r="B695" i="2"/>
  <c r="B690" i="2"/>
  <c r="B684" i="2"/>
  <c r="B676" i="2"/>
  <c r="B679" i="2"/>
  <c r="B697" i="2"/>
  <c r="B683" i="2"/>
  <c r="B702" i="2"/>
  <c r="B680" i="2"/>
  <c r="B671" i="2"/>
  <c r="B1401" i="2"/>
  <c r="B1391" i="2"/>
  <c r="B1395" i="2"/>
  <c r="B1396" i="2"/>
  <c r="B1394" i="2"/>
  <c r="B1372" i="2"/>
  <c r="B1377" i="2"/>
  <c r="B1373" i="2"/>
  <c r="B1384" i="2"/>
  <c r="B1386" i="2"/>
  <c r="B1380" i="2"/>
  <c r="B1383" i="2"/>
  <c r="B1371" i="2"/>
  <c r="B1393" i="2"/>
  <c r="B1408" i="2"/>
  <c r="B1398" i="2"/>
  <c r="B1376" i="2"/>
  <c r="B1375" i="2"/>
  <c r="B1389" i="2"/>
  <c r="B1381" i="2"/>
  <c r="B1405" i="2"/>
  <c r="B1385" i="2"/>
  <c r="G1367" i="2"/>
  <c r="B1403" i="2"/>
  <c r="B1387" i="2"/>
  <c r="B1400" i="2"/>
  <c r="B1374" i="2"/>
  <c r="B1399" i="2"/>
  <c r="B1407" i="2"/>
  <c r="B1390" i="2"/>
  <c r="B1406" i="2"/>
  <c r="B1370" i="2"/>
  <c r="B1392" i="2"/>
  <c r="B1378" i="2"/>
  <c r="B1404" i="2"/>
  <c r="B1379" i="2"/>
  <c r="B1397" i="2"/>
  <c r="B1388" i="2"/>
  <c r="B1382" i="2"/>
  <c r="B1402" i="2"/>
  <c r="B1760" i="2"/>
  <c r="B1738" i="2"/>
  <c r="B1748" i="2"/>
  <c r="B1757" i="2"/>
  <c r="B1741" i="2"/>
  <c r="B1742" i="2"/>
  <c r="B1734" i="2"/>
  <c r="B1744" i="2"/>
  <c r="B1755" i="2"/>
  <c r="B1733" i="2"/>
  <c r="B1730" i="2"/>
  <c r="B1726" i="2"/>
  <c r="B1737" i="2"/>
  <c r="B1750" i="2"/>
  <c r="B1725" i="2"/>
  <c r="G1719" i="2"/>
  <c r="B1758" i="2"/>
  <c r="B1731" i="2"/>
  <c r="B1736" i="2"/>
  <c r="B1727" i="2"/>
  <c r="B1739" i="2"/>
  <c r="B1729" i="2"/>
  <c r="B1752" i="2"/>
  <c r="B1740" i="2"/>
  <c r="B1746" i="2"/>
  <c r="B1759" i="2"/>
  <c r="B1732" i="2"/>
  <c r="B1754" i="2"/>
  <c r="B1745" i="2"/>
  <c r="B1728" i="2"/>
  <c r="B1747" i="2"/>
  <c r="B1749" i="2"/>
  <c r="B1735" i="2"/>
  <c r="B1723" i="2"/>
  <c r="B1722" i="2"/>
  <c r="B1753" i="2"/>
  <c r="B1743" i="2"/>
  <c r="B1756" i="2"/>
  <c r="B1724" i="2"/>
  <c r="B1751" i="2"/>
  <c r="B1947" i="2"/>
  <c r="B1944" i="2"/>
  <c r="B1978" i="2"/>
  <c r="B1966" i="2"/>
  <c r="B1953" i="2"/>
  <c r="B1973" i="2"/>
  <c r="B1952" i="2"/>
  <c r="B1954" i="2"/>
  <c r="B1972" i="2"/>
  <c r="B1961" i="2"/>
  <c r="B1977" i="2"/>
  <c r="B1945" i="2"/>
  <c r="B1956" i="2"/>
  <c r="B1958" i="2"/>
  <c r="B1976" i="2"/>
  <c r="G1939" i="2"/>
  <c r="B1942" i="2"/>
  <c r="B1949" i="2"/>
  <c r="B1965" i="2"/>
  <c r="B1979" i="2"/>
  <c r="B1975" i="2"/>
  <c r="B1950" i="2"/>
  <c r="B1957" i="2"/>
  <c r="B1946" i="2"/>
  <c r="B1948" i="2"/>
  <c r="B1963" i="2"/>
  <c r="B1962" i="2"/>
  <c r="B1964" i="2"/>
  <c r="B1943" i="2"/>
  <c r="B1960" i="2"/>
  <c r="B1970" i="2"/>
  <c r="B1969" i="2"/>
  <c r="B1980" i="2"/>
  <c r="B1967" i="2"/>
  <c r="B1974" i="2"/>
  <c r="B1971" i="2"/>
  <c r="B1951" i="2"/>
  <c r="B1968" i="2"/>
  <c r="B1959" i="2"/>
  <c r="B1955" i="2"/>
  <c r="B2017" i="2"/>
  <c r="B2019" i="2"/>
  <c r="B1993" i="2"/>
  <c r="B2002" i="2"/>
  <c r="B1987" i="2"/>
  <c r="B2005" i="2"/>
  <c r="B2021" i="2"/>
  <c r="B2001" i="2"/>
  <c r="B2009" i="2"/>
  <c r="G1983" i="2"/>
  <c r="B2006" i="2"/>
  <c r="B1994" i="2"/>
  <c r="B2008" i="2"/>
  <c r="B1995" i="2"/>
  <c r="B1992" i="2"/>
  <c r="B2011" i="2"/>
  <c r="B2018" i="2"/>
  <c r="B2012" i="2"/>
  <c r="B2003" i="2"/>
  <c r="B2004" i="2"/>
  <c r="B1991" i="2"/>
  <c r="B1988" i="2"/>
  <c r="B2015" i="2"/>
  <c r="B2010" i="2"/>
  <c r="B2013" i="2"/>
  <c r="B1999" i="2"/>
  <c r="B1996" i="2"/>
  <c r="B2022" i="2"/>
  <c r="B2016" i="2"/>
  <c r="B2024" i="2"/>
  <c r="B1986" i="2"/>
  <c r="B1990" i="2"/>
  <c r="B1998" i="2"/>
  <c r="B2020" i="2"/>
  <c r="B2007" i="2"/>
  <c r="B1989" i="2"/>
  <c r="B2014" i="2"/>
  <c r="B1997" i="2"/>
  <c r="B2000" i="2"/>
  <c r="B2023" i="2"/>
  <c r="B291" i="2"/>
  <c r="B304" i="2"/>
  <c r="B288" i="2"/>
  <c r="G531" i="2"/>
  <c r="B565" i="2"/>
  <c r="B551" i="2"/>
  <c r="B569" i="2"/>
  <c r="B559" i="2"/>
  <c r="B556" i="2"/>
  <c r="B564" i="2"/>
  <c r="B563" i="2"/>
  <c r="B553" i="2"/>
  <c r="B543" i="2"/>
  <c r="B562" i="2"/>
  <c r="B538" i="2"/>
  <c r="B549" i="2"/>
  <c r="B544" i="2"/>
  <c r="B545" i="2"/>
  <c r="B535" i="2"/>
  <c r="B555" i="2"/>
  <c r="B557" i="2"/>
  <c r="B541" i="2"/>
  <c r="B546" i="2"/>
  <c r="B537" i="2"/>
  <c r="B548" i="2"/>
  <c r="B547" i="2"/>
  <c r="B550" i="2"/>
  <c r="B566" i="2"/>
  <c r="B560" i="2"/>
  <c r="B536" i="2"/>
  <c r="B572" i="2"/>
  <c r="B539" i="2"/>
  <c r="B542" i="2"/>
  <c r="B554" i="2"/>
  <c r="B540" i="2"/>
  <c r="B567" i="2"/>
  <c r="B568" i="2"/>
  <c r="B561" i="2"/>
  <c r="B571" i="2"/>
  <c r="B570" i="2"/>
  <c r="B552" i="2"/>
  <c r="B534" i="2"/>
  <c r="B558" i="2"/>
  <c r="B1225" i="2"/>
  <c r="G1191" i="2"/>
  <c r="B1206" i="2"/>
  <c r="B1222" i="2"/>
  <c r="B1197" i="2"/>
  <c r="B1212" i="2"/>
  <c r="B1221" i="2"/>
  <c r="B1220" i="2"/>
  <c r="B1211" i="2"/>
  <c r="B1226" i="2"/>
  <c r="B1200" i="2"/>
  <c r="B1202" i="2"/>
  <c r="B1232" i="2"/>
  <c r="B1196" i="2"/>
  <c r="B1203" i="2"/>
  <c r="B1208" i="2"/>
  <c r="B1210" i="2"/>
  <c r="B1201" i="2"/>
  <c r="B1207" i="2"/>
  <c r="B1205" i="2"/>
  <c r="B1213" i="2"/>
  <c r="B1215" i="2"/>
  <c r="B1209" i="2"/>
  <c r="B1217" i="2"/>
  <c r="B1199" i="2"/>
  <c r="B1198" i="2"/>
  <c r="B1229" i="2"/>
  <c r="B1223" i="2"/>
  <c r="B1224" i="2"/>
  <c r="B1227" i="2"/>
  <c r="B1231" i="2"/>
  <c r="B1230" i="2"/>
  <c r="B1204" i="2"/>
  <c r="B1195" i="2"/>
  <c r="B1219" i="2"/>
  <c r="B1216" i="2"/>
  <c r="B1218" i="2"/>
  <c r="B1194" i="2"/>
  <c r="B1214" i="2"/>
  <c r="B1228" i="2"/>
  <c r="B1797" i="2"/>
  <c r="B1798" i="2"/>
  <c r="B1768" i="2"/>
  <c r="B1795" i="2"/>
  <c r="B1783" i="2"/>
  <c r="B1793" i="2"/>
  <c r="B1771" i="2"/>
  <c r="B1776" i="2"/>
  <c r="B1802" i="2"/>
  <c r="B1790" i="2"/>
  <c r="B1804" i="2"/>
  <c r="B1779" i="2"/>
  <c r="B1780" i="2"/>
  <c r="B1778" i="2"/>
  <c r="B1796" i="2"/>
  <c r="B1769" i="2"/>
  <c r="B1787" i="2"/>
  <c r="B1774" i="2"/>
  <c r="B1782" i="2"/>
  <c r="B1799" i="2"/>
  <c r="B1781" i="2"/>
  <c r="B1770" i="2"/>
  <c r="G1763" i="2"/>
  <c r="B1792" i="2"/>
  <c r="B1777" i="2"/>
  <c r="B1786" i="2"/>
  <c r="B1789" i="2"/>
  <c r="B1785" i="2"/>
  <c r="B1791" i="2"/>
  <c r="B1767" i="2"/>
  <c r="B1794" i="2"/>
  <c r="B1775" i="2"/>
  <c r="B1766" i="2"/>
  <c r="B1803" i="2"/>
  <c r="B1773" i="2"/>
  <c r="B1772" i="2"/>
  <c r="B1801" i="2"/>
  <c r="B1784" i="2"/>
  <c r="B1788" i="2"/>
  <c r="B1800" i="2"/>
  <c r="G1323" i="2"/>
  <c r="B1351" i="2"/>
  <c r="B1340" i="2"/>
  <c r="B1355" i="2"/>
  <c r="B1356" i="2"/>
  <c r="B1364" i="2"/>
  <c r="B1357" i="2"/>
  <c r="B1354" i="2"/>
  <c r="B1337" i="2"/>
  <c r="B1342" i="2"/>
  <c r="B1328" i="2"/>
  <c r="B1339" i="2"/>
  <c r="B1341" i="2"/>
  <c r="B1350" i="2"/>
  <c r="B1345" i="2"/>
  <c r="B1347" i="2"/>
  <c r="B1348" i="2"/>
  <c r="B1360" i="2"/>
  <c r="B1359" i="2"/>
  <c r="B1352" i="2"/>
  <c r="B1362" i="2"/>
  <c r="B1331" i="2"/>
  <c r="B1363" i="2"/>
  <c r="B1361" i="2"/>
  <c r="B1338" i="2"/>
  <c r="B1358" i="2"/>
  <c r="B1334" i="2"/>
  <c r="B1344" i="2"/>
  <c r="B1346" i="2"/>
  <c r="B1336" i="2"/>
  <c r="B1335" i="2"/>
  <c r="B1353" i="2"/>
  <c r="B1327" i="2"/>
  <c r="B1329" i="2"/>
  <c r="B1330" i="2"/>
  <c r="B1332" i="2"/>
  <c r="B1333" i="2"/>
  <c r="B1326" i="2"/>
  <c r="B1349" i="2"/>
  <c r="B1343" i="2"/>
  <c r="B290" i="2"/>
  <c r="B299" i="2"/>
  <c r="B305" i="2"/>
  <c r="B307" i="2"/>
  <c r="B297" i="2"/>
  <c r="B452" i="2"/>
  <c r="B474" i="2"/>
  <c r="B476" i="2"/>
  <c r="B473" i="2"/>
  <c r="G619" i="2"/>
  <c r="B641" i="2"/>
  <c r="B624" i="2"/>
  <c r="B638" i="2"/>
  <c r="B658" i="2"/>
  <c r="B657" i="2"/>
  <c r="B628" i="2"/>
  <c r="B633" i="2"/>
  <c r="B659" i="2"/>
  <c r="B654" i="2"/>
  <c r="B651" i="2"/>
  <c r="B655" i="2"/>
  <c r="B625" i="2"/>
  <c r="B656" i="2"/>
  <c r="B647" i="2"/>
  <c r="B648" i="2"/>
  <c r="B650" i="2"/>
  <c r="B632" i="2"/>
  <c r="B622" i="2"/>
  <c r="B652" i="2"/>
  <c r="B634" i="2"/>
  <c r="B644" i="2"/>
  <c r="B643" i="2"/>
  <c r="B623" i="2"/>
  <c r="B660" i="2"/>
  <c r="B646" i="2"/>
  <c r="B626" i="2"/>
  <c r="B637" i="2"/>
  <c r="B635" i="2"/>
  <c r="B642" i="2"/>
  <c r="B649" i="2"/>
  <c r="B639" i="2"/>
  <c r="B645" i="2"/>
  <c r="B629" i="2"/>
  <c r="B627" i="2"/>
  <c r="B653" i="2"/>
  <c r="B640" i="2"/>
  <c r="B631" i="2"/>
  <c r="B630" i="2"/>
  <c r="B636" i="2"/>
  <c r="B1881" i="2"/>
  <c r="B1877" i="2"/>
  <c r="B1876" i="2"/>
  <c r="B1889" i="2"/>
  <c r="B1874" i="2"/>
  <c r="B1872" i="2"/>
  <c r="B1870" i="2"/>
  <c r="B1869" i="2"/>
  <c r="B1887" i="2"/>
  <c r="B1862" i="2"/>
  <c r="B1891" i="2"/>
  <c r="B1866" i="2"/>
  <c r="B1861" i="2"/>
  <c r="B1882" i="2"/>
  <c r="B1854" i="2"/>
  <c r="B1885" i="2"/>
  <c r="B1888" i="2"/>
  <c r="B1858" i="2"/>
  <c r="G1851" i="2"/>
  <c r="B1875" i="2"/>
  <c r="B1865" i="2"/>
  <c r="B1878" i="2"/>
  <c r="B1890" i="2"/>
  <c r="B1868" i="2"/>
  <c r="B1860" i="2"/>
  <c r="B1857" i="2"/>
  <c r="B1855" i="2"/>
  <c r="B1892" i="2"/>
  <c r="B1864" i="2"/>
  <c r="B1884" i="2"/>
  <c r="B1856" i="2"/>
  <c r="B1871" i="2"/>
  <c r="B1867" i="2"/>
  <c r="B1859" i="2"/>
  <c r="B1879" i="2"/>
  <c r="B1883" i="2"/>
  <c r="B1886" i="2"/>
  <c r="B1880" i="2"/>
  <c r="B1873" i="2"/>
  <c r="B1863" i="2"/>
  <c r="G1059" i="2"/>
  <c r="B1081" i="2"/>
  <c r="B1096" i="2"/>
  <c r="B1098" i="2"/>
  <c r="B1075" i="2"/>
  <c r="B1097" i="2"/>
  <c r="B1073" i="2"/>
  <c r="B1092" i="2"/>
  <c r="B1091" i="2"/>
  <c r="B1067" i="2"/>
  <c r="B1095" i="2"/>
  <c r="B1100" i="2"/>
  <c r="B1088" i="2"/>
  <c r="B1076" i="2"/>
  <c r="B1089" i="2"/>
  <c r="B1079" i="2"/>
  <c r="B1063" i="2"/>
  <c r="B1086" i="2"/>
  <c r="B1090" i="2"/>
  <c r="B1068" i="2"/>
  <c r="B1084" i="2"/>
  <c r="B1072" i="2"/>
  <c r="B1085" i="2"/>
  <c r="B1069" i="2"/>
  <c r="B1082" i="2"/>
  <c r="B1074" i="2"/>
  <c r="B1070" i="2"/>
  <c r="B1064" i="2"/>
  <c r="B1077" i="2"/>
  <c r="B1093" i="2"/>
  <c r="B1065" i="2"/>
  <c r="B1083" i="2"/>
  <c r="B1087" i="2"/>
  <c r="B1071" i="2"/>
  <c r="B1094" i="2"/>
  <c r="B1080" i="2"/>
  <c r="B1099" i="2"/>
  <c r="B1066" i="2"/>
  <c r="B1062" i="2"/>
  <c r="B1078" i="2"/>
  <c r="G927" i="2"/>
  <c r="B961" i="2"/>
  <c r="B949" i="2"/>
  <c r="B950" i="2"/>
  <c r="B931" i="2"/>
  <c r="B945" i="2"/>
  <c r="B965" i="2"/>
  <c r="B941" i="2"/>
  <c r="B934" i="2"/>
  <c r="B953" i="2"/>
  <c r="B937" i="2"/>
  <c r="B963" i="2"/>
  <c r="B933" i="2"/>
  <c r="B967" i="2"/>
  <c r="B946" i="2"/>
  <c r="B930" i="2"/>
  <c r="B958" i="2"/>
  <c r="B968" i="2"/>
  <c r="B964" i="2"/>
  <c r="B938" i="2"/>
  <c r="B944" i="2"/>
  <c r="B951" i="2"/>
  <c r="B939" i="2"/>
  <c r="B957" i="2"/>
  <c r="B960" i="2"/>
  <c r="B966" i="2"/>
  <c r="B936" i="2"/>
  <c r="B943" i="2"/>
  <c r="B952" i="2"/>
  <c r="B948" i="2"/>
  <c r="B954" i="2"/>
  <c r="B959" i="2"/>
  <c r="B962" i="2"/>
  <c r="B935" i="2"/>
  <c r="B942" i="2"/>
  <c r="B940" i="2"/>
  <c r="B947" i="2"/>
  <c r="B956" i="2"/>
  <c r="B955" i="2"/>
  <c r="B932" i="2"/>
  <c r="B2061" i="2"/>
  <c r="B2044" i="2"/>
  <c r="B2035" i="2"/>
  <c r="B2047" i="2"/>
  <c r="B2032" i="2"/>
  <c r="B2049" i="2"/>
  <c r="B2037" i="2"/>
  <c r="B2034" i="2"/>
  <c r="B2054" i="2"/>
  <c r="G2027" i="2"/>
  <c r="B2043" i="2"/>
  <c r="B2045" i="2"/>
  <c r="B2042" i="2"/>
  <c r="B2060" i="2"/>
  <c r="B2036" i="2"/>
  <c r="B2051" i="2"/>
  <c r="B2052" i="2"/>
  <c r="B2046" i="2"/>
  <c r="B2064" i="2"/>
  <c r="B2048" i="2"/>
  <c r="B2058" i="2"/>
  <c r="B2056" i="2"/>
  <c r="B2053" i="2"/>
  <c r="B2067" i="2"/>
  <c r="B2057" i="2"/>
  <c r="B2063" i="2"/>
  <c r="B2059" i="2"/>
  <c r="B2038" i="2"/>
  <c r="B2050" i="2"/>
  <c r="B2068" i="2"/>
  <c r="B2055" i="2"/>
  <c r="B2062" i="2"/>
  <c r="B2066" i="2"/>
  <c r="B2065" i="2"/>
  <c r="B2033" i="2"/>
  <c r="B2040" i="2"/>
  <c r="B2041" i="2"/>
  <c r="B2030" i="2"/>
  <c r="B2031" i="2"/>
  <c r="B2039" i="2"/>
  <c r="B1445" i="2"/>
  <c r="B1442" i="2"/>
  <c r="B1428" i="2"/>
  <c r="B1414" i="2"/>
  <c r="B1444" i="2"/>
  <c r="B1421" i="2"/>
  <c r="B1426" i="2"/>
  <c r="B1439" i="2"/>
  <c r="B1436" i="2"/>
  <c r="B1418" i="2"/>
  <c r="B1424" i="2"/>
  <c r="B1423" i="2"/>
  <c r="B1420" i="2"/>
  <c r="B1430" i="2"/>
  <c r="B1432" i="2"/>
  <c r="B1427" i="2"/>
  <c r="B1417" i="2"/>
  <c r="B1437" i="2"/>
  <c r="B1441" i="2"/>
  <c r="B1429" i="2"/>
  <c r="B1435" i="2"/>
  <c r="B1425" i="2"/>
  <c r="B1419" i="2"/>
  <c r="B1452" i="2"/>
  <c r="B1433" i="2"/>
  <c r="G1411" i="2"/>
  <c r="B1447" i="2"/>
  <c r="B1431" i="2"/>
  <c r="B1434" i="2"/>
  <c r="B1443" i="2"/>
  <c r="B1448" i="2"/>
  <c r="B1446" i="2"/>
  <c r="B1450" i="2"/>
  <c r="B1451" i="2"/>
  <c r="B1416" i="2"/>
  <c r="B1449" i="2"/>
  <c r="B1415" i="2"/>
  <c r="B1438" i="2"/>
  <c r="B1440" i="2"/>
  <c r="B1422" i="2"/>
  <c r="G36" i="2"/>
  <c r="F80" i="4"/>
  <c r="E81" i="4"/>
  <c r="F81" i="4"/>
  <c r="N83" i="4"/>
  <c r="N70" i="4"/>
  <c r="E71" i="4"/>
  <c r="F71" i="4"/>
  <c r="E72" i="4"/>
  <c r="F72" i="4"/>
  <c r="N74" i="4"/>
  <c r="H72" i="4"/>
  <c r="N72" i="4" s="1"/>
  <c r="H81" i="4"/>
  <c r="N81" i="4" s="1"/>
  <c r="H71" i="4"/>
  <c r="N71" i="4" s="1"/>
  <c r="H80" i="4"/>
  <c r="N80" i="4" s="1"/>
  <c r="H73" i="4"/>
  <c r="N73" i="4" s="1"/>
  <c r="H82" i="4"/>
  <c r="N82" i="4" s="1"/>
  <c r="A117" i="1" l="1"/>
  <c r="C4710" i="2" s="1"/>
  <c r="B4712" i="2" s="1"/>
  <c r="C4666" i="2"/>
  <c r="B4668" i="2" s="1"/>
  <c r="B2474" i="2"/>
  <c r="B2096" i="2"/>
  <c r="B2097" i="2"/>
  <c r="G2467" i="2"/>
  <c r="B2491" i="2"/>
  <c r="B2109" i="2"/>
  <c r="B2471" i="2"/>
  <c r="B2081" i="2"/>
  <c r="B2503" i="2"/>
  <c r="B2490" i="2"/>
  <c r="B2087" i="2"/>
  <c r="B2485" i="2"/>
  <c r="B2101" i="2"/>
  <c r="B2772" i="2"/>
  <c r="B2476" i="2"/>
  <c r="B2473" i="2"/>
  <c r="B2528" i="2"/>
  <c r="B2550" i="2"/>
  <c r="B2535" i="2"/>
  <c r="B2619" i="2"/>
  <c r="B2615" i="2"/>
  <c r="B2638" i="2"/>
  <c r="B2636" i="2"/>
  <c r="B2635" i="2"/>
  <c r="B2605" i="2"/>
  <c r="B2609" i="2"/>
  <c r="B2603" i="2"/>
  <c r="G2599" i="2"/>
  <c r="B2628" i="2"/>
  <c r="B2610" i="2"/>
  <c r="B2626" i="2"/>
  <c r="B2623" i="2"/>
  <c r="B2634" i="2"/>
  <c r="B2639" i="2"/>
  <c r="B2637" i="2"/>
  <c r="B2608" i="2"/>
  <c r="B2633" i="2"/>
  <c r="B2618" i="2"/>
  <c r="B2629" i="2"/>
  <c r="B2616" i="2"/>
  <c r="B2622" i="2"/>
  <c r="B2613" i="2"/>
  <c r="B2620" i="2"/>
  <c r="B2614" i="2"/>
  <c r="B2617" i="2"/>
  <c r="B2611" i="2"/>
  <c r="B2607" i="2"/>
  <c r="B2631" i="2"/>
  <c r="B2632" i="2"/>
  <c r="B2630" i="2"/>
  <c r="B2606" i="2"/>
  <c r="B2612" i="2"/>
  <c r="B2604" i="2"/>
  <c r="B2625" i="2"/>
  <c r="B2640" i="2"/>
  <c r="B2602" i="2"/>
  <c r="B2627" i="2"/>
  <c r="B2621" i="2"/>
  <c r="G2511" i="2"/>
  <c r="B2495" i="2"/>
  <c r="B2103" i="2"/>
  <c r="B2548" i="2"/>
  <c r="B2530" i="2"/>
  <c r="B2107" i="2"/>
  <c r="B2532" i="2"/>
  <c r="B2545" i="2"/>
  <c r="B2522" i="2"/>
  <c r="B2388" i="2"/>
  <c r="B2405" i="2"/>
  <c r="B2418" i="2"/>
  <c r="B2397" i="2"/>
  <c r="B2410" i="2"/>
  <c r="B2398" i="2"/>
  <c r="B2413" i="2"/>
  <c r="G2379" i="2"/>
  <c r="B2500" i="2"/>
  <c r="B2092" i="2"/>
  <c r="B2083" i="2"/>
  <c r="B2544" i="2"/>
  <c r="B2395" i="2"/>
  <c r="B2415" i="2"/>
  <c r="B2396" i="2"/>
  <c r="B2417" i="2"/>
  <c r="B2383" i="2"/>
  <c r="B2403" i="2"/>
  <c r="B2416" i="2"/>
  <c r="B2389" i="2"/>
  <c r="B2399" i="2"/>
  <c r="B2382" i="2"/>
  <c r="B2477" i="2"/>
  <c r="B2497" i="2"/>
  <c r="B2100" i="2"/>
  <c r="B2541" i="2"/>
  <c r="B2549" i="2"/>
  <c r="B2518" i="2"/>
  <c r="B2540" i="2"/>
  <c r="B2409" i="2"/>
  <c r="B2386" i="2"/>
  <c r="B2493" i="2"/>
  <c r="B2074" i="2"/>
  <c r="B2085" i="2"/>
  <c r="B2546" i="2"/>
  <c r="B2547" i="2"/>
  <c r="B2796" i="2"/>
  <c r="B2350" i="2"/>
  <c r="B2804" i="2"/>
  <c r="B2769" i="2"/>
  <c r="B2400" i="2"/>
  <c r="B2394" i="2"/>
  <c r="B2412" i="2"/>
  <c r="B2746" i="2"/>
  <c r="B2489" i="2"/>
  <c r="B2479" i="2"/>
  <c r="B2095" i="2"/>
  <c r="B2075" i="2"/>
  <c r="B2514" i="2"/>
  <c r="B2538" i="2"/>
  <c r="B2811" i="2"/>
  <c r="B2373" i="2"/>
  <c r="B2786" i="2"/>
  <c r="B2392" i="2"/>
  <c r="B2420" i="2"/>
  <c r="B2385" i="2"/>
  <c r="B2744" i="2"/>
  <c r="B2470" i="2"/>
  <c r="B2486" i="2"/>
  <c r="B2086" i="2"/>
  <c r="B2076" i="2"/>
  <c r="B2519" i="2"/>
  <c r="B2520" i="2"/>
  <c r="B2537" i="2"/>
  <c r="B2351" i="2"/>
  <c r="B2807" i="2"/>
  <c r="B2445" i="2"/>
  <c r="B2449" i="2"/>
  <c r="B2450" i="2"/>
  <c r="B2735" i="2"/>
  <c r="B2089" i="2"/>
  <c r="B2084" i="2"/>
  <c r="B2527" i="2"/>
  <c r="B2533" i="2"/>
  <c r="B2536" i="2"/>
  <c r="B2781" i="2"/>
  <c r="B2814" i="2"/>
  <c r="B2348" i="2"/>
  <c r="B2797" i="2"/>
  <c r="B2369" i="2"/>
  <c r="B2799" i="2"/>
  <c r="B2499" i="2"/>
  <c r="B2432" i="2"/>
  <c r="B2780" i="2"/>
  <c r="B2419" i="2"/>
  <c r="B2488" i="2"/>
  <c r="B2475" i="2"/>
  <c r="B2496" i="2"/>
  <c r="B2516" i="2"/>
  <c r="B2543" i="2"/>
  <c r="B2542" i="2"/>
  <c r="B2340" i="2"/>
  <c r="B2461" i="2"/>
  <c r="B2793" i="2"/>
  <c r="B2803" i="2"/>
  <c r="B2734" i="2"/>
  <c r="B2779" i="2"/>
  <c r="B2800" i="2"/>
  <c r="B2802" i="2"/>
  <c r="B2367" i="2"/>
  <c r="B2792" i="2"/>
  <c r="B2788" i="2"/>
  <c r="B2816" i="2"/>
  <c r="B2760" i="2"/>
  <c r="B2472" i="2"/>
  <c r="B2498" i="2"/>
  <c r="B2502" i="2"/>
  <c r="B2111" i="2"/>
  <c r="B2090" i="2"/>
  <c r="B2082" i="2"/>
  <c r="B2523" i="2"/>
  <c r="B2539" i="2"/>
  <c r="B2525" i="2"/>
  <c r="B2552" i="2"/>
  <c r="B2808" i="2"/>
  <c r="B2435" i="2"/>
  <c r="B2812" i="2"/>
  <c r="B2809" i="2"/>
  <c r="B2798" i="2"/>
  <c r="B2810" i="2"/>
  <c r="B2349" i="2"/>
  <c r="B2374" i="2"/>
  <c r="B2453" i="2"/>
  <c r="B2791" i="2"/>
  <c r="B2806" i="2"/>
  <c r="B2813" i="2"/>
  <c r="B2778" i="2"/>
  <c r="B2742" i="2"/>
  <c r="B2757" i="2"/>
  <c r="B2441" i="2"/>
  <c r="B2347" i="2"/>
  <c r="B2375" i="2"/>
  <c r="B2440" i="2"/>
  <c r="B2815" i="2"/>
  <c r="B2783" i="2"/>
  <c r="B2805" i="2"/>
  <c r="B2391" i="2"/>
  <c r="B2402" i="2"/>
  <c r="B2390" i="2"/>
  <c r="B2745" i="2"/>
  <c r="B2755" i="2"/>
  <c r="B2507" i="2"/>
  <c r="B2481" i="2"/>
  <c r="B2508" i="2"/>
  <c r="B2078" i="2"/>
  <c r="B2102" i="2"/>
  <c r="B2099" i="2"/>
  <c r="G2071" i="2"/>
  <c r="B2524" i="2"/>
  <c r="B2515" i="2"/>
  <c r="B2526" i="2"/>
  <c r="B2531" i="2"/>
  <c r="C2950" i="2"/>
  <c r="B2952" i="2" s="1"/>
  <c r="B2956" i="2" s="1"/>
  <c r="B2706" i="2"/>
  <c r="B2702" i="2"/>
  <c r="B2725" i="2"/>
  <c r="B2722" i="2"/>
  <c r="B2707" i="2"/>
  <c r="B2357" i="2"/>
  <c r="B2370" i="2"/>
  <c r="B2431" i="2"/>
  <c r="B2458" i="2"/>
  <c r="B2789" i="2"/>
  <c r="B2801" i="2"/>
  <c r="B2790" i="2"/>
  <c r="B2795" i="2"/>
  <c r="B2784" i="2"/>
  <c r="G2731" i="2"/>
  <c r="B2738" i="2"/>
  <c r="B2697" i="2"/>
  <c r="B2728" i="2"/>
  <c r="B2716" i="2"/>
  <c r="B2709" i="2"/>
  <c r="B2711" i="2"/>
  <c r="B2482" i="2"/>
  <c r="B2504" i="2"/>
  <c r="B2506" i="2"/>
  <c r="B2478" i="2"/>
  <c r="B2501" i="2"/>
  <c r="B2112" i="2"/>
  <c r="B2108" i="2"/>
  <c r="B2079" i="2"/>
  <c r="B2088" i="2"/>
  <c r="B2439" i="2"/>
  <c r="B2434" i="2"/>
  <c r="B2690" i="2"/>
  <c r="B2712" i="2"/>
  <c r="G2687" i="2"/>
  <c r="B2726" i="2"/>
  <c r="B2708" i="2"/>
  <c r="B2360" i="2"/>
  <c r="B2346" i="2"/>
  <c r="B2457" i="2"/>
  <c r="B2456" i="2"/>
  <c r="B2794" i="2"/>
  <c r="B2782" i="2"/>
  <c r="B2787" i="2"/>
  <c r="G2775" i="2"/>
  <c r="B2768" i="2"/>
  <c r="B2743" i="2"/>
  <c r="B2723" i="2"/>
  <c r="B2694" i="2"/>
  <c r="B2703" i="2"/>
  <c r="B2701" i="2"/>
  <c r="B2699" i="2"/>
  <c r="B2505" i="2"/>
  <c r="B2483" i="2"/>
  <c r="B2484" i="2"/>
  <c r="B2494" i="2"/>
  <c r="B2480" i="2"/>
  <c r="B2080" i="2"/>
  <c r="B2098" i="2"/>
  <c r="B2094" i="2"/>
  <c r="B2093" i="2"/>
  <c r="B2105" i="2"/>
  <c r="B2704" i="2"/>
  <c r="B2705" i="2"/>
  <c r="B2727" i="2"/>
  <c r="B2715" i="2"/>
  <c r="B2700" i="2"/>
  <c r="B2698" i="2"/>
  <c r="B2713" i="2"/>
  <c r="B2693" i="2"/>
  <c r="B2719" i="2"/>
  <c r="B2721" i="2"/>
  <c r="B2714" i="2"/>
  <c r="B2724" i="2"/>
  <c r="B2720" i="2"/>
  <c r="B2691" i="2"/>
  <c r="B2695" i="2"/>
  <c r="B2717" i="2"/>
  <c r="B2718" i="2"/>
  <c r="B2710" i="2"/>
  <c r="B2692" i="2"/>
  <c r="B2345" i="2"/>
  <c r="B2353" i="2"/>
  <c r="B2343" i="2"/>
  <c r="B2363" i="2"/>
  <c r="B2366" i="2"/>
  <c r="B2463" i="2"/>
  <c r="B2454" i="2"/>
  <c r="B2444" i="2"/>
  <c r="B2451" i="2"/>
  <c r="B2430" i="2"/>
  <c r="B2771" i="2"/>
  <c r="B2739" i="2"/>
  <c r="B2763" i="2"/>
  <c r="B2752" i="2"/>
  <c r="B2762" i="2"/>
  <c r="C3434" i="2"/>
  <c r="B3436" i="2" s="1"/>
  <c r="C2994" i="2"/>
  <c r="B2996" i="2" s="1"/>
  <c r="C2906" i="2"/>
  <c r="B2908" i="2" s="1"/>
  <c r="B2352" i="2"/>
  <c r="B2339" i="2"/>
  <c r="B2358" i="2"/>
  <c r="B2368" i="2"/>
  <c r="G2335" i="2"/>
  <c r="B2455" i="2"/>
  <c r="G2423" i="2"/>
  <c r="B2446" i="2"/>
  <c r="B2459" i="2"/>
  <c r="B2429" i="2"/>
  <c r="B2384" i="2"/>
  <c r="B2408" i="2"/>
  <c r="B2387" i="2"/>
  <c r="B2407" i="2"/>
  <c r="B2393" i="2"/>
  <c r="B2737" i="2"/>
  <c r="B2764" i="2"/>
  <c r="B2766" i="2"/>
  <c r="B2756" i="2"/>
  <c r="B2736" i="2"/>
  <c r="C3126" i="2"/>
  <c r="B3128" i="2" s="1"/>
  <c r="C3390" i="2"/>
  <c r="B3392" i="2" s="1"/>
  <c r="B2354" i="2"/>
  <c r="B2338" i="2"/>
  <c r="B2364" i="2"/>
  <c r="B2359" i="2"/>
  <c r="B2341" i="2"/>
  <c r="B2442" i="2"/>
  <c r="B2436" i="2"/>
  <c r="B2433" i="2"/>
  <c r="B2443" i="2"/>
  <c r="B2428" i="2"/>
  <c r="B2747" i="2"/>
  <c r="B2770" i="2"/>
  <c r="B2761" i="2"/>
  <c r="B2767" i="2"/>
  <c r="B2750" i="2"/>
  <c r="C3522" i="2"/>
  <c r="B3524" i="2" s="1"/>
  <c r="C3478" i="2"/>
  <c r="B3480" i="2" s="1"/>
  <c r="B2365" i="2"/>
  <c r="B2361" i="2"/>
  <c r="B2362" i="2"/>
  <c r="B2356" i="2"/>
  <c r="B2344" i="2"/>
  <c r="B2460" i="2"/>
  <c r="B2438" i="2"/>
  <c r="B2447" i="2"/>
  <c r="B2464" i="2"/>
  <c r="B2452" i="2"/>
  <c r="B2753" i="2"/>
  <c r="B2740" i="2"/>
  <c r="B2751" i="2"/>
  <c r="B2754" i="2"/>
  <c r="B2741" i="2"/>
  <c r="C3170" i="2"/>
  <c r="B3172" i="2" s="1"/>
  <c r="C3038" i="2"/>
  <c r="B3040" i="2" s="1"/>
  <c r="C3346" i="2"/>
  <c r="B3348" i="2" s="1"/>
  <c r="C3082" i="2"/>
  <c r="B3084" i="2" s="1"/>
  <c r="B2342" i="2"/>
  <c r="B2355" i="2"/>
  <c r="B2376" i="2"/>
  <c r="B2372" i="2"/>
  <c r="B2426" i="2"/>
  <c r="B2427" i="2"/>
  <c r="B2462" i="2"/>
  <c r="B2448" i="2"/>
  <c r="B2404" i="2"/>
  <c r="B2411" i="2"/>
  <c r="B2406" i="2"/>
  <c r="B2414" i="2"/>
  <c r="B2748" i="2"/>
  <c r="B2758" i="2"/>
  <c r="B2759" i="2"/>
  <c r="B2749" i="2"/>
  <c r="B2487" i="2"/>
  <c r="B2106" i="2"/>
  <c r="B2104" i="2"/>
  <c r="B2077" i="2"/>
  <c r="B2110" i="2"/>
  <c r="B2521" i="2"/>
  <c r="B2551" i="2"/>
  <c r="B2534" i="2"/>
  <c r="B2517" i="2"/>
  <c r="C3302" i="2"/>
  <c r="B3304" i="2" s="1"/>
  <c r="C3258" i="2"/>
  <c r="B3260" i="2" s="1"/>
  <c r="B919" i="2"/>
  <c r="B906" i="2"/>
  <c r="B912" i="2"/>
  <c r="B895" i="2"/>
  <c r="B896" i="2"/>
  <c r="B907" i="2"/>
  <c r="B911" i="2"/>
  <c r="B915" i="2"/>
  <c r="B903" i="2"/>
  <c r="B904" i="2"/>
  <c r="B891" i="2"/>
  <c r="B918" i="2"/>
  <c r="B922" i="2"/>
  <c r="B910" i="2"/>
  <c r="B913" i="2"/>
  <c r="B899" i="2"/>
  <c r="B888" i="2"/>
  <c r="B890" i="2"/>
  <c r="B916" i="2"/>
  <c r="B924" i="2"/>
  <c r="B914" i="2"/>
  <c r="B900" i="2"/>
  <c r="B894" i="2"/>
  <c r="B920" i="2"/>
  <c r="B889" i="2"/>
  <c r="B893" i="2"/>
  <c r="B902" i="2"/>
  <c r="B923" i="2"/>
  <c r="B897" i="2"/>
  <c r="B917" i="2"/>
  <c r="B886" i="2"/>
  <c r="B901" i="2"/>
  <c r="B909" i="2"/>
  <c r="G883" i="2"/>
  <c r="B905" i="2"/>
  <c r="B921" i="2"/>
  <c r="B898" i="2"/>
  <c r="B908" i="2"/>
  <c r="B887" i="2"/>
  <c r="B892" i="2"/>
  <c r="C2818" i="2"/>
  <c r="B2820" i="2" s="1"/>
  <c r="C2862" i="2"/>
  <c r="B2864" i="2" s="1"/>
  <c r="N75" i="4"/>
  <c r="N76" i="4" s="1"/>
  <c r="N84" i="4"/>
  <c r="N85" i="4" s="1"/>
  <c r="B4693" i="2" l="1"/>
  <c r="B4672" i="2"/>
  <c r="B4673" i="2"/>
  <c r="B4698" i="2"/>
  <c r="B4674" i="2"/>
  <c r="B4696" i="2"/>
  <c r="B4691" i="2"/>
  <c r="B4704" i="2"/>
  <c r="B4690" i="2"/>
  <c r="B4680" i="2"/>
  <c r="B4687" i="2"/>
  <c r="B4676" i="2"/>
  <c r="B4681" i="2"/>
  <c r="B4671" i="2"/>
  <c r="B4697" i="2"/>
  <c r="B4679" i="2"/>
  <c r="B4703" i="2"/>
  <c r="B4694" i="2"/>
  <c r="B4707" i="2"/>
  <c r="B4677" i="2"/>
  <c r="B4682" i="2"/>
  <c r="B4699" i="2"/>
  <c r="B4685" i="2"/>
  <c r="B4708" i="2"/>
  <c r="B4689" i="2"/>
  <c r="B4678" i="2"/>
  <c r="B4695" i="2"/>
  <c r="B4688" i="2"/>
  <c r="B4684" i="2"/>
  <c r="B4670" i="2"/>
  <c r="B4692" i="2"/>
  <c r="B4683" i="2"/>
  <c r="G4667" i="2"/>
  <c r="B4675" i="2"/>
  <c r="B4705" i="2"/>
  <c r="B4701" i="2"/>
  <c r="B4686" i="2"/>
  <c r="B4702" i="2"/>
  <c r="B4700" i="2"/>
  <c r="B4706" i="2"/>
  <c r="B4745" i="2"/>
  <c r="B4736" i="2"/>
  <c r="B4742" i="2"/>
  <c r="B4717" i="2"/>
  <c r="B4749" i="2"/>
  <c r="B4733" i="2"/>
  <c r="B4716" i="2"/>
  <c r="B4746" i="2"/>
  <c r="B4748" i="2"/>
  <c r="B4726" i="2"/>
  <c r="B4741" i="2"/>
  <c r="B4720" i="2"/>
  <c r="B4719" i="2"/>
  <c r="B4725" i="2"/>
  <c r="B4730" i="2"/>
  <c r="B4738" i="2"/>
  <c r="B4715" i="2"/>
  <c r="B4724" i="2"/>
  <c r="B4740" i="2"/>
  <c r="B4751" i="2"/>
  <c r="B4721" i="2"/>
  <c r="B4714" i="2"/>
  <c r="B4743" i="2"/>
  <c r="B4729" i="2"/>
  <c r="B4731" i="2"/>
  <c r="B4747" i="2"/>
  <c r="B4744" i="2"/>
  <c r="B4723" i="2"/>
  <c r="G4711" i="2"/>
  <c r="B4737" i="2"/>
  <c r="B4734" i="2"/>
  <c r="B4732" i="2"/>
  <c r="B4752" i="2"/>
  <c r="B4750" i="2"/>
  <c r="B4735" i="2"/>
  <c r="B4727" i="2"/>
  <c r="B4718" i="2"/>
  <c r="B4722" i="2"/>
  <c r="B4728" i="2"/>
  <c r="B4739" i="2"/>
  <c r="A118" i="1"/>
  <c r="B2991" i="2"/>
  <c r="B2980" i="2"/>
  <c r="B2972" i="2"/>
  <c r="B2982" i="2"/>
  <c r="B2979" i="2"/>
  <c r="B2983" i="2"/>
  <c r="B2966" i="2"/>
  <c r="B2984" i="2"/>
  <c r="B2969" i="2"/>
  <c r="B2973" i="2"/>
  <c r="B2989" i="2"/>
  <c r="B2959" i="2"/>
  <c r="B2968" i="2"/>
  <c r="B2975" i="2"/>
  <c r="B2970" i="2"/>
  <c r="B2967" i="2"/>
  <c r="B2958" i="2"/>
  <c r="B2978" i="2"/>
  <c r="B2957" i="2"/>
  <c r="B2965" i="2"/>
  <c r="B2964" i="2"/>
  <c r="B2960" i="2"/>
  <c r="B2992" i="2"/>
  <c r="B2962" i="2"/>
  <c r="B2955" i="2"/>
  <c r="B2985" i="2"/>
  <c r="B2990" i="2"/>
  <c r="B2974" i="2"/>
  <c r="B2988" i="2"/>
  <c r="B2976" i="2"/>
  <c r="B2963" i="2"/>
  <c r="B2971" i="2"/>
  <c r="B2987" i="2"/>
  <c r="B2961" i="2"/>
  <c r="B2977" i="2"/>
  <c r="G2951" i="2"/>
  <c r="B2981" i="2"/>
  <c r="B2954" i="2"/>
  <c r="B2986" i="2"/>
  <c r="B3432" i="2"/>
  <c r="B3418" i="2"/>
  <c r="B3423" i="2"/>
  <c r="B3429" i="2"/>
  <c r="B3419" i="2"/>
  <c r="B3421" i="2"/>
  <c r="B3411" i="2"/>
  <c r="B3420" i="2"/>
  <c r="B3427" i="2"/>
  <c r="B3414" i="2"/>
  <c r="B3412" i="2"/>
  <c r="B3403" i="2"/>
  <c r="B3416" i="2"/>
  <c r="B3422" i="2"/>
  <c r="B3406" i="2"/>
  <c r="B3404" i="2"/>
  <c r="B3417" i="2"/>
  <c r="B3409" i="2"/>
  <c r="B3415" i="2"/>
  <c r="B3398" i="2"/>
  <c r="B3425" i="2"/>
  <c r="B3396" i="2"/>
  <c r="B3410" i="2"/>
  <c r="B3401" i="2"/>
  <c r="B3407" i="2"/>
  <c r="B3413" i="2"/>
  <c r="B3431" i="2"/>
  <c r="B3402" i="2"/>
  <c r="B3408" i="2"/>
  <c r="B3399" i="2"/>
  <c r="B3405" i="2"/>
  <c r="B3428" i="2"/>
  <c r="B3394" i="2"/>
  <c r="B3400" i="2"/>
  <c r="B3395" i="2"/>
  <c r="B3397" i="2"/>
  <c r="B3424" i="2"/>
  <c r="B3430" i="2"/>
  <c r="G3391" i="2"/>
  <c r="B3426" i="2"/>
  <c r="B3469" i="2"/>
  <c r="B3444" i="2"/>
  <c r="B3442" i="2"/>
  <c r="B3468" i="2"/>
  <c r="B3441" i="2"/>
  <c r="B3463" i="2"/>
  <c r="B3443" i="2"/>
  <c r="B3452" i="2"/>
  <c r="B3446" i="2"/>
  <c r="B3472" i="2"/>
  <c r="B3449" i="2"/>
  <c r="B3470" i="2"/>
  <c r="B3451" i="2"/>
  <c r="B3445" i="2"/>
  <c r="B3454" i="2"/>
  <c r="B3475" i="2"/>
  <c r="B3457" i="2"/>
  <c r="B3458" i="2"/>
  <c r="B3459" i="2"/>
  <c r="B3453" i="2"/>
  <c r="B3461" i="2"/>
  <c r="G3435" i="2"/>
  <c r="B3450" i="2"/>
  <c r="B3466" i="2"/>
  <c r="B3460" i="2"/>
  <c r="B3439" i="2"/>
  <c r="B3448" i="2"/>
  <c r="B3438" i="2"/>
  <c r="B3471" i="2"/>
  <c r="B3464" i="2"/>
  <c r="B3447" i="2"/>
  <c r="B3456" i="2"/>
  <c r="B3473" i="2"/>
  <c r="B3467" i="2"/>
  <c r="B3455" i="2"/>
  <c r="B3465" i="2"/>
  <c r="B3440" i="2"/>
  <c r="B3474" i="2"/>
  <c r="B3462" i="2"/>
  <c r="B3476" i="2"/>
  <c r="B3142" i="2"/>
  <c r="B3158" i="2"/>
  <c r="B3152" i="2"/>
  <c r="B3139" i="2"/>
  <c r="B3148" i="2"/>
  <c r="B3134" i="2"/>
  <c r="B3163" i="2"/>
  <c r="B3156" i="2"/>
  <c r="B3147" i="2"/>
  <c r="B3157" i="2"/>
  <c r="B3165" i="2"/>
  <c r="B3159" i="2"/>
  <c r="B3154" i="2"/>
  <c r="B3168" i="2"/>
  <c r="G3127" i="2"/>
  <c r="B3166" i="2"/>
  <c r="B3160" i="2"/>
  <c r="B3133" i="2"/>
  <c r="B3161" i="2"/>
  <c r="B3131" i="2"/>
  <c r="B3136" i="2"/>
  <c r="B3130" i="2"/>
  <c r="B3164" i="2"/>
  <c r="B3141" i="2"/>
  <c r="B3155" i="2"/>
  <c r="B3135" i="2"/>
  <c r="B3144" i="2"/>
  <c r="B3138" i="2"/>
  <c r="B3167" i="2"/>
  <c r="B3149" i="2"/>
  <c r="B3162" i="2"/>
  <c r="B3143" i="2"/>
  <c r="B3137" i="2"/>
  <c r="B3146" i="2"/>
  <c r="B3132" i="2"/>
  <c r="B3150" i="2"/>
  <c r="B3151" i="2"/>
  <c r="B3145" i="2"/>
  <c r="B3153" i="2"/>
  <c r="B3140" i="2"/>
  <c r="B3201" i="2"/>
  <c r="B3191" i="2"/>
  <c r="B3200" i="2"/>
  <c r="B3207" i="2"/>
  <c r="B3194" i="2"/>
  <c r="B3192" i="2"/>
  <c r="B3183" i="2"/>
  <c r="B3196" i="2"/>
  <c r="B3202" i="2"/>
  <c r="B3186" i="2"/>
  <c r="B3184" i="2"/>
  <c r="B3197" i="2"/>
  <c r="B3189" i="2"/>
  <c r="B3195" i="2"/>
  <c r="B3178" i="2"/>
  <c r="B3205" i="2"/>
  <c r="B3176" i="2"/>
  <c r="B3190" i="2"/>
  <c r="B3181" i="2"/>
  <c r="B3187" i="2"/>
  <c r="B3193" i="2"/>
  <c r="B3211" i="2"/>
  <c r="B3182" i="2"/>
  <c r="B3188" i="2"/>
  <c r="B3179" i="2"/>
  <c r="B3185" i="2"/>
  <c r="B3208" i="2"/>
  <c r="B3174" i="2"/>
  <c r="B3180" i="2"/>
  <c r="B3175" i="2"/>
  <c r="B3177" i="2"/>
  <c r="B3204" i="2"/>
  <c r="B3210" i="2"/>
  <c r="G3171" i="2"/>
  <c r="B3206" i="2"/>
  <c r="B3212" i="2"/>
  <c r="B3198" i="2"/>
  <c r="B3203" i="2"/>
  <c r="B3209" i="2"/>
  <c r="B3199" i="2"/>
  <c r="B3337" i="2"/>
  <c r="B3308" i="2"/>
  <c r="B3322" i="2"/>
  <c r="B3313" i="2"/>
  <c r="B3319" i="2"/>
  <c r="B3325" i="2"/>
  <c r="B3343" i="2"/>
  <c r="B3314" i="2"/>
  <c r="B3320" i="2"/>
  <c r="B3311" i="2"/>
  <c r="B3317" i="2"/>
  <c r="B3340" i="2"/>
  <c r="B3306" i="2"/>
  <c r="B3312" i="2"/>
  <c r="B3307" i="2"/>
  <c r="B3309" i="2"/>
  <c r="B3336" i="2"/>
  <c r="B3342" i="2"/>
  <c r="G3303" i="2"/>
  <c r="B3338" i="2"/>
  <c r="B3344" i="2"/>
  <c r="B3330" i="2"/>
  <c r="B3335" i="2"/>
  <c r="B3341" i="2"/>
  <c r="B3331" i="2"/>
  <c r="B3333" i="2"/>
  <c r="B3323" i="2"/>
  <c r="B3332" i="2"/>
  <c r="B3339" i="2"/>
  <c r="B3326" i="2"/>
  <c r="B3324" i="2"/>
  <c r="B3315" i="2"/>
  <c r="B3328" i="2"/>
  <c r="B3334" i="2"/>
  <c r="B3318" i="2"/>
  <c r="B3316" i="2"/>
  <c r="B3329" i="2"/>
  <c r="B3321" i="2"/>
  <c r="B3327" i="2"/>
  <c r="B3310" i="2"/>
  <c r="B3553" i="2"/>
  <c r="B3543" i="2"/>
  <c r="B3555" i="2"/>
  <c r="B3561" i="2"/>
  <c r="B3546" i="2"/>
  <c r="B3544" i="2"/>
  <c r="B3535" i="2"/>
  <c r="B3552" i="2"/>
  <c r="B3559" i="2"/>
  <c r="B3538" i="2"/>
  <c r="B3536" i="2"/>
  <c r="B3527" i="2"/>
  <c r="B3548" i="2"/>
  <c r="B3554" i="2"/>
  <c r="B3526" i="2"/>
  <c r="B3557" i="2"/>
  <c r="G3523" i="2"/>
  <c r="B3549" i="2"/>
  <c r="B3541" i="2"/>
  <c r="B3547" i="2"/>
  <c r="B3545" i="2"/>
  <c r="B3563" i="2"/>
  <c r="B3542" i="2"/>
  <c r="B3533" i="2"/>
  <c r="B3539" i="2"/>
  <c r="B3537" i="2"/>
  <c r="B3560" i="2"/>
  <c r="B3534" i="2"/>
  <c r="B3540" i="2"/>
  <c r="B3531" i="2"/>
  <c r="B3529" i="2"/>
  <c r="B3556" i="2"/>
  <c r="B3530" i="2"/>
  <c r="B3532" i="2"/>
  <c r="B3558" i="2"/>
  <c r="B3564" i="2"/>
  <c r="B3550" i="2"/>
  <c r="B3562" i="2"/>
  <c r="B3528" i="2"/>
  <c r="B3551" i="2"/>
  <c r="B3097" i="2"/>
  <c r="B3120" i="2"/>
  <c r="B3086" i="2"/>
  <c r="B3092" i="2"/>
  <c r="B3087" i="2"/>
  <c r="B3089" i="2"/>
  <c r="B3116" i="2"/>
  <c r="B3122" i="2"/>
  <c r="G3083" i="2"/>
  <c r="B3118" i="2"/>
  <c r="B3124" i="2"/>
  <c r="B3110" i="2"/>
  <c r="B3115" i="2"/>
  <c r="B3121" i="2"/>
  <c r="B3111" i="2"/>
  <c r="B3113" i="2"/>
  <c r="B3103" i="2"/>
  <c r="B3112" i="2"/>
  <c r="B3119" i="2"/>
  <c r="B3106" i="2"/>
  <c r="B3104" i="2"/>
  <c r="B3095" i="2"/>
  <c r="B3108" i="2"/>
  <c r="B3114" i="2"/>
  <c r="B3098" i="2"/>
  <c r="B3096" i="2"/>
  <c r="B3109" i="2"/>
  <c r="B3101" i="2"/>
  <c r="B3107" i="2"/>
  <c r="B3090" i="2"/>
  <c r="B3117" i="2"/>
  <c r="B3088" i="2"/>
  <c r="B3102" i="2"/>
  <c r="B3093" i="2"/>
  <c r="B3099" i="2"/>
  <c r="B3105" i="2"/>
  <c r="B3123" i="2"/>
  <c r="B3094" i="2"/>
  <c r="B3100" i="2"/>
  <c r="B3091" i="2"/>
  <c r="B3267" i="2"/>
  <c r="B3276" i="2"/>
  <c r="B3270" i="2"/>
  <c r="B3296" i="2"/>
  <c r="B3273" i="2"/>
  <c r="B3275" i="2"/>
  <c r="B3269" i="2"/>
  <c r="B3278" i="2"/>
  <c r="B3299" i="2"/>
  <c r="B3281" i="2"/>
  <c r="B3293" i="2"/>
  <c r="B3283" i="2"/>
  <c r="B3277" i="2"/>
  <c r="B3285" i="2"/>
  <c r="G3259" i="2"/>
  <c r="B3287" i="2"/>
  <c r="B3290" i="2"/>
  <c r="B3284" i="2"/>
  <c r="B3263" i="2"/>
  <c r="B3272" i="2"/>
  <c r="B3294" i="2"/>
  <c r="B3295" i="2"/>
  <c r="B3288" i="2"/>
  <c r="B3271" i="2"/>
  <c r="B3280" i="2"/>
  <c r="B3282" i="2"/>
  <c r="B3297" i="2"/>
  <c r="B3291" i="2"/>
  <c r="B3279" i="2"/>
  <c r="B3289" i="2"/>
  <c r="B3274" i="2"/>
  <c r="B3264" i="2"/>
  <c r="B3298" i="2"/>
  <c r="B3286" i="2"/>
  <c r="B3300" i="2"/>
  <c r="B3262" i="2"/>
  <c r="B3268" i="2"/>
  <c r="B3266" i="2"/>
  <c r="B3292" i="2"/>
  <c r="B3265" i="2"/>
  <c r="B3361" i="2"/>
  <c r="B3384" i="2"/>
  <c r="B3350" i="2"/>
  <c r="B3356" i="2"/>
  <c r="B3351" i="2"/>
  <c r="B3353" i="2"/>
  <c r="B3380" i="2"/>
  <c r="B3386" i="2"/>
  <c r="G3347" i="2"/>
  <c r="B3382" i="2"/>
  <c r="B3388" i="2"/>
  <c r="B3374" i="2"/>
  <c r="B3379" i="2"/>
  <c r="B3385" i="2"/>
  <c r="B3375" i="2"/>
  <c r="B3377" i="2"/>
  <c r="B3367" i="2"/>
  <c r="B3376" i="2"/>
  <c r="B3383" i="2"/>
  <c r="B3370" i="2"/>
  <c r="B3368" i="2"/>
  <c r="B3359" i="2"/>
  <c r="B3372" i="2"/>
  <c r="B3378" i="2"/>
  <c r="B3362" i="2"/>
  <c r="B3360" i="2"/>
  <c r="B3373" i="2"/>
  <c r="B3365" i="2"/>
  <c r="B3371" i="2"/>
  <c r="B3354" i="2"/>
  <c r="B3381" i="2"/>
  <c r="B3352" i="2"/>
  <c r="B3366" i="2"/>
  <c r="B3357" i="2"/>
  <c r="B3363" i="2"/>
  <c r="B3369" i="2"/>
  <c r="B3387" i="2"/>
  <c r="B3358" i="2"/>
  <c r="B3364" i="2"/>
  <c r="B3355" i="2"/>
  <c r="B3075" i="2"/>
  <c r="B3048" i="2"/>
  <c r="B3046" i="2"/>
  <c r="B3072" i="2"/>
  <c r="B3045" i="2"/>
  <c r="B3073" i="2"/>
  <c r="B3042" i="2"/>
  <c r="B3056" i="2"/>
  <c r="B3050" i="2"/>
  <c r="B3076" i="2"/>
  <c r="B3053" i="2"/>
  <c r="B3070" i="2"/>
  <c r="B3074" i="2"/>
  <c r="B3049" i="2"/>
  <c r="B3058" i="2"/>
  <c r="B3079" i="2"/>
  <c r="B3061" i="2"/>
  <c r="B3062" i="2"/>
  <c r="B3067" i="2"/>
  <c r="B3057" i="2"/>
  <c r="B3065" i="2"/>
  <c r="G3039" i="2"/>
  <c r="B3077" i="2"/>
  <c r="B3063" i="2"/>
  <c r="B3064" i="2"/>
  <c r="B3043" i="2"/>
  <c r="B3052" i="2"/>
  <c r="B3055" i="2"/>
  <c r="B3068" i="2"/>
  <c r="B3051" i="2"/>
  <c r="B3060" i="2"/>
  <c r="B3054" i="2"/>
  <c r="B3071" i="2"/>
  <c r="B3059" i="2"/>
  <c r="B3069" i="2"/>
  <c r="B3047" i="2"/>
  <c r="B3044" i="2"/>
  <c r="B3078" i="2"/>
  <c r="B3066" i="2"/>
  <c r="B3080" i="2"/>
  <c r="B2937" i="2"/>
  <c r="B2934" i="2"/>
  <c r="B2910" i="2"/>
  <c r="B2935" i="2"/>
  <c r="B2931" i="2"/>
  <c r="B2928" i="2"/>
  <c r="B2927" i="2"/>
  <c r="B2946" i="2"/>
  <c r="B2924" i="2"/>
  <c r="B2923" i="2"/>
  <c r="B2920" i="2"/>
  <c r="B2919" i="2"/>
  <c r="B2939" i="2"/>
  <c r="B2916" i="2"/>
  <c r="B2911" i="2"/>
  <c r="B2912" i="2"/>
  <c r="B2915" i="2"/>
  <c r="B2936" i="2"/>
  <c r="G2907" i="2"/>
  <c r="B2914" i="2"/>
  <c r="B2941" i="2"/>
  <c r="B2930" i="2"/>
  <c r="B2922" i="2"/>
  <c r="B2932" i="2"/>
  <c r="B2942" i="2"/>
  <c r="B2929" i="2"/>
  <c r="B2947" i="2"/>
  <c r="B2933" i="2"/>
  <c r="B2925" i="2"/>
  <c r="B2945" i="2"/>
  <c r="B2921" i="2"/>
  <c r="B2944" i="2"/>
  <c r="B2926" i="2"/>
  <c r="B2917" i="2"/>
  <c r="B2943" i="2"/>
  <c r="B2948" i="2"/>
  <c r="B2940" i="2"/>
  <c r="B2918" i="2"/>
  <c r="B2913" i="2"/>
  <c r="B2938" i="2"/>
  <c r="B3494" i="2"/>
  <c r="B3515" i="2"/>
  <c r="B3511" i="2"/>
  <c r="B3499" i="2"/>
  <c r="B3500" i="2"/>
  <c r="B3482" i="2"/>
  <c r="B3517" i="2"/>
  <c r="B3518" i="2"/>
  <c r="B3506" i="2"/>
  <c r="B3509" i="2"/>
  <c r="B3484" i="2"/>
  <c r="B3486" i="2"/>
  <c r="B3512" i="2"/>
  <c r="B3520" i="2"/>
  <c r="B3496" i="2"/>
  <c r="B3490" i="2"/>
  <c r="B3516" i="2"/>
  <c r="B3485" i="2"/>
  <c r="B3513" i="2"/>
  <c r="B3487" i="2"/>
  <c r="B3489" i="2"/>
  <c r="B3498" i="2"/>
  <c r="B3519" i="2"/>
  <c r="B3493" i="2"/>
  <c r="B3507" i="2"/>
  <c r="B3495" i="2"/>
  <c r="B3497" i="2"/>
  <c r="B3505" i="2"/>
  <c r="G3479" i="2"/>
  <c r="B3501" i="2"/>
  <c r="B3514" i="2"/>
  <c r="B3503" i="2"/>
  <c r="B3504" i="2"/>
  <c r="B3483" i="2"/>
  <c r="B3488" i="2"/>
  <c r="B3502" i="2"/>
  <c r="B3510" i="2"/>
  <c r="B3508" i="2"/>
  <c r="B3491" i="2"/>
  <c r="B3492" i="2"/>
  <c r="B3036" i="2"/>
  <c r="B3022" i="2"/>
  <c r="B3034" i="2"/>
  <c r="B3000" i="2"/>
  <c r="B3023" i="2"/>
  <c r="B3025" i="2"/>
  <c r="B3015" i="2"/>
  <c r="B3027" i="2"/>
  <c r="B3033" i="2"/>
  <c r="B3018" i="2"/>
  <c r="B3016" i="2"/>
  <c r="B3007" i="2"/>
  <c r="B3024" i="2"/>
  <c r="B3031" i="2"/>
  <c r="B3010" i="2"/>
  <c r="B3008" i="2"/>
  <c r="B2999" i="2"/>
  <c r="B3020" i="2"/>
  <c r="B3026" i="2"/>
  <c r="B2998" i="2"/>
  <c r="B3029" i="2"/>
  <c r="G2995" i="2"/>
  <c r="B3021" i="2"/>
  <c r="B3013" i="2"/>
  <c r="B3019" i="2"/>
  <c r="B3017" i="2"/>
  <c r="B3035" i="2"/>
  <c r="B3014" i="2"/>
  <c r="B3005" i="2"/>
  <c r="B3011" i="2"/>
  <c r="B3009" i="2"/>
  <c r="B3032" i="2"/>
  <c r="B3006" i="2"/>
  <c r="B3012" i="2"/>
  <c r="B3003" i="2"/>
  <c r="B3001" i="2"/>
  <c r="B3028" i="2"/>
  <c r="B3002" i="2"/>
  <c r="B3004" i="2"/>
  <c r="B3030" i="2"/>
  <c r="B2897" i="2"/>
  <c r="B2887" i="2"/>
  <c r="B2881" i="2"/>
  <c r="B2889" i="2"/>
  <c r="B2868" i="2"/>
  <c r="B2870" i="2"/>
  <c r="B2894" i="2"/>
  <c r="B2888" i="2"/>
  <c r="B2871" i="2"/>
  <c r="B2876" i="2"/>
  <c r="B2878" i="2"/>
  <c r="B2899" i="2"/>
  <c r="B2892" i="2"/>
  <c r="B2875" i="2"/>
  <c r="B2884" i="2"/>
  <c r="B2886" i="2"/>
  <c r="B2901" i="2"/>
  <c r="B2895" i="2"/>
  <c r="B2883" i="2"/>
  <c r="B2893" i="2"/>
  <c r="B2891" i="2"/>
  <c r="G2863" i="2"/>
  <c r="B2902" i="2"/>
  <c r="B2890" i="2"/>
  <c r="B2904" i="2"/>
  <c r="B2898" i="2"/>
  <c r="B2872" i="2"/>
  <c r="B2866" i="2"/>
  <c r="B2896" i="2"/>
  <c r="B2873" i="2"/>
  <c r="B2867" i="2"/>
  <c r="B2880" i="2"/>
  <c r="B2874" i="2"/>
  <c r="B2900" i="2"/>
  <c r="B2877" i="2"/>
  <c r="B2879" i="2"/>
  <c r="B2869" i="2"/>
  <c r="B2882" i="2"/>
  <c r="B2903" i="2"/>
  <c r="B2885" i="2"/>
  <c r="B2853" i="2"/>
  <c r="B2828" i="2"/>
  <c r="B2826" i="2"/>
  <c r="B2852" i="2"/>
  <c r="B2825" i="2"/>
  <c r="B2850" i="2"/>
  <c r="B2836" i="2"/>
  <c r="B2830" i="2"/>
  <c r="B2856" i="2"/>
  <c r="B2833" i="2"/>
  <c r="B2827" i="2"/>
  <c r="B2829" i="2"/>
  <c r="B2838" i="2"/>
  <c r="B2859" i="2"/>
  <c r="B2841" i="2"/>
  <c r="B2857" i="2"/>
  <c r="B2834" i="2"/>
  <c r="B2837" i="2"/>
  <c r="B2845" i="2"/>
  <c r="G2819" i="2"/>
  <c r="B2822" i="2"/>
  <c r="B2842" i="2"/>
  <c r="B2844" i="2"/>
  <c r="B2823" i="2"/>
  <c r="B2832" i="2"/>
  <c r="B2855" i="2"/>
  <c r="B2847" i="2"/>
  <c r="B2848" i="2"/>
  <c r="B2831" i="2"/>
  <c r="B2840" i="2"/>
  <c r="B2843" i="2"/>
  <c r="B2854" i="2"/>
  <c r="B2851" i="2"/>
  <c r="B2839" i="2"/>
  <c r="B2849" i="2"/>
  <c r="B2835" i="2"/>
  <c r="B2824" i="2"/>
  <c r="B2858" i="2"/>
  <c r="B2846" i="2"/>
  <c r="B2860" i="2"/>
  <c r="C78" i="4"/>
  <c r="O85" i="4"/>
  <c r="N86" i="4" s="1"/>
  <c r="C69" i="4"/>
  <c r="O76" i="4"/>
  <c r="N77" i="4" s="1"/>
  <c r="D12491" i="2" l="1"/>
  <c r="E12491" i="2" s="1"/>
  <c r="G12491" i="2" s="1"/>
  <c r="D12447" i="2"/>
  <c r="E12447" i="2" s="1"/>
  <c r="G12447" i="2" s="1"/>
  <c r="D12403" i="2"/>
  <c r="E12403" i="2" s="1"/>
  <c r="G12403" i="2" s="1"/>
  <c r="D12227" i="2"/>
  <c r="E12227" i="2" s="1"/>
  <c r="G12227" i="2" s="1"/>
  <c r="D11875" i="2"/>
  <c r="E11875" i="2" s="1"/>
  <c r="G11875" i="2" s="1"/>
  <c r="D12535" i="2"/>
  <c r="E12535" i="2" s="1"/>
  <c r="G12535" i="2" s="1"/>
  <c r="D12183" i="2"/>
  <c r="E12183" i="2" s="1"/>
  <c r="G12183" i="2" s="1"/>
  <c r="D12095" i="2"/>
  <c r="E12095" i="2" s="1"/>
  <c r="G12095" i="2" s="1"/>
  <c r="G12098" i="2" s="1"/>
  <c r="G12100" i="2" s="1"/>
  <c r="D11963" i="2"/>
  <c r="E11963" i="2" s="1"/>
  <c r="G11963" i="2" s="1"/>
  <c r="D11831" i="2"/>
  <c r="E11831" i="2" s="1"/>
  <c r="G11831" i="2" s="1"/>
  <c r="D12051" i="2"/>
  <c r="E12051" i="2" s="1"/>
  <c r="G12051" i="2" s="1"/>
  <c r="D12579" i="2"/>
  <c r="E12579" i="2" s="1"/>
  <c r="G12579" i="2" s="1"/>
  <c r="G12582" i="2" s="1"/>
  <c r="G12584" i="2" s="1"/>
  <c r="D12359" i="2"/>
  <c r="E12359" i="2" s="1"/>
  <c r="G12359" i="2" s="1"/>
  <c r="D12315" i="2"/>
  <c r="E12315" i="2" s="1"/>
  <c r="G12315" i="2" s="1"/>
  <c r="D12139" i="2"/>
  <c r="E12139" i="2" s="1"/>
  <c r="G12139" i="2" s="1"/>
  <c r="D12271" i="2"/>
  <c r="E12271" i="2" s="1"/>
  <c r="G12271" i="2" s="1"/>
  <c r="G12274" i="2" s="1"/>
  <c r="G12276" i="2" s="1"/>
  <c r="D11919" i="2"/>
  <c r="E11919" i="2" s="1"/>
  <c r="G11919" i="2" s="1"/>
  <c r="D12007" i="2"/>
  <c r="E12007" i="2" s="1"/>
  <c r="G12007" i="2" s="1"/>
  <c r="D12184" i="2"/>
  <c r="E12184" i="2" s="1"/>
  <c r="G12184" i="2" s="1"/>
  <c r="D12096" i="2"/>
  <c r="E12096" i="2" s="1"/>
  <c r="G12096" i="2" s="1"/>
  <c r="D11832" i="2"/>
  <c r="E11832" i="2" s="1"/>
  <c r="G11832" i="2" s="1"/>
  <c r="D12536" i="2"/>
  <c r="E12536" i="2" s="1"/>
  <c r="G12536" i="2" s="1"/>
  <c r="D12140" i="2"/>
  <c r="E12140" i="2" s="1"/>
  <c r="G12140" i="2" s="1"/>
  <c r="D11876" i="2"/>
  <c r="E11876" i="2" s="1"/>
  <c r="G11876" i="2" s="1"/>
  <c r="D12580" i="2"/>
  <c r="E12580" i="2" s="1"/>
  <c r="G12580" i="2" s="1"/>
  <c r="D11964" i="2"/>
  <c r="E11964" i="2" s="1"/>
  <c r="G11964" i="2" s="1"/>
  <c r="D12360" i="2"/>
  <c r="E12360" i="2" s="1"/>
  <c r="G12360" i="2" s="1"/>
  <c r="D12272" i="2"/>
  <c r="E12272" i="2" s="1"/>
  <c r="G12272" i="2" s="1"/>
  <c r="D12492" i="2"/>
  <c r="E12492" i="2" s="1"/>
  <c r="G12492" i="2" s="1"/>
  <c r="D12052" i="2"/>
  <c r="E12052" i="2" s="1"/>
  <c r="G12052" i="2" s="1"/>
  <c r="D12404" i="2"/>
  <c r="E12404" i="2" s="1"/>
  <c r="G12404" i="2" s="1"/>
  <c r="D12228" i="2"/>
  <c r="E12228" i="2" s="1"/>
  <c r="G12228" i="2" s="1"/>
  <c r="D12448" i="2"/>
  <c r="E12448" i="2" s="1"/>
  <c r="G12448" i="2" s="1"/>
  <c r="D12316" i="2"/>
  <c r="E12316" i="2" s="1"/>
  <c r="G12316" i="2" s="1"/>
  <c r="D12008" i="2"/>
  <c r="E12008" i="2" s="1"/>
  <c r="G12008" i="2" s="1"/>
  <c r="D11920" i="2"/>
  <c r="E11920" i="2" s="1"/>
  <c r="G11920" i="2" s="1"/>
  <c r="D11567" i="2"/>
  <c r="E11567" i="2" s="1"/>
  <c r="G11567" i="2" s="1"/>
  <c r="D11699" i="2"/>
  <c r="E11699" i="2" s="1"/>
  <c r="G11699" i="2" s="1"/>
  <c r="D11743" i="2"/>
  <c r="E11743" i="2" s="1"/>
  <c r="G11743" i="2" s="1"/>
  <c r="D11611" i="2"/>
  <c r="E11611" i="2" s="1"/>
  <c r="G11611" i="2" s="1"/>
  <c r="G11614" i="2" s="1"/>
  <c r="G11616" i="2" s="1"/>
  <c r="D11787" i="2"/>
  <c r="E11787" i="2" s="1"/>
  <c r="G11787" i="2" s="1"/>
  <c r="D11655" i="2"/>
  <c r="E11655" i="2" s="1"/>
  <c r="G11655" i="2" s="1"/>
  <c r="D11700" i="2"/>
  <c r="E11700" i="2" s="1"/>
  <c r="G11700" i="2" s="1"/>
  <c r="D11568" i="2"/>
  <c r="E11568" i="2" s="1"/>
  <c r="G11568" i="2" s="1"/>
  <c r="D11788" i="2"/>
  <c r="E11788" i="2" s="1"/>
  <c r="G11788" i="2" s="1"/>
  <c r="D11744" i="2"/>
  <c r="E11744" i="2" s="1"/>
  <c r="G11744" i="2" s="1"/>
  <c r="D11612" i="2"/>
  <c r="E11612" i="2" s="1"/>
  <c r="G11612" i="2" s="1"/>
  <c r="D11656" i="2"/>
  <c r="E11656" i="2" s="1"/>
  <c r="G11656" i="2" s="1"/>
  <c r="D11479" i="2"/>
  <c r="E11479" i="2" s="1"/>
  <c r="G11479" i="2" s="1"/>
  <c r="D11347" i="2"/>
  <c r="E11347" i="2" s="1"/>
  <c r="G11347" i="2" s="1"/>
  <c r="D11303" i="2"/>
  <c r="E11303" i="2" s="1"/>
  <c r="G11303" i="2" s="1"/>
  <c r="D11039" i="2"/>
  <c r="E11039" i="2" s="1"/>
  <c r="G11039" i="2" s="1"/>
  <c r="D10951" i="2"/>
  <c r="E10951" i="2" s="1"/>
  <c r="G10951" i="2" s="1"/>
  <c r="D10907" i="2"/>
  <c r="E10907" i="2" s="1"/>
  <c r="G10907" i="2" s="1"/>
  <c r="D10467" i="2"/>
  <c r="E10467" i="2" s="1"/>
  <c r="G10467" i="2" s="1"/>
  <c r="D11391" i="2"/>
  <c r="E11391" i="2" s="1"/>
  <c r="G11391" i="2" s="1"/>
  <c r="D11215" i="2"/>
  <c r="E11215" i="2" s="1"/>
  <c r="G11215" i="2" s="1"/>
  <c r="D10819" i="2"/>
  <c r="E10819" i="2" s="1"/>
  <c r="G10819" i="2" s="1"/>
  <c r="D11523" i="2"/>
  <c r="E11523" i="2" s="1"/>
  <c r="G11523" i="2" s="1"/>
  <c r="D11435" i="2"/>
  <c r="E11435" i="2" s="1"/>
  <c r="G11435" i="2" s="1"/>
  <c r="D11083" i="2"/>
  <c r="E11083" i="2" s="1"/>
  <c r="G11083" i="2" s="1"/>
  <c r="D10775" i="2"/>
  <c r="E10775" i="2" s="1"/>
  <c r="G10775" i="2" s="1"/>
  <c r="D743" i="2"/>
  <c r="E743" i="2" s="1"/>
  <c r="G743" i="2" s="1"/>
  <c r="D10731" i="2"/>
  <c r="E10731" i="2" s="1"/>
  <c r="G10731" i="2" s="1"/>
  <c r="G10734" i="2" s="1"/>
  <c r="G10736" i="2" s="1"/>
  <c r="D10687" i="2"/>
  <c r="E10687" i="2" s="1"/>
  <c r="G10687" i="2" s="1"/>
  <c r="D10555" i="2"/>
  <c r="E10555" i="2" s="1"/>
  <c r="G10555" i="2" s="1"/>
  <c r="D11171" i="2"/>
  <c r="E11171" i="2" s="1"/>
  <c r="G11171" i="2" s="1"/>
  <c r="D11127" i="2"/>
  <c r="E11127" i="2" s="1"/>
  <c r="G11127" i="2" s="1"/>
  <c r="D10863" i="2"/>
  <c r="E10863" i="2" s="1"/>
  <c r="G10863" i="2" s="1"/>
  <c r="D10643" i="2"/>
  <c r="E10643" i="2" s="1"/>
  <c r="G10643" i="2" s="1"/>
  <c r="D10599" i="2"/>
  <c r="E10599" i="2" s="1"/>
  <c r="G10599" i="2" s="1"/>
  <c r="D10995" i="2"/>
  <c r="E10995" i="2" s="1"/>
  <c r="G10995" i="2" s="1"/>
  <c r="D11259" i="2"/>
  <c r="E11259" i="2" s="1"/>
  <c r="G11259" i="2" s="1"/>
  <c r="D10511" i="2"/>
  <c r="E10511" i="2" s="1"/>
  <c r="G10511" i="2" s="1"/>
  <c r="D11524" i="2"/>
  <c r="E11524" i="2" s="1"/>
  <c r="G11524" i="2" s="1"/>
  <c r="D11216" i="2"/>
  <c r="E11216" i="2" s="1"/>
  <c r="G11216" i="2" s="1"/>
  <c r="D11084" i="2"/>
  <c r="E11084" i="2" s="1"/>
  <c r="G11084" i="2" s="1"/>
  <c r="D10820" i="2"/>
  <c r="E10820" i="2" s="1"/>
  <c r="G10820" i="2" s="1"/>
  <c r="D10776" i="2"/>
  <c r="E10776" i="2" s="1"/>
  <c r="G10776" i="2" s="1"/>
  <c r="D11436" i="2"/>
  <c r="E11436" i="2" s="1"/>
  <c r="G11436" i="2" s="1"/>
  <c r="D744" i="2"/>
  <c r="E744" i="2" s="1"/>
  <c r="G744" i="2" s="1"/>
  <c r="D10688" i="2"/>
  <c r="E10688" i="2" s="1"/>
  <c r="G10688" i="2" s="1"/>
  <c r="D10556" i="2"/>
  <c r="E10556" i="2" s="1"/>
  <c r="G10556" i="2" s="1"/>
  <c r="D11128" i="2"/>
  <c r="E11128" i="2" s="1"/>
  <c r="G11128" i="2" s="1"/>
  <c r="D10732" i="2"/>
  <c r="E10732" i="2" s="1"/>
  <c r="G10732" i="2" s="1"/>
  <c r="D10644" i="2"/>
  <c r="E10644" i="2" s="1"/>
  <c r="G10644" i="2" s="1"/>
  <c r="D10600" i="2"/>
  <c r="E10600" i="2" s="1"/>
  <c r="G10600" i="2" s="1"/>
  <c r="D11392" i="2"/>
  <c r="E11392" i="2" s="1"/>
  <c r="G11392" i="2" s="1"/>
  <c r="D11040" i="2"/>
  <c r="E11040" i="2" s="1"/>
  <c r="G11040" i="2" s="1"/>
  <c r="D10908" i="2"/>
  <c r="E10908" i="2" s="1"/>
  <c r="G10908" i="2" s="1"/>
  <c r="D11348" i="2"/>
  <c r="E11348" i="2" s="1"/>
  <c r="G11348" i="2" s="1"/>
  <c r="D11260" i="2"/>
  <c r="E11260" i="2" s="1"/>
  <c r="G11260" i="2" s="1"/>
  <c r="D10864" i="2"/>
  <c r="E10864" i="2" s="1"/>
  <c r="G10864" i="2" s="1"/>
  <c r="D11172" i="2"/>
  <c r="E11172" i="2" s="1"/>
  <c r="G11172" i="2" s="1"/>
  <c r="D10996" i="2"/>
  <c r="E10996" i="2" s="1"/>
  <c r="G10996" i="2" s="1"/>
  <c r="D11304" i="2"/>
  <c r="E11304" i="2" s="1"/>
  <c r="G11304" i="2" s="1"/>
  <c r="D10952" i="2"/>
  <c r="E10952" i="2" s="1"/>
  <c r="G10952" i="2" s="1"/>
  <c r="D10468" i="2"/>
  <c r="E10468" i="2" s="1"/>
  <c r="G10468" i="2" s="1"/>
  <c r="D11480" i="2"/>
  <c r="E11480" i="2" s="1"/>
  <c r="G11480" i="2" s="1"/>
  <c r="D10512" i="2"/>
  <c r="E10512" i="2" s="1"/>
  <c r="G10512" i="2" s="1"/>
  <c r="D10423" i="2"/>
  <c r="E10423" i="2" s="1"/>
  <c r="G10423" i="2" s="1"/>
  <c r="D10379" i="2"/>
  <c r="E10379" i="2" s="1"/>
  <c r="G10379" i="2" s="1"/>
  <c r="D10424" i="2"/>
  <c r="E10424" i="2" s="1"/>
  <c r="G10424" i="2" s="1"/>
  <c r="D10380" i="2"/>
  <c r="E10380" i="2" s="1"/>
  <c r="G10380" i="2" s="1"/>
  <c r="D10291" i="2"/>
  <c r="E10291" i="2" s="1"/>
  <c r="G10291" i="2" s="1"/>
  <c r="D10335" i="2"/>
  <c r="E10335" i="2" s="1"/>
  <c r="G10335" i="2" s="1"/>
  <c r="D10292" i="2"/>
  <c r="E10292" i="2" s="1"/>
  <c r="G10292" i="2" s="1"/>
  <c r="D10336" i="2"/>
  <c r="E10336" i="2" s="1"/>
  <c r="G10336" i="2" s="1"/>
  <c r="D9983" i="2"/>
  <c r="E9983" i="2" s="1"/>
  <c r="G9983" i="2" s="1"/>
  <c r="D10071" i="2"/>
  <c r="E10071" i="2" s="1"/>
  <c r="G10071" i="2" s="1"/>
  <c r="D10027" i="2"/>
  <c r="E10027" i="2" s="1"/>
  <c r="G10027" i="2" s="1"/>
  <c r="D10247" i="2"/>
  <c r="E10247" i="2" s="1"/>
  <c r="G10247" i="2" s="1"/>
  <c r="D10203" i="2"/>
  <c r="E10203" i="2" s="1"/>
  <c r="G10203" i="2" s="1"/>
  <c r="D10115" i="2"/>
  <c r="E10115" i="2" s="1"/>
  <c r="G10115" i="2" s="1"/>
  <c r="D10159" i="2"/>
  <c r="E10159" i="2" s="1"/>
  <c r="G10159" i="2" s="1"/>
  <c r="D10072" i="2"/>
  <c r="E10072" i="2" s="1"/>
  <c r="G10072" i="2" s="1"/>
  <c r="D10116" i="2"/>
  <c r="E10116" i="2" s="1"/>
  <c r="G10116" i="2" s="1"/>
  <c r="D10028" i="2"/>
  <c r="E10028" i="2" s="1"/>
  <c r="G10028" i="2" s="1"/>
  <c r="D10204" i="2"/>
  <c r="E10204" i="2" s="1"/>
  <c r="G10204" i="2" s="1"/>
  <c r="D10248" i="2"/>
  <c r="E10248" i="2" s="1"/>
  <c r="G10248" i="2" s="1"/>
  <c r="D10160" i="2"/>
  <c r="E10160" i="2" s="1"/>
  <c r="G10160" i="2" s="1"/>
  <c r="D9984" i="2"/>
  <c r="E9984" i="2" s="1"/>
  <c r="G9984" i="2" s="1"/>
  <c r="D9895" i="2"/>
  <c r="E9895" i="2" s="1"/>
  <c r="G9895" i="2" s="1"/>
  <c r="D9939" i="2"/>
  <c r="E9939" i="2" s="1"/>
  <c r="G9939" i="2" s="1"/>
  <c r="D9807" i="2"/>
  <c r="E9807" i="2" s="1"/>
  <c r="G9807" i="2" s="1"/>
  <c r="D9851" i="2"/>
  <c r="E9851" i="2" s="1"/>
  <c r="G9851" i="2" s="1"/>
  <c r="D9675" i="2"/>
  <c r="E9675" i="2" s="1"/>
  <c r="G9675" i="2" s="1"/>
  <c r="D9455" i="2"/>
  <c r="E9455" i="2" s="1"/>
  <c r="G9455" i="2" s="1"/>
  <c r="D9763" i="2"/>
  <c r="E9763" i="2" s="1"/>
  <c r="G9763" i="2" s="1"/>
  <c r="D9719" i="2"/>
  <c r="E9719" i="2" s="1"/>
  <c r="G9719" i="2" s="1"/>
  <c r="D9587" i="2"/>
  <c r="E9587" i="2" s="1"/>
  <c r="G9587" i="2" s="1"/>
  <c r="D9499" i="2"/>
  <c r="E9499" i="2" s="1"/>
  <c r="G9499" i="2" s="1"/>
  <c r="D9543" i="2"/>
  <c r="E9543" i="2" s="1"/>
  <c r="G9543" i="2" s="1"/>
  <c r="D9631" i="2"/>
  <c r="E9631" i="2" s="1"/>
  <c r="G9631" i="2" s="1"/>
  <c r="D9940" i="2"/>
  <c r="E9940" i="2" s="1"/>
  <c r="G9940" i="2" s="1"/>
  <c r="D9852" i="2"/>
  <c r="E9852" i="2" s="1"/>
  <c r="G9852" i="2" s="1"/>
  <c r="D9896" i="2"/>
  <c r="E9896" i="2" s="1"/>
  <c r="G9896" i="2" s="1"/>
  <c r="D9808" i="2"/>
  <c r="E9808" i="2" s="1"/>
  <c r="G9808" i="2" s="1"/>
  <c r="D9456" i="2"/>
  <c r="E9456" i="2" s="1"/>
  <c r="G9456" i="2" s="1"/>
  <c r="D9764" i="2"/>
  <c r="E9764" i="2" s="1"/>
  <c r="G9764" i="2" s="1"/>
  <c r="D9720" i="2"/>
  <c r="E9720" i="2" s="1"/>
  <c r="G9720" i="2" s="1"/>
  <c r="D9588" i="2"/>
  <c r="E9588" i="2" s="1"/>
  <c r="G9588" i="2" s="1"/>
  <c r="D9500" i="2"/>
  <c r="E9500" i="2" s="1"/>
  <c r="G9500" i="2" s="1"/>
  <c r="D9544" i="2"/>
  <c r="E9544" i="2" s="1"/>
  <c r="G9544" i="2" s="1"/>
  <c r="D9632" i="2"/>
  <c r="E9632" i="2" s="1"/>
  <c r="G9632" i="2" s="1"/>
  <c r="D9676" i="2"/>
  <c r="E9676" i="2" s="1"/>
  <c r="G9676" i="2" s="1"/>
  <c r="D9279" i="2"/>
  <c r="E9279" i="2" s="1"/>
  <c r="G9279" i="2" s="1"/>
  <c r="D9103" i="2"/>
  <c r="E9103" i="2" s="1"/>
  <c r="G9103" i="2" s="1"/>
  <c r="D9235" i="2"/>
  <c r="E9235" i="2" s="1"/>
  <c r="G9235" i="2" s="1"/>
  <c r="D9147" i="2"/>
  <c r="E9147" i="2" s="1"/>
  <c r="G9147" i="2" s="1"/>
  <c r="D9411" i="2"/>
  <c r="E9411" i="2" s="1"/>
  <c r="G9411" i="2" s="1"/>
  <c r="D9367" i="2"/>
  <c r="E9367" i="2" s="1"/>
  <c r="G9367" i="2" s="1"/>
  <c r="D9191" i="2"/>
  <c r="E9191" i="2" s="1"/>
  <c r="G9191" i="2" s="1"/>
  <c r="D9323" i="2"/>
  <c r="E9323" i="2" s="1"/>
  <c r="G9323" i="2" s="1"/>
  <c r="D9236" i="2"/>
  <c r="E9236" i="2" s="1"/>
  <c r="G9236" i="2" s="1"/>
  <c r="D9148" i="2"/>
  <c r="E9148" i="2" s="1"/>
  <c r="G9148" i="2" s="1"/>
  <c r="D9412" i="2"/>
  <c r="E9412" i="2" s="1"/>
  <c r="G9412" i="2" s="1"/>
  <c r="D9280" i="2"/>
  <c r="E9280" i="2" s="1"/>
  <c r="G9280" i="2" s="1"/>
  <c r="D9324" i="2"/>
  <c r="E9324" i="2" s="1"/>
  <c r="G9324" i="2" s="1"/>
  <c r="D9104" i="2"/>
  <c r="E9104" i="2" s="1"/>
  <c r="G9104" i="2" s="1"/>
  <c r="D9368" i="2"/>
  <c r="E9368" i="2" s="1"/>
  <c r="G9368" i="2" s="1"/>
  <c r="D9192" i="2"/>
  <c r="E9192" i="2" s="1"/>
  <c r="G9192" i="2" s="1"/>
  <c r="D9015" i="2"/>
  <c r="E9015" i="2" s="1"/>
  <c r="G9015" i="2" s="1"/>
  <c r="D9059" i="2"/>
  <c r="E9059" i="2" s="1"/>
  <c r="G9059" i="2" s="1"/>
  <c r="D9016" i="2"/>
  <c r="E9016" i="2" s="1"/>
  <c r="G9016" i="2" s="1"/>
  <c r="D9060" i="2"/>
  <c r="E9060" i="2" s="1"/>
  <c r="G9060" i="2" s="1"/>
  <c r="D8972" i="2"/>
  <c r="E8972" i="2" s="1"/>
  <c r="G8972" i="2" s="1"/>
  <c r="D8884" i="2"/>
  <c r="E8884" i="2" s="1"/>
  <c r="G8884" i="2" s="1"/>
  <c r="D8928" i="2"/>
  <c r="E8928" i="2" s="1"/>
  <c r="G8928" i="2" s="1"/>
  <c r="D8796" i="2"/>
  <c r="E8796" i="2" s="1"/>
  <c r="G8796" i="2" s="1"/>
  <c r="D8620" i="2"/>
  <c r="E8620" i="2" s="1"/>
  <c r="G8620" i="2" s="1"/>
  <c r="D8752" i="2"/>
  <c r="E8752" i="2" s="1"/>
  <c r="G8752" i="2" s="1"/>
  <c r="D8708" i="2"/>
  <c r="E8708" i="2" s="1"/>
  <c r="G8708" i="2" s="1"/>
  <c r="D8532" i="2"/>
  <c r="E8532" i="2" s="1"/>
  <c r="G8532" i="2" s="1"/>
  <c r="D8488" i="2"/>
  <c r="E8488" i="2" s="1"/>
  <c r="G8488" i="2" s="1"/>
  <c r="D8840" i="2"/>
  <c r="E8840" i="2" s="1"/>
  <c r="G8840" i="2" s="1"/>
  <c r="D8664" i="2"/>
  <c r="E8664" i="2" s="1"/>
  <c r="G8664" i="2" s="1"/>
  <c r="D8576" i="2"/>
  <c r="E8576" i="2" s="1"/>
  <c r="G8576" i="2" s="1"/>
  <c r="D8663" i="2"/>
  <c r="E8663" i="2" s="1"/>
  <c r="G8663" i="2" s="1"/>
  <c r="D8839" i="2"/>
  <c r="E8839" i="2" s="1"/>
  <c r="G8839" i="2" s="1"/>
  <c r="D8971" i="2"/>
  <c r="E8971" i="2" s="1"/>
  <c r="G8971" i="2" s="1"/>
  <c r="D8927" i="2"/>
  <c r="E8927" i="2" s="1"/>
  <c r="G8927" i="2" s="1"/>
  <c r="D8883" i="2"/>
  <c r="E8883" i="2" s="1"/>
  <c r="G8883" i="2" s="1"/>
  <c r="D8795" i="2"/>
  <c r="E8795" i="2" s="1"/>
  <c r="G8795" i="2" s="1"/>
  <c r="D8751" i="2"/>
  <c r="E8751" i="2" s="1"/>
  <c r="G8751" i="2" s="1"/>
  <c r="D8707" i="2"/>
  <c r="E8707" i="2" s="1"/>
  <c r="G8707" i="2" s="1"/>
  <c r="G8710" i="2" s="1"/>
  <c r="G8712" i="2" s="1"/>
  <c r="D8619" i="2"/>
  <c r="E8619" i="2" s="1"/>
  <c r="G8619" i="2" s="1"/>
  <c r="G8622" i="2" s="1"/>
  <c r="G8624" i="2" s="1"/>
  <c r="D8531" i="2"/>
  <c r="E8531" i="2" s="1"/>
  <c r="G8531" i="2" s="1"/>
  <c r="D8487" i="2"/>
  <c r="E8487" i="2" s="1"/>
  <c r="G8487" i="2" s="1"/>
  <c r="D8575" i="2"/>
  <c r="E8575" i="2" s="1"/>
  <c r="G8575" i="2" s="1"/>
  <c r="D7827" i="2"/>
  <c r="E7827" i="2" s="1"/>
  <c r="G7827" i="2" s="1"/>
  <c r="D7563" i="2"/>
  <c r="E7563" i="2" s="1"/>
  <c r="G7563" i="2" s="1"/>
  <c r="D8091" i="2"/>
  <c r="E8091" i="2" s="1"/>
  <c r="G8091" i="2" s="1"/>
  <c r="D7695" i="2"/>
  <c r="E7695" i="2" s="1"/>
  <c r="G7695" i="2" s="1"/>
  <c r="D8179" i="2"/>
  <c r="E8179" i="2" s="1"/>
  <c r="G8179" i="2" s="1"/>
  <c r="D8443" i="2"/>
  <c r="E8443" i="2" s="1"/>
  <c r="G8443" i="2" s="1"/>
  <c r="D8399" i="2"/>
  <c r="E8399" i="2" s="1"/>
  <c r="G8399" i="2" s="1"/>
  <c r="D8135" i="2"/>
  <c r="E8135" i="2" s="1"/>
  <c r="G8135" i="2" s="1"/>
  <c r="D8047" i="2"/>
  <c r="E8047" i="2" s="1"/>
  <c r="G8047" i="2" s="1"/>
  <c r="D8003" i="2"/>
  <c r="E8003" i="2" s="1"/>
  <c r="G8003" i="2" s="1"/>
  <c r="D7651" i="2"/>
  <c r="E7651" i="2" s="1"/>
  <c r="G7651" i="2" s="1"/>
  <c r="D7519" i="2"/>
  <c r="E7519" i="2" s="1"/>
  <c r="G7519" i="2" s="1"/>
  <c r="D8355" i="2"/>
  <c r="E8355" i="2" s="1"/>
  <c r="G8355" i="2" s="1"/>
  <c r="D8311" i="2"/>
  <c r="E8311" i="2" s="1"/>
  <c r="G8311" i="2" s="1"/>
  <c r="D8267" i="2"/>
  <c r="E8267" i="2" s="1"/>
  <c r="G8267" i="2" s="1"/>
  <c r="D7959" i="2"/>
  <c r="E7959" i="2" s="1"/>
  <c r="G7959" i="2" s="1"/>
  <c r="D7607" i="2"/>
  <c r="E7607" i="2" s="1"/>
  <c r="G7607" i="2" s="1"/>
  <c r="D7343" i="2"/>
  <c r="E7343" i="2" s="1"/>
  <c r="G7343" i="2" s="1"/>
  <c r="D7299" i="2"/>
  <c r="E7299" i="2" s="1"/>
  <c r="G7299" i="2" s="1"/>
  <c r="D8223" i="2"/>
  <c r="E8223" i="2" s="1"/>
  <c r="G8223" i="2" s="1"/>
  <c r="D7871" i="2"/>
  <c r="E7871" i="2" s="1"/>
  <c r="G7871" i="2" s="1"/>
  <c r="D7783" i="2"/>
  <c r="E7783" i="2" s="1"/>
  <c r="G7783" i="2" s="1"/>
  <c r="D7387" i="2"/>
  <c r="E7387" i="2" s="1"/>
  <c r="G7387" i="2" s="1"/>
  <c r="D7915" i="2"/>
  <c r="E7915" i="2" s="1"/>
  <c r="G7915" i="2" s="1"/>
  <c r="D7739" i="2"/>
  <c r="E7739" i="2" s="1"/>
  <c r="G7739" i="2" s="1"/>
  <c r="D7475" i="2"/>
  <c r="E7475" i="2" s="1"/>
  <c r="G7475" i="2" s="1"/>
  <c r="D7431" i="2"/>
  <c r="E7431" i="2" s="1"/>
  <c r="G7431" i="2" s="1"/>
  <c r="D8400" i="2"/>
  <c r="E8400" i="2" s="1"/>
  <c r="G8400" i="2" s="1"/>
  <c r="D8444" i="2"/>
  <c r="E8444" i="2" s="1"/>
  <c r="G8444" i="2" s="1"/>
  <c r="D7696" i="2"/>
  <c r="E7696" i="2" s="1"/>
  <c r="G7696" i="2" s="1"/>
  <c r="D7520" i="2"/>
  <c r="E7520" i="2" s="1"/>
  <c r="G7520" i="2" s="1"/>
  <c r="D8268" i="2"/>
  <c r="E8268" i="2" s="1"/>
  <c r="G8268" i="2" s="1"/>
  <c r="D8136" i="2"/>
  <c r="E8136" i="2" s="1"/>
  <c r="G8136" i="2" s="1"/>
  <c r="D8048" i="2"/>
  <c r="E8048" i="2" s="1"/>
  <c r="G8048" i="2" s="1"/>
  <c r="D8004" i="2"/>
  <c r="E8004" i="2" s="1"/>
  <c r="G8004" i="2" s="1"/>
  <c r="D7652" i="2"/>
  <c r="E7652" i="2" s="1"/>
  <c r="G7652" i="2" s="1"/>
  <c r="D7916" i="2"/>
  <c r="E7916" i="2" s="1"/>
  <c r="G7916" i="2" s="1"/>
  <c r="D8356" i="2"/>
  <c r="E8356" i="2" s="1"/>
  <c r="G8356" i="2" s="1"/>
  <c r="D8312" i="2"/>
  <c r="E8312" i="2" s="1"/>
  <c r="G8312" i="2" s="1"/>
  <c r="D7960" i="2"/>
  <c r="E7960" i="2" s="1"/>
  <c r="G7960" i="2" s="1"/>
  <c r="D7300" i="2"/>
  <c r="E7300" i="2" s="1"/>
  <c r="G7300" i="2" s="1"/>
  <c r="D8224" i="2"/>
  <c r="E8224" i="2" s="1"/>
  <c r="G8224" i="2" s="1"/>
  <c r="D7784" i="2"/>
  <c r="E7784" i="2" s="1"/>
  <c r="G7784" i="2" s="1"/>
  <c r="D7608" i="2"/>
  <c r="E7608" i="2" s="1"/>
  <c r="G7608" i="2" s="1"/>
  <c r="D7344" i="2"/>
  <c r="E7344" i="2" s="1"/>
  <c r="G7344" i="2" s="1"/>
  <c r="D7740" i="2"/>
  <c r="E7740" i="2" s="1"/>
  <c r="G7740" i="2" s="1"/>
  <c r="D8180" i="2"/>
  <c r="E8180" i="2" s="1"/>
  <c r="G8180" i="2" s="1"/>
  <c r="D7872" i="2"/>
  <c r="E7872" i="2" s="1"/>
  <c r="G7872" i="2" s="1"/>
  <c r="D7476" i="2"/>
  <c r="E7476" i="2" s="1"/>
  <c r="G7476" i="2" s="1"/>
  <c r="D7388" i="2"/>
  <c r="E7388" i="2" s="1"/>
  <c r="G7388" i="2" s="1"/>
  <c r="D8092" i="2"/>
  <c r="E8092" i="2" s="1"/>
  <c r="G8092" i="2" s="1"/>
  <c r="D7828" i="2"/>
  <c r="E7828" i="2" s="1"/>
  <c r="G7828" i="2" s="1"/>
  <c r="D7564" i="2"/>
  <c r="E7564" i="2" s="1"/>
  <c r="G7564" i="2" s="1"/>
  <c r="D7432" i="2"/>
  <c r="E7432" i="2" s="1"/>
  <c r="G7432" i="2" s="1"/>
  <c r="D7079" i="2"/>
  <c r="E7079" i="2" s="1"/>
  <c r="G7079" i="2" s="1"/>
  <c r="D7255" i="2"/>
  <c r="E7255" i="2" s="1"/>
  <c r="G7255" i="2" s="1"/>
  <c r="D7123" i="2"/>
  <c r="E7123" i="2" s="1"/>
  <c r="G7123" i="2" s="1"/>
  <c r="D7167" i="2"/>
  <c r="E7167" i="2" s="1"/>
  <c r="G7167" i="2" s="1"/>
  <c r="D7211" i="2"/>
  <c r="E7211" i="2" s="1"/>
  <c r="G7211" i="2" s="1"/>
  <c r="D7168" i="2"/>
  <c r="E7168" i="2" s="1"/>
  <c r="G7168" i="2" s="1"/>
  <c r="D7124" i="2"/>
  <c r="E7124" i="2" s="1"/>
  <c r="G7124" i="2" s="1"/>
  <c r="D7212" i="2"/>
  <c r="E7212" i="2" s="1"/>
  <c r="G7212" i="2" s="1"/>
  <c r="D7080" i="2"/>
  <c r="E7080" i="2" s="1"/>
  <c r="G7080" i="2" s="1"/>
  <c r="D7256" i="2"/>
  <c r="E7256" i="2" s="1"/>
  <c r="G7256" i="2" s="1"/>
  <c r="D7036" i="2"/>
  <c r="E7036" i="2" s="1"/>
  <c r="G7036" i="2" s="1"/>
  <c r="D6992" i="2"/>
  <c r="E6992" i="2" s="1"/>
  <c r="G6992" i="2" s="1"/>
  <c r="D7035" i="2"/>
  <c r="E7035" i="2" s="1"/>
  <c r="G7035" i="2" s="1"/>
  <c r="D6991" i="2"/>
  <c r="E6991" i="2" s="1"/>
  <c r="G6991" i="2" s="1"/>
  <c r="D6903" i="2"/>
  <c r="E6903" i="2" s="1"/>
  <c r="G6903" i="2" s="1"/>
  <c r="D6771" i="2"/>
  <c r="E6771" i="2" s="1"/>
  <c r="G6771" i="2" s="1"/>
  <c r="D6947" i="2"/>
  <c r="E6947" i="2" s="1"/>
  <c r="G6947" i="2" s="1"/>
  <c r="D6683" i="2"/>
  <c r="E6683" i="2" s="1"/>
  <c r="G6683" i="2" s="1"/>
  <c r="D6551" i="2"/>
  <c r="E6551" i="2" s="1"/>
  <c r="G6551" i="2" s="1"/>
  <c r="D6595" i="2"/>
  <c r="E6595" i="2" s="1"/>
  <c r="G6595" i="2" s="1"/>
  <c r="D6859" i="2"/>
  <c r="E6859" i="2" s="1"/>
  <c r="G6859" i="2" s="1"/>
  <c r="D6639" i="2"/>
  <c r="E6639" i="2" s="1"/>
  <c r="G6639" i="2" s="1"/>
  <c r="D6815" i="2"/>
  <c r="E6815" i="2" s="1"/>
  <c r="G6815" i="2" s="1"/>
  <c r="D6727" i="2"/>
  <c r="E6727" i="2" s="1"/>
  <c r="G6727" i="2" s="1"/>
  <c r="D6904" i="2"/>
  <c r="E6904" i="2" s="1"/>
  <c r="G6904" i="2" s="1"/>
  <c r="D6772" i="2"/>
  <c r="E6772" i="2" s="1"/>
  <c r="G6772" i="2" s="1"/>
  <c r="D6552" i="2"/>
  <c r="E6552" i="2" s="1"/>
  <c r="G6552" i="2" s="1"/>
  <c r="D6596" i="2"/>
  <c r="E6596" i="2" s="1"/>
  <c r="G6596" i="2" s="1"/>
  <c r="D6948" i="2"/>
  <c r="E6948" i="2" s="1"/>
  <c r="G6948" i="2" s="1"/>
  <c r="D6684" i="2"/>
  <c r="E6684" i="2" s="1"/>
  <c r="G6684" i="2" s="1"/>
  <c r="D6860" i="2"/>
  <c r="E6860" i="2" s="1"/>
  <c r="G6860" i="2" s="1"/>
  <c r="D6816" i="2"/>
  <c r="E6816" i="2" s="1"/>
  <c r="G6816" i="2" s="1"/>
  <c r="D6640" i="2"/>
  <c r="E6640" i="2" s="1"/>
  <c r="G6640" i="2" s="1"/>
  <c r="D6728" i="2"/>
  <c r="E6728" i="2" s="1"/>
  <c r="G6728" i="2" s="1"/>
  <c r="D6463" i="2"/>
  <c r="E6463" i="2" s="1"/>
  <c r="G6463" i="2" s="1"/>
  <c r="D787" i="2"/>
  <c r="E787" i="2" s="1"/>
  <c r="G787" i="2" s="1"/>
  <c r="D6507" i="2"/>
  <c r="E6507" i="2" s="1"/>
  <c r="G6507" i="2" s="1"/>
  <c r="D171" i="2"/>
  <c r="E171" i="2" s="1"/>
  <c r="G171" i="2" s="1"/>
  <c r="D215" i="2"/>
  <c r="E215" i="2" s="1"/>
  <c r="G215" i="2" s="1"/>
  <c r="D6419" i="2"/>
  <c r="E6419" i="2" s="1"/>
  <c r="G6419" i="2" s="1"/>
  <c r="D6375" i="2"/>
  <c r="E6375" i="2" s="1"/>
  <c r="G6375" i="2" s="1"/>
  <c r="D788" i="2"/>
  <c r="E788" i="2" s="1"/>
  <c r="G788" i="2" s="1"/>
  <c r="D6508" i="2"/>
  <c r="E6508" i="2" s="1"/>
  <c r="G6508" i="2" s="1"/>
  <c r="D216" i="2"/>
  <c r="E216" i="2" s="1"/>
  <c r="G216" i="2" s="1"/>
  <c r="D6376" i="2"/>
  <c r="E6376" i="2" s="1"/>
  <c r="G6376" i="2" s="1"/>
  <c r="D6464" i="2"/>
  <c r="E6464" i="2" s="1"/>
  <c r="G6464" i="2" s="1"/>
  <c r="D6420" i="2"/>
  <c r="E6420" i="2" s="1"/>
  <c r="G6420" i="2" s="1"/>
  <c r="D172" i="2"/>
  <c r="E172" i="2" s="1"/>
  <c r="G172" i="2" s="1"/>
  <c r="D6287" i="2"/>
  <c r="E6287" i="2" s="1"/>
  <c r="G6287" i="2" s="1"/>
  <c r="D6155" i="2"/>
  <c r="E6155" i="2" s="1"/>
  <c r="G6155" i="2" s="1"/>
  <c r="D5935" i="2"/>
  <c r="E5935" i="2" s="1"/>
  <c r="G5935" i="2" s="1"/>
  <c r="D6243" i="2"/>
  <c r="E6243" i="2" s="1"/>
  <c r="G6243" i="2" s="1"/>
  <c r="D5979" i="2"/>
  <c r="E5979" i="2" s="1"/>
  <c r="G5979" i="2" s="1"/>
  <c r="D6023" i="2"/>
  <c r="E6023" i="2" s="1"/>
  <c r="G6023" i="2" s="1"/>
  <c r="D6331" i="2"/>
  <c r="E6331" i="2" s="1"/>
  <c r="G6331" i="2" s="1"/>
  <c r="D6067" i="2"/>
  <c r="E6067" i="2" s="1"/>
  <c r="G6067" i="2" s="1"/>
  <c r="D6111" i="2"/>
  <c r="E6111" i="2" s="1"/>
  <c r="G6111" i="2" s="1"/>
  <c r="D6288" i="2"/>
  <c r="E6288" i="2" s="1"/>
  <c r="G6288" i="2" s="1"/>
  <c r="D6332" i="2"/>
  <c r="E6332" i="2" s="1"/>
  <c r="G6332" i="2" s="1"/>
  <c r="D6244" i="2"/>
  <c r="E6244" i="2" s="1"/>
  <c r="G6244" i="2" s="1"/>
  <c r="D5980" i="2"/>
  <c r="E5980" i="2" s="1"/>
  <c r="G5980" i="2" s="1"/>
  <c r="D6024" i="2"/>
  <c r="E6024" i="2" s="1"/>
  <c r="G6024" i="2" s="1"/>
  <c r="D6068" i="2"/>
  <c r="E6068" i="2" s="1"/>
  <c r="G6068" i="2" s="1"/>
  <c r="D6156" i="2"/>
  <c r="E6156" i="2" s="1"/>
  <c r="G6156" i="2" s="1"/>
  <c r="D6112" i="2"/>
  <c r="E6112" i="2" s="1"/>
  <c r="G6112" i="2" s="1"/>
  <c r="D5936" i="2"/>
  <c r="E5936" i="2" s="1"/>
  <c r="G5936" i="2" s="1"/>
  <c r="D5892" i="2"/>
  <c r="E5892" i="2" s="1"/>
  <c r="G5892" i="2" s="1"/>
  <c r="D5848" i="2"/>
  <c r="E5848" i="2" s="1"/>
  <c r="G5848" i="2" s="1"/>
  <c r="D5847" i="2"/>
  <c r="E5847" i="2" s="1"/>
  <c r="G5847" i="2" s="1"/>
  <c r="D5891" i="2"/>
  <c r="E5891" i="2" s="1"/>
  <c r="G5891" i="2" s="1"/>
  <c r="D5759" i="2"/>
  <c r="E5759" i="2" s="1"/>
  <c r="G5759" i="2" s="1"/>
  <c r="D5627" i="2"/>
  <c r="E5627" i="2" s="1"/>
  <c r="G5627" i="2" s="1"/>
  <c r="D5451" i="2"/>
  <c r="E5451" i="2" s="1"/>
  <c r="G5451" i="2" s="1"/>
  <c r="D5715" i="2"/>
  <c r="E5715" i="2" s="1"/>
  <c r="G5715" i="2" s="1"/>
  <c r="D5407" i="2"/>
  <c r="E5407" i="2" s="1"/>
  <c r="G5407" i="2" s="1"/>
  <c r="D5319" i="2"/>
  <c r="E5319" i="2" s="1"/>
  <c r="G5319" i="2" s="1"/>
  <c r="D5803" i="2"/>
  <c r="E5803" i="2" s="1"/>
  <c r="G5803" i="2" s="1"/>
  <c r="D5671" i="2"/>
  <c r="E5671" i="2" s="1"/>
  <c r="G5671" i="2" s="1"/>
  <c r="D5495" i="2"/>
  <c r="E5495" i="2" s="1"/>
  <c r="G5495" i="2" s="1"/>
  <c r="D5583" i="2"/>
  <c r="E5583" i="2" s="1"/>
  <c r="G5583" i="2" s="1"/>
  <c r="D5539" i="2"/>
  <c r="E5539" i="2" s="1"/>
  <c r="G5539" i="2" s="1"/>
  <c r="D5363" i="2"/>
  <c r="E5363" i="2" s="1"/>
  <c r="G5363" i="2" s="1"/>
  <c r="D5496" i="2"/>
  <c r="E5496" i="2" s="1"/>
  <c r="G5496" i="2" s="1"/>
  <c r="D5320" i="2"/>
  <c r="E5320" i="2" s="1"/>
  <c r="G5320" i="2" s="1"/>
  <c r="D5408" i="2"/>
  <c r="E5408" i="2" s="1"/>
  <c r="G5408" i="2" s="1"/>
  <c r="D5452" i="2"/>
  <c r="E5452" i="2" s="1"/>
  <c r="G5452" i="2" s="1"/>
  <c r="D5628" i="2"/>
  <c r="E5628" i="2" s="1"/>
  <c r="G5628" i="2" s="1"/>
  <c r="D5804" i="2"/>
  <c r="E5804" i="2" s="1"/>
  <c r="G5804" i="2" s="1"/>
  <c r="D5672" i="2"/>
  <c r="E5672" i="2" s="1"/>
  <c r="G5672" i="2" s="1"/>
  <c r="D5584" i="2"/>
  <c r="E5584" i="2" s="1"/>
  <c r="G5584" i="2" s="1"/>
  <c r="D5716" i="2"/>
  <c r="E5716" i="2" s="1"/>
  <c r="G5716" i="2" s="1"/>
  <c r="D5364" i="2"/>
  <c r="E5364" i="2" s="1"/>
  <c r="G5364" i="2" s="1"/>
  <c r="D5540" i="2"/>
  <c r="E5540" i="2" s="1"/>
  <c r="G5540" i="2" s="1"/>
  <c r="D5760" i="2"/>
  <c r="E5760" i="2" s="1"/>
  <c r="G5760" i="2" s="1"/>
  <c r="D4879" i="2"/>
  <c r="E4879" i="2" s="1"/>
  <c r="G4879" i="2" s="1"/>
  <c r="D4571" i="2"/>
  <c r="E4571" i="2" s="1"/>
  <c r="G4571" i="2" s="1"/>
  <c r="D4439" i="2"/>
  <c r="E4439" i="2" s="1"/>
  <c r="G4439" i="2" s="1"/>
  <c r="D4175" i="2"/>
  <c r="E4175" i="2" s="1"/>
  <c r="G4175" i="2" s="1"/>
  <c r="D4791" i="2"/>
  <c r="E4791" i="2" s="1"/>
  <c r="G4791" i="2" s="1"/>
  <c r="D4483" i="2"/>
  <c r="E4483" i="2" s="1"/>
  <c r="G4483" i="2" s="1"/>
  <c r="D4395" i="2"/>
  <c r="E4395" i="2" s="1"/>
  <c r="G4395" i="2" s="1"/>
  <c r="D4131" i="2"/>
  <c r="E4131" i="2" s="1"/>
  <c r="G4131" i="2" s="1"/>
  <c r="D4087" i="2"/>
  <c r="E4087" i="2" s="1"/>
  <c r="G4087" i="2" s="1"/>
  <c r="D5275" i="2"/>
  <c r="E5275" i="2" s="1"/>
  <c r="G5275" i="2" s="1"/>
  <c r="D5099" i="2"/>
  <c r="E5099" i="2" s="1"/>
  <c r="G5099" i="2" s="1"/>
  <c r="D5011" i="2"/>
  <c r="E5011" i="2" s="1"/>
  <c r="G5011" i="2" s="1"/>
  <c r="D4747" i="2"/>
  <c r="E4747" i="2" s="1"/>
  <c r="G4747" i="2" s="1"/>
  <c r="D4351" i="2"/>
  <c r="E4351" i="2" s="1"/>
  <c r="G4351" i="2" s="1"/>
  <c r="D4263" i="2"/>
  <c r="E4263" i="2" s="1"/>
  <c r="G4263" i="2" s="1"/>
  <c r="D4219" i="2"/>
  <c r="E4219" i="2" s="1"/>
  <c r="G4219" i="2" s="1"/>
  <c r="D4967" i="2"/>
  <c r="E4967" i="2" s="1"/>
  <c r="G4967" i="2" s="1"/>
  <c r="D4923" i="2"/>
  <c r="E4923" i="2" s="1"/>
  <c r="G4923" i="2" s="1"/>
  <c r="D5055" i="2"/>
  <c r="E5055" i="2" s="1"/>
  <c r="G5055" i="2" s="1"/>
  <c r="D4307" i="2"/>
  <c r="E4307" i="2" s="1"/>
  <c r="G4307" i="2" s="1"/>
  <c r="D5231" i="2"/>
  <c r="E5231" i="2" s="1"/>
  <c r="G5231" i="2" s="1"/>
  <c r="D5187" i="2"/>
  <c r="E5187" i="2" s="1"/>
  <c r="G5187" i="2" s="1"/>
  <c r="D5143" i="2"/>
  <c r="E5143" i="2" s="1"/>
  <c r="G5143" i="2" s="1"/>
  <c r="D4615" i="2"/>
  <c r="E4615" i="2" s="1"/>
  <c r="G4615" i="2" s="1"/>
  <c r="D4527" i="2"/>
  <c r="E4527" i="2" s="1"/>
  <c r="G4527" i="2" s="1"/>
  <c r="D4835" i="2"/>
  <c r="E4835" i="2" s="1"/>
  <c r="G4835" i="2" s="1"/>
  <c r="D4659" i="2"/>
  <c r="E4659" i="2" s="1"/>
  <c r="G4659" i="2" s="1"/>
  <c r="D4703" i="2"/>
  <c r="E4703" i="2" s="1"/>
  <c r="G4703" i="2" s="1"/>
  <c r="D5100" i="2"/>
  <c r="E5100" i="2" s="1"/>
  <c r="G5100" i="2" s="1"/>
  <c r="D4484" i="2"/>
  <c r="E4484" i="2" s="1"/>
  <c r="G4484" i="2" s="1"/>
  <c r="D4396" i="2"/>
  <c r="E4396" i="2" s="1"/>
  <c r="G4396" i="2" s="1"/>
  <c r="D4132" i="2"/>
  <c r="E4132" i="2" s="1"/>
  <c r="G4132" i="2" s="1"/>
  <c r="D5276" i="2"/>
  <c r="E5276" i="2" s="1"/>
  <c r="G5276" i="2" s="1"/>
  <c r="D5012" i="2"/>
  <c r="E5012" i="2" s="1"/>
  <c r="G5012" i="2" s="1"/>
  <c r="D4748" i="2"/>
  <c r="E4748" i="2" s="1"/>
  <c r="G4748" i="2" s="1"/>
  <c r="D4352" i="2"/>
  <c r="E4352" i="2" s="1"/>
  <c r="G4352" i="2" s="1"/>
  <c r="D4308" i="2"/>
  <c r="E4308" i="2" s="1"/>
  <c r="G4308" i="2" s="1"/>
  <c r="D4264" i="2"/>
  <c r="E4264" i="2" s="1"/>
  <c r="G4264" i="2" s="1"/>
  <c r="D4220" i="2"/>
  <c r="E4220" i="2" s="1"/>
  <c r="G4220" i="2" s="1"/>
  <c r="D5232" i="2"/>
  <c r="E5232" i="2" s="1"/>
  <c r="G5232" i="2" s="1"/>
  <c r="D5056" i="2"/>
  <c r="E5056" i="2" s="1"/>
  <c r="G5056" i="2" s="1"/>
  <c r="D4836" i="2"/>
  <c r="E4836" i="2" s="1"/>
  <c r="G4836" i="2" s="1"/>
  <c r="D5144" i="2"/>
  <c r="E5144" i="2" s="1"/>
  <c r="G5144" i="2" s="1"/>
  <c r="D4660" i="2"/>
  <c r="E4660" i="2" s="1"/>
  <c r="G4660" i="2" s="1"/>
  <c r="D4924" i="2"/>
  <c r="E4924" i="2" s="1"/>
  <c r="G4924" i="2" s="1"/>
  <c r="D4704" i="2"/>
  <c r="E4704" i="2" s="1"/>
  <c r="G4704" i="2" s="1"/>
  <c r="D4088" i="2"/>
  <c r="E4088" i="2" s="1"/>
  <c r="G4088" i="2" s="1"/>
  <c r="D4528" i="2"/>
  <c r="E4528" i="2" s="1"/>
  <c r="G4528" i="2" s="1"/>
  <c r="D4968" i="2"/>
  <c r="E4968" i="2" s="1"/>
  <c r="G4968" i="2" s="1"/>
  <c r="D4880" i="2"/>
  <c r="E4880" i="2" s="1"/>
  <c r="G4880" i="2" s="1"/>
  <c r="D4572" i="2"/>
  <c r="E4572" i="2" s="1"/>
  <c r="G4572" i="2" s="1"/>
  <c r="D4440" i="2"/>
  <c r="E4440" i="2" s="1"/>
  <c r="G4440" i="2" s="1"/>
  <c r="D4176" i="2"/>
  <c r="E4176" i="2" s="1"/>
  <c r="G4176" i="2" s="1"/>
  <c r="D5188" i="2"/>
  <c r="E5188" i="2" s="1"/>
  <c r="G5188" i="2" s="1"/>
  <c r="D4792" i="2"/>
  <c r="E4792" i="2" s="1"/>
  <c r="G4792" i="2" s="1"/>
  <c r="D4616" i="2"/>
  <c r="E4616" i="2" s="1"/>
  <c r="G4616" i="2" s="1"/>
  <c r="A119" i="1"/>
  <c r="C4754" i="2"/>
  <c r="B4756" i="2" s="1"/>
  <c r="D3867" i="2"/>
  <c r="E3867" i="2" s="1"/>
  <c r="G3867" i="2" s="1"/>
  <c r="D4043" i="2"/>
  <c r="E4043" i="2" s="1"/>
  <c r="G4043" i="2" s="1"/>
  <c r="D3911" i="2"/>
  <c r="E3911" i="2" s="1"/>
  <c r="G3911" i="2" s="1"/>
  <c r="D3735" i="2"/>
  <c r="E3735" i="2" s="1"/>
  <c r="G3735" i="2" s="1"/>
  <c r="D3691" i="2"/>
  <c r="E3691" i="2" s="1"/>
  <c r="G3691" i="2" s="1"/>
  <c r="D3999" i="2"/>
  <c r="E3999" i="2" s="1"/>
  <c r="G3999" i="2" s="1"/>
  <c r="D3955" i="2"/>
  <c r="E3955" i="2" s="1"/>
  <c r="G3955" i="2" s="1"/>
  <c r="D3823" i="2"/>
  <c r="E3823" i="2" s="1"/>
  <c r="G3823" i="2" s="1"/>
  <c r="D3779" i="2"/>
  <c r="E3779" i="2" s="1"/>
  <c r="G3779" i="2" s="1"/>
  <c r="D3912" i="2"/>
  <c r="E3912" i="2" s="1"/>
  <c r="G3912" i="2" s="1"/>
  <c r="D3736" i="2"/>
  <c r="E3736" i="2" s="1"/>
  <c r="G3736" i="2" s="1"/>
  <c r="D3780" i="2"/>
  <c r="E3780" i="2" s="1"/>
  <c r="G3780" i="2" s="1"/>
  <c r="D4000" i="2"/>
  <c r="E4000" i="2" s="1"/>
  <c r="G4000" i="2" s="1"/>
  <c r="D3956" i="2"/>
  <c r="E3956" i="2" s="1"/>
  <c r="G3956" i="2" s="1"/>
  <c r="D3824" i="2"/>
  <c r="E3824" i="2" s="1"/>
  <c r="G3824" i="2" s="1"/>
  <c r="D3692" i="2"/>
  <c r="E3692" i="2" s="1"/>
  <c r="G3692" i="2" s="1"/>
  <c r="D4044" i="2"/>
  <c r="E4044" i="2" s="1"/>
  <c r="G4044" i="2" s="1"/>
  <c r="D3868" i="2"/>
  <c r="E3868" i="2" s="1"/>
  <c r="G3868" i="2" s="1"/>
  <c r="D2943" i="2"/>
  <c r="E2943" i="2" s="1"/>
  <c r="G2943" i="2" s="1"/>
  <c r="D2899" i="2"/>
  <c r="E2899" i="2" s="1"/>
  <c r="G2899" i="2" s="1"/>
  <c r="D919" i="2"/>
  <c r="E919" i="2" s="1"/>
  <c r="G919" i="2" s="1"/>
  <c r="D3471" i="2"/>
  <c r="E3471" i="2" s="1"/>
  <c r="G3471" i="2" s="1"/>
  <c r="D3383" i="2"/>
  <c r="E3383" i="2" s="1"/>
  <c r="G3383" i="2" s="1"/>
  <c r="D3295" i="2"/>
  <c r="E3295" i="2" s="1"/>
  <c r="G3295" i="2" s="1"/>
  <c r="D2987" i="2"/>
  <c r="E2987" i="2" s="1"/>
  <c r="G2987" i="2" s="1"/>
  <c r="D3515" i="2"/>
  <c r="E3515" i="2" s="1"/>
  <c r="G3515" i="2" s="1"/>
  <c r="D3339" i="2"/>
  <c r="E3339" i="2" s="1"/>
  <c r="G3339" i="2" s="1"/>
  <c r="D3207" i="2"/>
  <c r="E3207" i="2" s="1"/>
  <c r="G3207" i="2" s="1"/>
  <c r="D2855" i="2"/>
  <c r="E2855" i="2" s="1"/>
  <c r="G2855" i="2" s="1"/>
  <c r="D3163" i="2"/>
  <c r="E3163" i="2" s="1"/>
  <c r="G3163" i="2" s="1"/>
  <c r="D3559" i="2"/>
  <c r="E3559" i="2" s="1"/>
  <c r="G3559" i="2" s="1"/>
  <c r="D3427" i="2"/>
  <c r="E3427" i="2" s="1"/>
  <c r="G3427" i="2" s="1"/>
  <c r="D3075" i="2"/>
  <c r="E3075" i="2" s="1"/>
  <c r="G3075" i="2" s="1"/>
  <c r="D2811" i="2"/>
  <c r="E2811" i="2" s="1"/>
  <c r="G2811" i="2" s="1"/>
  <c r="D3119" i="2"/>
  <c r="E3119" i="2" s="1"/>
  <c r="G3119" i="2" s="1"/>
  <c r="D3031" i="2"/>
  <c r="E3031" i="2" s="1"/>
  <c r="G3031" i="2" s="1"/>
  <c r="D2988" i="2"/>
  <c r="E2988" i="2" s="1"/>
  <c r="G2988" i="2" s="1"/>
  <c r="D920" i="2"/>
  <c r="E920" i="2" s="1"/>
  <c r="G920" i="2" s="1"/>
  <c r="D3472" i="2"/>
  <c r="E3472" i="2" s="1"/>
  <c r="G3472" i="2" s="1"/>
  <c r="D3384" i="2"/>
  <c r="E3384" i="2" s="1"/>
  <c r="G3384" i="2" s="1"/>
  <c r="D3340" i="2"/>
  <c r="E3340" i="2" s="1"/>
  <c r="G3340" i="2" s="1"/>
  <c r="D3296" i="2"/>
  <c r="E3296" i="2" s="1"/>
  <c r="G3296" i="2" s="1"/>
  <c r="D2856" i="2"/>
  <c r="E2856" i="2" s="1"/>
  <c r="G2856" i="2" s="1"/>
  <c r="D3428" i="2"/>
  <c r="E3428" i="2" s="1"/>
  <c r="G3428" i="2" s="1"/>
  <c r="D3208" i="2"/>
  <c r="E3208" i="2" s="1"/>
  <c r="G3208" i="2" s="1"/>
  <c r="D2900" i="2"/>
  <c r="E2900" i="2" s="1"/>
  <c r="G2900" i="2" s="1"/>
  <c r="D3516" i="2"/>
  <c r="E3516" i="2" s="1"/>
  <c r="G3516" i="2" s="1"/>
  <c r="D3164" i="2"/>
  <c r="E3164" i="2" s="1"/>
  <c r="G3164" i="2" s="1"/>
  <c r="D3076" i="2"/>
  <c r="E3076" i="2" s="1"/>
  <c r="G3076" i="2" s="1"/>
  <c r="D3032" i="2"/>
  <c r="E3032" i="2" s="1"/>
  <c r="G3032" i="2" s="1"/>
  <c r="D2812" i="2"/>
  <c r="E2812" i="2" s="1"/>
  <c r="G2812" i="2" s="1"/>
  <c r="D3560" i="2"/>
  <c r="E3560" i="2" s="1"/>
  <c r="G3560" i="2" s="1"/>
  <c r="D3120" i="2"/>
  <c r="E3120" i="2" s="1"/>
  <c r="G3120" i="2" s="1"/>
  <c r="D2944" i="2"/>
  <c r="E2944" i="2" s="1"/>
  <c r="G2944" i="2" s="1"/>
  <c r="D2635" i="2"/>
  <c r="E2635" i="2" s="1"/>
  <c r="G2635" i="2" s="1"/>
  <c r="D2591" i="2"/>
  <c r="E2591" i="2" s="1"/>
  <c r="G2591" i="2" s="1"/>
  <c r="D2415" i="2"/>
  <c r="E2415" i="2" s="1"/>
  <c r="G2415" i="2" s="1"/>
  <c r="D2679" i="2"/>
  <c r="D2547" i="2"/>
  <c r="E2547" i="2" s="1"/>
  <c r="G2547" i="2" s="1"/>
  <c r="D2371" i="2"/>
  <c r="E2371" i="2" s="1"/>
  <c r="G2371" i="2" s="1"/>
  <c r="D2503" i="2"/>
  <c r="E2503" i="2" s="1"/>
  <c r="G2503" i="2" s="1"/>
  <c r="D2767" i="2"/>
  <c r="E2767" i="2" s="1"/>
  <c r="G2767" i="2" s="1"/>
  <c r="D2723" i="2"/>
  <c r="E2723" i="2" s="1"/>
  <c r="G2723" i="2" s="1"/>
  <c r="D2459" i="2"/>
  <c r="E2459" i="2" s="1"/>
  <c r="G2459" i="2" s="1"/>
  <c r="D2592" i="2"/>
  <c r="E2592" i="2" s="1"/>
  <c r="G2592" i="2" s="1"/>
  <c r="D2680" i="2"/>
  <c r="D2636" i="2"/>
  <c r="E2636" i="2" s="1"/>
  <c r="G2636" i="2" s="1"/>
  <c r="D2768" i="2"/>
  <c r="E2768" i="2" s="1"/>
  <c r="G2768" i="2" s="1"/>
  <c r="D2460" i="2"/>
  <c r="E2460" i="2" s="1"/>
  <c r="G2460" i="2" s="1"/>
  <c r="D2548" i="2"/>
  <c r="E2548" i="2" s="1"/>
  <c r="G2548" i="2" s="1"/>
  <c r="D2372" i="2"/>
  <c r="E2372" i="2" s="1"/>
  <c r="G2372" i="2" s="1"/>
  <c r="D2504" i="2"/>
  <c r="E2504" i="2" s="1"/>
  <c r="G2504" i="2" s="1"/>
  <c r="D2724" i="2"/>
  <c r="E2724" i="2" s="1"/>
  <c r="G2724" i="2" s="1"/>
  <c r="D2416" i="2"/>
  <c r="E2416" i="2" s="1"/>
  <c r="G2416" i="2" s="1"/>
  <c r="D963" i="2"/>
  <c r="E963" i="2" s="1"/>
  <c r="G963" i="2" s="1"/>
  <c r="D1887" i="2"/>
  <c r="E1887" i="2" s="1"/>
  <c r="G1887" i="2" s="1"/>
  <c r="D1711" i="2"/>
  <c r="E1711" i="2" s="1"/>
  <c r="G1711" i="2" s="1"/>
  <c r="D2327" i="2"/>
  <c r="E2327" i="2" s="1"/>
  <c r="G2327" i="2" s="1"/>
  <c r="D1799" i="2"/>
  <c r="E1799" i="2" s="1"/>
  <c r="G1799" i="2" s="1"/>
  <c r="D1535" i="2"/>
  <c r="E1535" i="2" s="1"/>
  <c r="G1535" i="2" s="1"/>
  <c r="D1755" i="2"/>
  <c r="E1755" i="2" s="1"/>
  <c r="G1755" i="2" s="1"/>
  <c r="D2195" i="2"/>
  <c r="E2195" i="2" s="1"/>
  <c r="G2195" i="2" s="1"/>
  <c r="D1931" i="2"/>
  <c r="E1931" i="2" s="1"/>
  <c r="G1931" i="2" s="1"/>
  <c r="D2151" i="2"/>
  <c r="E2151" i="2" s="1"/>
  <c r="G2151" i="2" s="1"/>
  <c r="D1843" i="2"/>
  <c r="E1843" i="2" s="1"/>
  <c r="G1843" i="2" s="1"/>
  <c r="D1095" i="2"/>
  <c r="E1095" i="2" s="1"/>
  <c r="G1095" i="2" s="1"/>
  <c r="D1183" i="2"/>
  <c r="E1183" i="2" s="1"/>
  <c r="G1183" i="2" s="1"/>
  <c r="D2107" i="2"/>
  <c r="E2107" i="2" s="1"/>
  <c r="G2107" i="2" s="1"/>
  <c r="D1227" i="2"/>
  <c r="E1227" i="2" s="1"/>
  <c r="G1227" i="2" s="1"/>
  <c r="D2283" i="2"/>
  <c r="E2283" i="2" s="1"/>
  <c r="G2283" i="2" s="1"/>
  <c r="D1403" i="2"/>
  <c r="E1403" i="2" s="1"/>
  <c r="G1403" i="2" s="1"/>
  <c r="D1975" i="2"/>
  <c r="E1975" i="2" s="1"/>
  <c r="G1975" i="2" s="1"/>
  <c r="D1667" i="2"/>
  <c r="E1667" i="2" s="1"/>
  <c r="G1667" i="2" s="1"/>
  <c r="D2063" i="2"/>
  <c r="E2063" i="2" s="1"/>
  <c r="G2063" i="2" s="1"/>
  <c r="D1491" i="2"/>
  <c r="E1491" i="2" s="1"/>
  <c r="G1491" i="2" s="1"/>
  <c r="D1359" i="2"/>
  <c r="E1359" i="2" s="1"/>
  <c r="G1359" i="2" s="1"/>
  <c r="D2239" i="2"/>
  <c r="E2239" i="2" s="1"/>
  <c r="G2239" i="2" s="1"/>
  <c r="D2019" i="2"/>
  <c r="E2019" i="2" s="1"/>
  <c r="G2019" i="2" s="1"/>
  <c r="D1447" i="2"/>
  <c r="E1447" i="2" s="1"/>
  <c r="G1447" i="2" s="1"/>
  <c r="D1139" i="2"/>
  <c r="E1139" i="2" s="1"/>
  <c r="G1139" i="2" s="1"/>
  <c r="D1051" i="2"/>
  <c r="E1051" i="2" s="1"/>
  <c r="G1051" i="2" s="1"/>
  <c r="D1007" i="2"/>
  <c r="E1007" i="2" s="1"/>
  <c r="G1007" i="2" s="1"/>
  <c r="D964" i="2"/>
  <c r="E964" i="2" s="1"/>
  <c r="G964" i="2" s="1"/>
  <c r="D1844" i="2"/>
  <c r="E1844" i="2" s="1"/>
  <c r="G1844" i="2" s="1"/>
  <c r="D1228" i="2"/>
  <c r="E1228" i="2" s="1"/>
  <c r="G1228" i="2" s="1"/>
  <c r="D2064" i="2"/>
  <c r="E2064" i="2" s="1"/>
  <c r="G2064" i="2" s="1"/>
  <c r="D1932" i="2"/>
  <c r="E1932" i="2" s="1"/>
  <c r="G1932" i="2" s="1"/>
  <c r="D2108" i="2"/>
  <c r="E2108" i="2" s="1"/>
  <c r="G2108" i="2" s="1"/>
  <c r="D1800" i="2"/>
  <c r="E1800" i="2" s="1"/>
  <c r="G1800" i="2" s="1"/>
  <c r="D1668" i="2"/>
  <c r="E1668" i="2" s="1"/>
  <c r="G1668" i="2" s="1"/>
  <c r="D1536" i="2"/>
  <c r="E1536" i="2" s="1"/>
  <c r="G1536" i="2" s="1"/>
  <c r="D1184" i="2"/>
  <c r="E1184" i="2" s="1"/>
  <c r="G1184" i="2" s="1"/>
  <c r="D1492" i="2"/>
  <c r="E1492" i="2" s="1"/>
  <c r="G1492" i="2" s="1"/>
  <c r="D1360" i="2"/>
  <c r="E1360" i="2" s="1"/>
  <c r="G1360" i="2" s="1"/>
  <c r="D2020" i="2"/>
  <c r="E2020" i="2" s="1"/>
  <c r="G2020" i="2" s="1"/>
  <c r="D1448" i="2"/>
  <c r="E1448" i="2" s="1"/>
  <c r="G1448" i="2" s="1"/>
  <c r="D1888" i="2"/>
  <c r="E1888" i="2" s="1"/>
  <c r="G1888" i="2" s="1"/>
  <c r="D1096" i="2"/>
  <c r="E1096" i="2" s="1"/>
  <c r="G1096" i="2" s="1"/>
  <c r="D2328" i="2"/>
  <c r="E2328" i="2" s="1"/>
  <c r="G2328" i="2" s="1"/>
  <c r="D2284" i="2"/>
  <c r="E2284" i="2" s="1"/>
  <c r="G2284" i="2" s="1"/>
  <c r="D1756" i="2"/>
  <c r="E1756" i="2" s="1"/>
  <c r="G1756" i="2" s="1"/>
  <c r="D1404" i="2"/>
  <c r="E1404" i="2" s="1"/>
  <c r="G1404" i="2" s="1"/>
  <c r="D2240" i="2"/>
  <c r="E2240" i="2" s="1"/>
  <c r="G2240" i="2" s="1"/>
  <c r="D2196" i="2"/>
  <c r="E2196" i="2" s="1"/>
  <c r="G2196" i="2" s="1"/>
  <c r="D1976" i="2"/>
  <c r="E1976" i="2" s="1"/>
  <c r="G1976" i="2" s="1"/>
  <c r="D1712" i="2"/>
  <c r="E1712" i="2" s="1"/>
  <c r="G1712" i="2" s="1"/>
  <c r="D1140" i="2"/>
  <c r="E1140" i="2" s="1"/>
  <c r="G1140" i="2" s="1"/>
  <c r="D2152" i="2"/>
  <c r="E2152" i="2" s="1"/>
  <c r="G2152" i="2" s="1"/>
  <c r="D1008" i="2"/>
  <c r="E1008" i="2" s="1"/>
  <c r="G1008" i="2" s="1"/>
  <c r="D1052" i="2"/>
  <c r="E1052" i="2" s="1"/>
  <c r="G1052" i="2" s="1"/>
  <c r="D523" i="2"/>
  <c r="D611" i="2"/>
  <c r="D699" i="2"/>
  <c r="E699" i="2" s="1"/>
  <c r="G699" i="2" s="1"/>
  <c r="D567" i="2"/>
  <c r="D655" i="2"/>
  <c r="E655" i="2" s="1"/>
  <c r="G655" i="2" s="1"/>
  <c r="D831" i="2"/>
  <c r="E831" i="2" s="1"/>
  <c r="G831" i="2" s="1"/>
  <c r="D875" i="2"/>
  <c r="E875" i="2" s="1"/>
  <c r="G875" i="2" s="1"/>
  <c r="D435" i="2"/>
  <c r="E435" i="2" s="1"/>
  <c r="G435" i="2" s="1"/>
  <c r="D479" i="2"/>
  <c r="E479" i="2" s="1"/>
  <c r="G479" i="2" s="1"/>
  <c r="D259" i="2"/>
  <c r="E259" i="2" s="1"/>
  <c r="G259" i="2" s="1"/>
  <c r="D303" i="2"/>
  <c r="E303" i="2" s="1"/>
  <c r="G303" i="2" s="1"/>
  <c r="D347" i="2"/>
  <c r="E347" i="2" s="1"/>
  <c r="G347" i="2" s="1"/>
  <c r="D127" i="2"/>
  <c r="E127" i="2" s="1"/>
  <c r="G127" i="2" s="1"/>
  <c r="D83" i="2"/>
  <c r="E83" i="2" s="1"/>
  <c r="G83" i="2" s="1"/>
  <c r="D568" i="2"/>
  <c r="D832" i="2"/>
  <c r="E832" i="2" s="1"/>
  <c r="G832" i="2" s="1"/>
  <c r="D700" i="2"/>
  <c r="E700" i="2" s="1"/>
  <c r="G700" i="2" s="1"/>
  <c r="D612" i="2"/>
  <c r="D656" i="2"/>
  <c r="E656" i="2" s="1"/>
  <c r="G656" i="2" s="1"/>
  <c r="D876" i="2"/>
  <c r="E876" i="2" s="1"/>
  <c r="G876" i="2" s="1"/>
  <c r="D524" i="2"/>
  <c r="D436" i="2"/>
  <c r="E436" i="2" s="1"/>
  <c r="G436" i="2" s="1"/>
  <c r="D84" i="2"/>
  <c r="E84" i="2" s="1"/>
  <c r="G84" i="2" s="1"/>
  <c r="D304" i="2"/>
  <c r="E304" i="2" s="1"/>
  <c r="G304" i="2" s="1"/>
  <c r="D260" i="2"/>
  <c r="E260" i="2" s="1"/>
  <c r="G260" i="2" s="1"/>
  <c r="D128" i="2"/>
  <c r="E128" i="2" s="1"/>
  <c r="G128" i="2" s="1"/>
  <c r="D480" i="2"/>
  <c r="E480" i="2" s="1"/>
  <c r="G480" i="2" s="1"/>
  <c r="D348" i="2"/>
  <c r="E348" i="2" s="1"/>
  <c r="G348" i="2" s="1"/>
  <c r="D39" i="2"/>
  <c r="E39" i="2" s="1"/>
  <c r="G39" i="2" s="1"/>
  <c r="D40" i="2"/>
  <c r="E40" i="2" s="1"/>
  <c r="G40" i="2" s="1"/>
  <c r="G10470" i="2" l="1"/>
  <c r="G10472" i="2" s="1"/>
  <c r="G12142" i="2"/>
  <c r="G12144" i="2" s="1"/>
  <c r="G12186" i="2"/>
  <c r="G12188" i="2" s="1"/>
  <c r="G12318" i="2"/>
  <c r="G12320" i="2" s="1"/>
  <c r="G12538" i="2"/>
  <c r="G12540" i="2" s="1"/>
  <c r="G12362" i="2"/>
  <c r="G12364" i="2" s="1"/>
  <c r="G11878" i="2"/>
  <c r="G11880" i="2" s="1"/>
  <c r="G12230" i="2"/>
  <c r="G12232" i="2" s="1"/>
  <c r="G12054" i="2"/>
  <c r="G12056" i="2" s="1"/>
  <c r="G12406" i="2"/>
  <c r="G12408" i="2" s="1"/>
  <c r="G11658" i="2"/>
  <c r="G11660" i="2" s="1"/>
  <c r="G12010" i="2"/>
  <c r="G12012" i="2" s="1"/>
  <c r="G11834" i="2"/>
  <c r="G11836" i="2" s="1"/>
  <c r="G12450" i="2"/>
  <c r="G12452" i="2" s="1"/>
  <c r="G11790" i="2"/>
  <c r="G11792" i="2" s="1"/>
  <c r="G11922" i="2"/>
  <c r="G11924" i="2" s="1"/>
  <c r="G11966" i="2"/>
  <c r="G11968" i="2" s="1"/>
  <c r="G12494" i="2"/>
  <c r="G12496" i="2" s="1"/>
  <c r="G746" i="2"/>
  <c r="G748" i="2" s="1"/>
  <c r="G11746" i="2"/>
  <c r="G11748" i="2" s="1"/>
  <c r="G11702" i="2"/>
  <c r="G11704" i="2" s="1"/>
  <c r="G11570" i="2"/>
  <c r="G11572" i="2" s="1"/>
  <c r="G10998" i="2"/>
  <c r="G11000" i="2" s="1"/>
  <c r="G10118" i="2"/>
  <c r="G10120" i="2" s="1"/>
  <c r="G11262" i="2"/>
  <c r="G11264" i="2" s="1"/>
  <c r="G11394" i="2"/>
  <c r="G11396" i="2" s="1"/>
  <c r="G10602" i="2"/>
  <c r="G10604" i="2" s="1"/>
  <c r="G10646" i="2"/>
  <c r="G10648" i="2" s="1"/>
  <c r="G10778" i="2"/>
  <c r="G10780" i="2" s="1"/>
  <c r="G10910" i="2"/>
  <c r="G10912" i="2" s="1"/>
  <c r="G10426" i="2"/>
  <c r="G10428" i="2" s="1"/>
  <c r="G10866" i="2"/>
  <c r="G10868" i="2" s="1"/>
  <c r="G11086" i="2"/>
  <c r="G11088" i="2" s="1"/>
  <c r="G10954" i="2"/>
  <c r="G10956" i="2" s="1"/>
  <c r="G11130" i="2"/>
  <c r="G11132" i="2" s="1"/>
  <c r="G11438" i="2"/>
  <c r="G11440" i="2" s="1"/>
  <c r="G11042" i="2"/>
  <c r="G11044" i="2" s="1"/>
  <c r="G11174" i="2"/>
  <c r="G11176" i="2" s="1"/>
  <c r="G11526" i="2"/>
  <c r="G11528" i="2" s="1"/>
  <c r="G11306" i="2"/>
  <c r="G11308" i="2" s="1"/>
  <c r="G10514" i="2"/>
  <c r="G10516" i="2" s="1"/>
  <c r="G10558" i="2"/>
  <c r="G10560" i="2" s="1"/>
  <c r="G10822" i="2"/>
  <c r="G10824" i="2" s="1"/>
  <c r="G11350" i="2"/>
  <c r="G11352" i="2" s="1"/>
  <c r="G10690" i="2"/>
  <c r="G10692" i="2" s="1"/>
  <c r="G11218" i="2"/>
  <c r="G11220" i="2" s="1"/>
  <c r="G11482" i="2"/>
  <c r="G11484" i="2" s="1"/>
  <c r="G10382" i="2"/>
  <c r="G10384" i="2" s="1"/>
  <c r="G10338" i="2"/>
  <c r="G10340" i="2" s="1"/>
  <c r="G9326" i="2"/>
  <c r="G9328" i="2" s="1"/>
  <c r="G10294" i="2"/>
  <c r="G10296" i="2" s="1"/>
  <c r="G10162" i="2"/>
  <c r="G10164" i="2" s="1"/>
  <c r="G10206" i="2"/>
  <c r="G10208" i="2" s="1"/>
  <c r="G10250" i="2"/>
  <c r="G10252" i="2" s="1"/>
  <c r="G10030" i="2"/>
  <c r="G10032" i="2" s="1"/>
  <c r="G9150" i="2"/>
  <c r="G9152" i="2" s="1"/>
  <c r="G9634" i="2"/>
  <c r="G9636" i="2" s="1"/>
  <c r="G9854" i="2"/>
  <c r="G9856" i="2" s="1"/>
  <c r="G10074" i="2"/>
  <c r="G10076" i="2" s="1"/>
  <c r="G9546" i="2"/>
  <c r="G9548" i="2" s="1"/>
  <c r="G9986" i="2"/>
  <c r="G9988" i="2" s="1"/>
  <c r="G9722" i="2"/>
  <c r="G9724" i="2" s="1"/>
  <c r="G9766" i="2"/>
  <c r="G9768" i="2" s="1"/>
  <c r="G9458" i="2"/>
  <c r="G9460" i="2" s="1"/>
  <c r="G9414" i="2"/>
  <c r="G9416" i="2" s="1"/>
  <c r="G9678" i="2"/>
  <c r="G9680" i="2" s="1"/>
  <c r="G9810" i="2"/>
  <c r="G9812" i="2" s="1"/>
  <c r="G9502" i="2"/>
  <c r="G9504" i="2" s="1"/>
  <c r="G9942" i="2"/>
  <c r="G9944" i="2" s="1"/>
  <c r="G9590" i="2"/>
  <c r="G9592" i="2" s="1"/>
  <c r="G9898" i="2"/>
  <c r="G9900" i="2" s="1"/>
  <c r="E567" i="2"/>
  <c r="E612" i="2"/>
  <c r="E611" i="2"/>
  <c r="E2680" i="2"/>
  <c r="E2679" i="2"/>
  <c r="E568" i="2"/>
  <c r="G8534" i="2"/>
  <c r="G8536" i="2" s="1"/>
  <c r="E523" i="2"/>
  <c r="E524" i="2"/>
  <c r="G9194" i="2"/>
  <c r="G9196" i="2" s="1"/>
  <c r="G8798" i="2"/>
  <c r="G8800" i="2" s="1"/>
  <c r="G8578" i="2"/>
  <c r="G8580" i="2" s="1"/>
  <c r="G8886" i="2"/>
  <c r="G8888" i="2" s="1"/>
  <c r="G8490" i="2"/>
  <c r="G8492" i="2" s="1"/>
  <c r="G8974" i="2"/>
  <c r="G8976" i="2" s="1"/>
  <c r="G9238" i="2"/>
  <c r="G9240" i="2" s="1"/>
  <c r="G9106" i="2"/>
  <c r="G9108" i="2" s="1"/>
  <c r="G9370" i="2"/>
  <c r="G9372" i="2" s="1"/>
  <c r="G9282" i="2"/>
  <c r="G9284" i="2" s="1"/>
  <c r="G8930" i="2"/>
  <c r="G8932" i="2" s="1"/>
  <c r="G8842" i="2"/>
  <c r="G8844" i="2" s="1"/>
  <c r="G9062" i="2"/>
  <c r="G9064" i="2" s="1"/>
  <c r="G8666" i="2"/>
  <c r="G8668" i="2" s="1"/>
  <c r="G9018" i="2"/>
  <c r="G9020" i="2" s="1"/>
  <c r="G6994" i="2"/>
  <c r="G6996" i="2" s="1"/>
  <c r="G7038" i="2"/>
  <c r="G7040" i="2" s="1"/>
  <c r="G8754" i="2"/>
  <c r="G8756" i="2" s="1"/>
  <c r="G8226" i="2"/>
  <c r="G8228" i="2" s="1"/>
  <c r="G7918" i="2"/>
  <c r="G7920" i="2" s="1"/>
  <c r="G7962" i="2"/>
  <c r="G7964" i="2" s="1"/>
  <c r="G8138" i="2"/>
  <c r="G8140" i="2" s="1"/>
  <c r="G7390" i="2"/>
  <c r="G7392" i="2" s="1"/>
  <c r="G8270" i="2"/>
  <c r="G8272" i="2" s="1"/>
  <c r="G8402" i="2"/>
  <c r="G8404" i="2" s="1"/>
  <c r="G7786" i="2"/>
  <c r="G7788" i="2" s="1"/>
  <c r="G8314" i="2"/>
  <c r="G8316" i="2" s="1"/>
  <c r="G8446" i="2"/>
  <c r="G8448" i="2" s="1"/>
  <c r="G7874" i="2"/>
  <c r="G7876" i="2" s="1"/>
  <c r="G8358" i="2"/>
  <c r="G8360" i="2" s="1"/>
  <c r="G8182" i="2"/>
  <c r="G8184" i="2" s="1"/>
  <c r="G7522" i="2"/>
  <c r="G7524" i="2" s="1"/>
  <c r="G7698" i="2"/>
  <c r="G7700" i="2" s="1"/>
  <c r="G7214" i="2"/>
  <c r="G7216" i="2" s="1"/>
  <c r="G7434" i="2"/>
  <c r="G7436" i="2" s="1"/>
  <c r="G7302" i="2"/>
  <c r="G7304" i="2" s="1"/>
  <c r="G7654" i="2"/>
  <c r="G7656" i="2" s="1"/>
  <c r="G8094" i="2"/>
  <c r="G8096" i="2" s="1"/>
  <c r="G7478" i="2"/>
  <c r="G7480" i="2" s="1"/>
  <c r="G7346" i="2"/>
  <c r="G7348" i="2" s="1"/>
  <c r="G8006" i="2"/>
  <c r="G8008" i="2" s="1"/>
  <c r="G7566" i="2"/>
  <c r="G7568" i="2" s="1"/>
  <c r="G7742" i="2"/>
  <c r="G7744" i="2" s="1"/>
  <c r="G7610" i="2"/>
  <c r="G7612" i="2" s="1"/>
  <c r="G8050" i="2"/>
  <c r="G8052" i="2" s="1"/>
  <c r="G7830" i="2"/>
  <c r="G7832" i="2" s="1"/>
  <c r="G7170" i="2"/>
  <c r="G7172" i="2" s="1"/>
  <c r="G7126" i="2"/>
  <c r="G7128" i="2" s="1"/>
  <c r="G7258" i="2"/>
  <c r="G7260" i="2" s="1"/>
  <c r="G7082" i="2"/>
  <c r="G7084" i="2" s="1"/>
  <c r="G6642" i="2"/>
  <c r="G6644" i="2" s="1"/>
  <c r="G6510" i="2"/>
  <c r="G6512" i="2" s="1"/>
  <c r="G6862" i="2"/>
  <c r="G6864" i="2" s="1"/>
  <c r="G6422" i="2"/>
  <c r="G6424" i="2" s="1"/>
  <c r="G6598" i="2"/>
  <c r="G6600" i="2" s="1"/>
  <c r="G6554" i="2"/>
  <c r="G6556" i="2" s="1"/>
  <c r="G6686" i="2"/>
  <c r="G6688" i="2" s="1"/>
  <c r="G6950" i="2"/>
  <c r="G6952" i="2" s="1"/>
  <c r="G6730" i="2"/>
  <c r="G6732" i="2" s="1"/>
  <c r="G6774" i="2"/>
  <c r="G6776" i="2" s="1"/>
  <c r="G6818" i="2"/>
  <c r="G6820" i="2" s="1"/>
  <c r="G6906" i="2"/>
  <c r="G6908" i="2" s="1"/>
  <c r="G6378" i="2"/>
  <c r="G6380" i="2" s="1"/>
  <c r="G6334" i="2"/>
  <c r="G6336" i="2" s="1"/>
  <c r="G218" i="2"/>
  <c r="G220" i="2" s="1"/>
  <c r="G5894" i="2"/>
  <c r="G5896" i="2" s="1"/>
  <c r="G174" i="2"/>
  <c r="G176" i="2" s="1"/>
  <c r="G790" i="2"/>
  <c r="G792" i="2" s="1"/>
  <c r="G6466" i="2"/>
  <c r="G6468" i="2" s="1"/>
  <c r="G6026" i="2"/>
  <c r="G6028" i="2" s="1"/>
  <c r="G6070" i="2"/>
  <c r="G6072" i="2" s="1"/>
  <c r="G5982" i="2"/>
  <c r="G5984" i="2" s="1"/>
  <c r="G6246" i="2"/>
  <c r="G6248" i="2" s="1"/>
  <c r="G5938" i="2"/>
  <c r="G5940" i="2" s="1"/>
  <c r="G6158" i="2"/>
  <c r="G6160" i="2" s="1"/>
  <c r="G6114" i="2"/>
  <c r="G6116" i="2" s="1"/>
  <c r="G6290" i="2"/>
  <c r="G6292" i="2" s="1"/>
  <c r="G5674" i="2"/>
  <c r="G5676" i="2" s="1"/>
  <c r="G5146" i="2"/>
  <c r="G5148" i="2" s="1"/>
  <c r="G5806" i="2"/>
  <c r="G5808" i="2" s="1"/>
  <c r="G5850" i="2"/>
  <c r="G5852" i="2" s="1"/>
  <c r="G4222" i="2"/>
  <c r="G4224" i="2" s="1"/>
  <c r="G4266" i="2"/>
  <c r="G4268" i="2" s="1"/>
  <c r="G5322" i="2"/>
  <c r="G5324" i="2" s="1"/>
  <c r="G5410" i="2"/>
  <c r="G5412" i="2" s="1"/>
  <c r="G5366" i="2"/>
  <c r="G5368" i="2" s="1"/>
  <c r="G5718" i="2"/>
  <c r="G5720" i="2" s="1"/>
  <c r="G5542" i="2"/>
  <c r="G5544" i="2" s="1"/>
  <c r="G5454" i="2"/>
  <c r="G5456" i="2" s="1"/>
  <c r="G5586" i="2"/>
  <c r="G5588" i="2" s="1"/>
  <c r="G5630" i="2"/>
  <c r="G5632" i="2" s="1"/>
  <c r="G5498" i="2"/>
  <c r="G5500" i="2" s="1"/>
  <c r="G5762" i="2"/>
  <c r="G5764" i="2" s="1"/>
  <c r="G4618" i="2"/>
  <c r="G4134" i="2"/>
  <c r="G4136" i="2" s="1"/>
  <c r="G3738" i="2"/>
  <c r="G3740" i="2" s="1"/>
  <c r="G5190" i="2"/>
  <c r="G5192" i="2" s="1"/>
  <c r="G4354" i="2"/>
  <c r="G4356" i="2" s="1"/>
  <c r="G4486" i="2"/>
  <c r="G4488" i="2" s="1"/>
  <c r="G5234" i="2"/>
  <c r="G5236" i="2" s="1"/>
  <c r="G4750" i="2"/>
  <c r="G4752" i="2" s="1"/>
  <c r="G4794" i="2"/>
  <c r="G4796" i="2" s="1"/>
  <c r="G4706" i="2"/>
  <c r="G4708" i="2" s="1"/>
  <c r="G4310" i="2"/>
  <c r="G4312" i="2" s="1"/>
  <c r="G5014" i="2"/>
  <c r="G5016" i="2" s="1"/>
  <c r="G4178" i="2"/>
  <c r="G4180" i="2" s="1"/>
  <c r="G4662" i="2"/>
  <c r="G4664" i="2" s="1"/>
  <c r="G5058" i="2"/>
  <c r="G5060" i="2" s="1"/>
  <c r="G5102" i="2"/>
  <c r="G5104" i="2" s="1"/>
  <c r="G4442" i="2"/>
  <c r="G4444" i="2" s="1"/>
  <c r="G4838" i="2"/>
  <c r="G4840" i="2" s="1"/>
  <c r="G4926" i="2"/>
  <c r="G4928" i="2" s="1"/>
  <c r="G5278" i="2"/>
  <c r="G5280" i="2" s="1"/>
  <c r="G4574" i="2"/>
  <c r="G4398" i="2"/>
  <c r="G4400" i="2" s="1"/>
  <c r="G4530" i="2"/>
  <c r="G4532" i="2" s="1"/>
  <c r="G4970" i="2"/>
  <c r="G4972" i="2" s="1"/>
  <c r="G4090" i="2"/>
  <c r="G4092" i="2" s="1"/>
  <c r="G4882" i="2"/>
  <c r="G4884" i="2" s="1"/>
  <c r="B4790" i="2"/>
  <c r="B4779" i="2"/>
  <c r="B4796" i="2"/>
  <c r="B4766" i="2"/>
  <c r="B4775" i="2"/>
  <c r="B4777" i="2"/>
  <c r="B4787" i="2"/>
  <c r="B4792" i="2"/>
  <c r="B4773" i="2"/>
  <c r="B4791" i="2"/>
  <c r="B4767" i="2"/>
  <c r="B4765" i="2"/>
  <c r="G4755" i="2"/>
  <c r="B4778" i="2"/>
  <c r="B4774" i="2"/>
  <c r="B4772" i="2"/>
  <c r="B4761" i="2"/>
  <c r="B4763" i="2"/>
  <c r="B4771" i="2"/>
  <c r="B4780" i="2"/>
  <c r="B4776" i="2"/>
  <c r="B4786" i="2"/>
  <c r="B4783" i="2"/>
  <c r="B4781" i="2"/>
  <c r="B4758" i="2"/>
  <c r="B4784" i="2"/>
  <c r="B4785" i="2"/>
  <c r="B4789" i="2"/>
  <c r="B4794" i="2"/>
  <c r="B4795" i="2"/>
  <c r="B4762" i="2"/>
  <c r="B4782" i="2"/>
  <c r="B4760" i="2"/>
  <c r="B4764" i="2"/>
  <c r="B4759" i="2"/>
  <c r="B4793" i="2"/>
  <c r="B4770" i="2"/>
  <c r="B4788" i="2"/>
  <c r="B4768" i="2"/>
  <c r="B4769" i="2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C4798" i="2"/>
  <c r="B4800" i="2" s="1"/>
  <c r="G2110" i="2"/>
  <c r="G2112" i="2" s="1"/>
  <c r="G3826" i="2"/>
  <c r="G3828" i="2" s="1"/>
  <c r="G3958" i="2"/>
  <c r="G3960" i="2" s="1"/>
  <c r="G4002" i="2"/>
  <c r="G4004" i="2" s="1"/>
  <c r="G3694" i="2"/>
  <c r="G3914" i="2"/>
  <c r="G3916" i="2" s="1"/>
  <c r="G2814" i="2"/>
  <c r="G2816" i="2" s="1"/>
  <c r="G3518" i="2"/>
  <c r="G3520" i="2" s="1"/>
  <c r="G4046" i="2"/>
  <c r="G4048" i="2" s="1"/>
  <c r="G3782" i="2"/>
  <c r="G3784" i="2" s="1"/>
  <c r="G3870" i="2"/>
  <c r="G3872" i="2" s="1"/>
  <c r="G3562" i="2"/>
  <c r="G3564" i="2" s="1"/>
  <c r="G2242" i="2"/>
  <c r="G2244" i="2" s="1"/>
  <c r="G2990" i="2"/>
  <c r="G2992" i="2" s="1"/>
  <c r="G1538" i="2"/>
  <c r="G1540" i="2" s="1"/>
  <c r="G3430" i="2"/>
  <c r="G3432" i="2" s="1"/>
  <c r="G3386" i="2"/>
  <c r="G3388" i="2" s="1"/>
  <c r="G3078" i="2"/>
  <c r="G3080" i="2" s="1"/>
  <c r="G3166" i="2"/>
  <c r="G3168" i="2" s="1"/>
  <c r="G3474" i="2"/>
  <c r="G3476" i="2" s="1"/>
  <c r="G2858" i="2"/>
  <c r="G2860" i="2" s="1"/>
  <c r="G922" i="2"/>
  <c r="G924" i="2" s="1"/>
  <c r="G3298" i="2"/>
  <c r="G3300" i="2" s="1"/>
  <c r="G3034" i="2"/>
  <c r="G3036" i="2" s="1"/>
  <c r="G3210" i="2"/>
  <c r="G3212" i="2" s="1"/>
  <c r="G2902" i="2"/>
  <c r="G2904" i="2" s="1"/>
  <c r="G3122" i="2"/>
  <c r="G3124" i="2" s="1"/>
  <c r="G3342" i="2"/>
  <c r="G3344" i="2" s="1"/>
  <c r="G2946" i="2"/>
  <c r="G2948" i="2" s="1"/>
  <c r="G1802" i="2"/>
  <c r="G1804" i="2" s="1"/>
  <c r="G2418" i="2"/>
  <c r="G2420" i="2" s="1"/>
  <c r="G2462" i="2"/>
  <c r="G2464" i="2" s="1"/>
  <c r="G2594" i="2"/>
  <c r="G2596" i="2" s="1"/>
  <c r="G2726" i="2"/>
  <c r="G2728" i="2" s="1"/>
  <c r="G2638" i="2"/>
  <c r="G2640" i="2" s="1"/>
  <c r="G2770" i="2"/>
  <c r="G2772" i="2" s="1"/>
  <c r="G2022" i="2"/>
  <c r="G2024" i="2" s="1"/>
  <c r="G2286" i="2"/>
  <c r="G2288" i="2" s="1"/>
  <c r="G2198" i="2"/>
  <c r="G2200" i="2" s="1"/>
  <c r="G2506" i="2"/>
  <c r="G2508" i="2" s="1"/>
  <c r="G2374" i="2"/>
  <c r="G2376" i="2" s="1"/>
  <c r="G2550" i="2"/>
  <c r="G2552" i="2" s="1"/>
  <c r="G1758" i="2"/>
  <c r="G1760" i="2" s="1"/>
  <c r="G2066" i="2"/>
  <c r="G2068" i="2" s="1"/>
  <c r="G1054" i="2"/>
  <c r="G1056" i="2" s="1"/>
  <c r="G1670" i="2"/>
  <c r="G1672" i="2" s="1"/>
  <c r="G1846" i="2"/>
  <c r="G1848" i="2" s="1"/>
  <c r="G1714" i="2"/>
  <c r="G1716" i="2" s="1"/>
  <c r="G1362" i="2"/>
  <c r="G1364" i="2" s="1"/>
  <c r="G1186" i="2"/>
  <c r="G1188" i="2" s="1"/>
  <c r="G1010" i="2"/>
  <c r="G1012" i="2" s="1"/>
  <c r="G1098" i="2"/>
  <c r="G1100" i="2" s="1"/>
  <c r="G1142" i="2"/>
  <c r="G1144" i="2" s="1"/>
  <c r="G1978" i="2"/>
  <c r="G1980" i="2" s="1"/>
  <c r="G2154" i="2"/>
  <c r="G2156" i="2" s="1"/>
  <c r="G1890" i="2"/>
  <c r="G1892" i="2" s="1"/>
  <c r="G1230" i="2"/>
  <c r="G1232" i="2" s="1"/>
  <c r="G1494" i="2"/>
  <c r="G1496" i="2" s="1"/>
  <c r="G2330" i="2"/>
  <c r="G2332" i="2" s="1"/>
  <c r="G1450" i="2"/>
  <c r="G1452" i="2" s="1"/>
  <c r="G1406" i="2"/>
  <c r="G1408" i="2" s="1"/>
  <c r="G1934" i="2"/>
  <c r="G1936" i="2" s="1"/>
  <c r="G966" i="2"/>
  <c r="G968" i="2" s="1"/>
  <c r="G86" i="2"/>
  <c r="G88" i="2" s="1"/>
  <c r="G438" i="2"/>
  <c r="G440" i="2" s="1"/>
  <c r="G878" i="2"/>
  <c r="G880" i="2" s="1"/>
  <c r="G834" i="2"/>
  <c r="G836" i="2" s="1"/>
  <c r="G130" i="2"/>
  <c r="G132" i="2" s="1"/>
  <c r="G658" i="2"/>
  <c r="G660" i="2" s="1"/>
  <c r="G350" i="2"/>
  <c r="G352" i="2" s="1"/>
  <c r="G306" i="2"/>
  <c r="G308" i="2" s="1"/>
  <c r="G702" i="2"/>
  <c r="G704" i="2" s="1"/>
  <c r="G262" i="2"/>
  <c r="G264" i="2" s="1"/>
  <c r="G482" i="2"/>
  <c r="G484" i="2" s="1"/>
  <c r="G42" i="2"/>
  <c r="G44" i="2" s="1"/>
  <c r="A153" i="1"/>
  <c r="G612" i="2" l="1"/>
  <c r="G523" i="2"/>
  <c r="G2679" i="2"/>
  <c r="G567" i="2"/>
  <c r="G524" i="2"/>
  <c r="G2680" i="2"/>
  <c r="G568" i="2"/>
  <c r="G611" i="2"/>
  <c r="C6250" i="2"/>
  <c r="B6252" i="2" s="1"/>
  <c r="C6294" i="2"/>
  <c r="B6296" i="2" s="1"/>
  <c r="C6030" i="2"/>
  <c r="B6032" i="2" s="1"/>
  <c r="C6118" i="2"/>
  <c r="B6120" i="2" s="1"/>
  <c r="C6338" i="2"/>
  <c r="B6340" i="2" s="1"/>
  <c r="C6206" i="2"/>
  <c r="B6208" i="2" s="1"/>
  <c r="C6074" i="2"/>
  <c r="B6076" i="2" s="1"/>
  <c r="C5810" i="2"/>
  <c r="B5812" i="2" s="1"/>
  <c r="C5898" i="2"/>
  <c r="B5900" i="2" s="1"/>
  <c r="C5942" i="2"/>
  <c r="B5944" i="2" s="1"/>
  <c r="C5458" i="2"/>
  <c r="B5460" i="2" s="1"/>
  <c r="C5766" i="2"/>
  <c r="B5768" i="2" s="1"/>
  <c r="C5590" i="2"/>
  <c r="B5592" i="2" s="1"/>
  <c r="C5546" i="2"/>
  <c r="B5548" i="2" s="1"/>
  <c r="C5854" i="2"/>
  <c r="B5856" i="2" s="1"/>
  <c r="C5722" i="2"/>
  <c r="B5724" i="2" s="1"/>
  <c r="C5678" i="2"/>
  <c r="B5680" i="2" s="1"/>
  <c r="C5502" i="2"/>
  <c r="B5504" i="2" s="1"/>
  <c r="C5986" i="2"/>
  <c r="B5988" i="2" s="1"/>
  <c r="C5414" i="2"/>
  <c r="B5416" i="2" s="1"/>
  <c r="C5634" i="2"/>
  <c r="B5636" i="2" s="1"/>
  <c r="C5282" i="2"/>
  <c r="B5284" i="2" s="1"/>
  <c r="C5370" i="2"/>
  <c r="B5372" i="2" s="1"/>
  <c r="C5326" i="2"/>
  <c r="B5328" i="2" s="1"/>
  <c r="C5238" i="2"/>
  <c r="B5240" i="2" s="1"/>
  <c r="C5194" i="2"/>
  <c r="B5196" i="2" s="1"/>
  <c r="C5150" i="2"/>
  <c r="B5152" i="2" s="1"/>
  <c r="C5106" i="2"/>
  <c r="B5108" i="2" s="1"/>
  <c r="B4810" i="2"/>
  <c r="B4829" i="2"/>
  <c r="B4808" i="2"/>
  <c r="B4804" i="2"/>
  <c r="B4830" i="2"/>
  <c r="B4809" i="2"/>
  <c r="B4815" i="2"/>
  <c r="B4836" i="2"/>
  <c r="B4835" i="2"/>
  <c r="B4828" i="2"/>
  <c r="B4812" i="2"/>
  <c r="B4813" i="2"/>
  <c r="B4802" i="2"/>
  <c r="B4839" i="2"/>
  <c r="B4805" i="2"/>
  <c r="B4811" i="2"/>
  <c r="B4824" i="2"/>
  <c r="B4822" i="2"/>
  <c r="B4818" i="2"/>
  <c r="B4803" i="2"/>
  <c r="B4807" i="2"/>
  <c r="B4806" i="2"/>
  <c r="B4831" i="2"/>
  <c r="B4823" i="2"/>
  <c r="G4799" i="2"/>
  <c r="B4840" i="2"/>
  <c r="B4817" i="2"/>
  <c r="B4832" i="2"/>
  <c r="B4814" i="2"/>
  <c r="B4838" i="2"/>
  <c r="B4821" i="2"/>
  <c r="B4834" i="2"/>
  <c r="B4819" i="2"/>
  <c r="B4837" i="2"/>
  <c r="B4833" i="2"/>
  <c r="B4816" i="2"/>
  <c r="B4826" i="2"/>
  <c r="B4827" i="2"/>
  <c r="B4820" i="2"/>
  <c r="B4825" i="2"/>
  <c r="C5062" i="2"/>
  <c r="B5064" i="2" s="1"/>
  <c r="C5018" i="2"/>
  <c r="B5020" i="2" s="1"/>
  <c r="C4886" i="2"/>
  <c r="B4888" i="2" s="1"/>
  <c r="C4930" i="2"/>
  <c r="B4932" i="2" s="1"/>
  <c r="C4974" i="2"/>
  <c r="B4976" i="2" s="1"/>
  <c r="C4842" i="2"/>
  <c r="B4844" i="2" s="1"/>
  <c r="C2" i="2"/>
  <c r="B4" i="2" s="1"/>
  <c r="A154" i="1"/>
  <c r="G614" i="2" l="1"/>
  <c r="G616" i="2" s="1"/>
  <c r="G570" i="2"/>
  <c r="G572" i="2" s="1"/>
  <c r="G2682" i="2"/>
  <c r="G2684" i="2" s="1"/>
  <c r="G526" i="2"/>
  <c r="G528" i="2" s="1"/>
  <c r="C6382" i="2"/>
  <c r="B6384" i="2" s="1"/>
  <c r="B6413" i="2" s="1"/>
  <c r="B6133" i="2"/>
  <c r="B6124" i="2"/>
  <c r="B6131" i="2"/>
  <c r="B6158" i="2"/>
  <c r="B6154" i="2"/>
  <c r="B6125" i="2"/>
  <c r="G6119" i="2"/>
  <c r="B6123" i="2"/>
  <c r="B6147" i="2"/>
  <c r="B6150" i="2"/>
  <c r="B6148" i="2"/>
  <c r="B6146" i="2"/>
  <c r="B6141" i="2"/>
  <c r="B6128" i="2"/>
  <c r="B6151" i="2"/>
  <c r="B6157" i="2"/>
  <c r="B6153" i="2"/>
  <c r="B6155" i="2"/>
  <c r="B6143" i="2"/>
  <c r="B6142" i="2"/>
  <c r="B6130" i="2"/>
  <c r="B6132" i="2"/>
  <c r="B6127" i="2"/>
  <c r="B6159" i="2"/>
  <c r="B6135" i="2"/>
  <c r="B6144" i="2"/>
  <c r="B6134" i="2"/>
  <c r="B6160" i="2"/>
  <c r="B6156" i="2"/>
  <c r="B6145" i="2"/>
  <c r="B6137" i="2"/>
  <c r="B6126" i="2"/>
  <c r="B6149" i="2"/>
  <c r="B6152" i="2"/>
  <c r="B6138" i="2"/>
  <c r="B6129" i="2"/>
  <c r="B6122" i="2"/>
  <c r="B6140" i="2"/>
  <c r="B6136" i="2"/>
  <c r="B6139" i="2"/>
  <c r="B6072" i="2"/>
  <c r="B6064" i="2"/>
  <c r="B6042" i="2"/>
  <c r="B6062" i="2"/>
  <c r="B6067" i="2"/>
  <c r="B6065" i="2"/>
  <c r="B6058" i="2"/>
  <c r="B6039" i="2"/>
  <c r="B6055" i="2"/>
  <c r="B6053" i="2"/>
  <c r="B6052" i="2"/>
  <c r="B6051" i="2"/>
  <c r="B6044" i="2"/>
  <c r="B6043" i="2"/>
  <c r="B6056" i="2"/>
  <c r="B6071" i="2"/>
  <c r="B6038" i="2"/>
  <c r="B6068" i="2"/>
  <c r="B6061" i="2"/>
  <c r="B6070" i="2"/>
  <c r="B6045" i="2"/>
  <c r="B6050" i="2"/>
  <c r="B6066" i="2"/>
  <c r="B6059" i="2"/>
  <c r="B6057" i="2"/>
  <c r="B6063" i="2"/>
  <c r="B6034" i="2"/>
  <c r="B6037" i="2"/>
  <c r="G6031" i="2"/>
  <c r="B6069" i="2"/>
  <c r="B6060" i="2"/>
  <c r="B6054" i="2"/>
  <c r="B6048" i="2"/>
  <c r="B6035" i="2"/>
  <c r="B6047" i="2"/>
  <c r="B6046" i="2"/>
  <c r="B6040" i="2"/>
  <c r="B6049" i="2"/>
  <c r="B6036" i="2"/>
  <c r="B6041" i="2"/>
  <c r="B6097" i="2"/>
  <c r="B6115" i="2"/>
  <c r="B6086" i="2"/>
  <c r="B6084" i="2"/>
  <c r="B6110" i="2"/>
  <c r="B6089" i="2"/>
  <c r="B6112" i="2"/>
  <c r="B6080" i="2"/>
  <c r="B6103" i="2"/>
  <c r="B6081" i="2"/>
  <c r="B6108" i="2"/>
  <c r="B6107" i="2"/>
  <c r="B6102" i="2"/>
  <c r="B6104" i="2"/>
  <c r="B6090" i="2"/>
  <c r="B6088" i="2"/>
  <c r="B6091" i="2"/>
  <c r="B6094" i="2"/>
  <c r="B6114" i="2"/>
  <c r="B6113" i="2"/>
  <c r="B6079" i="2"/>
  <c r="B6098" i="2"/>
  <c r="B6083" i="2"/>
  <c r="B6116" i="2"/>
  <c r="B6111" i="2"/>
  <c r="B6101" i="2"/>
  <c r="B6109" i="2"/>
  <c r="B6105" i="2"/>
  <c r="B6095" i="2"/>
  <c r="B6100" i="2"/>
  <c r="B6106" i="2"/>
  <c r="B6082" i="2"/>
  <c r="B6096" i="2"/>
  <c r="B6087" i="2"/>
  <c r="B6093" i="2"/>
  <c r="B6099" i="2"/>
  <c r="B6078" i="2"/>
  <c r="B6085" i="2"/>
  <c r="G6075" i="2"/>
  <c r="B6092" i="2"/>
  <c r="B6241" i="2"/>
  <c r="B6231" i="2"/>
  <c r="B6242" i="2"/>
  <c r="B6226" i="2"/>
  <c r="B6234" i="2"/>
  <c r="B6228" i="2"/>
  <c r="B6238" i="2"/>
  <c r="B6233" i="2"/>
  <c r="B6240" i="2"/>
  <c r="B6230" i="2"/>
  <c r="B6219" i="2"/>
  <c r="B6223" i="2"/>
  <c r="B6227" i="2"/>
  <c r="B6217" i="2"/>
  <c r="B6237" i="2"/>
  <c r="B6224" i="2"/>
  <c r="B6225" i="2"/>
  <c r="B6215" i="2"/>
  <c r="B6244" i="2"/>
  <c r="B6248" i="2"/>
  <c r="B6210" i="2"/>
  <c r="B6232" i="2"/>
  <c r="B6243" i="2"/>
  <c r="B6247" i="2"/>
  <c r="B6213" i="2"/>
  <c r="B6235" i="2"/>
  <c r="B6214" i="2"/>
  <c r="B6236" i="2"/>
  <c r="B6216" i="2"/>
  <c r="B6245" i="2"/>
  <c r="B6221" i="2"/>
  <c r="B6222" i="2"/>
  <c r="B6239" i="2"/>
  <c r="B6211" i="2"/>
  <c r="B6212" i="2"/>
  <c r="B6229" i="2"/>
  <c r="B6246" i="2"/>
  <c r="G6207" i="2"/>
  <c r="B6218" i="2"/>
  <c r="B6220" i="2"/>
  <c r="B6329" i="2"/>
  <c r="B6304" i="2"/>
  <c r="B6327" i="2"/>
  <c r="B6302" i="2"/>
  <c r="B6322" i="2"/>
  <c r="B6336" i="2"/>
  <c r="B6320" i="2"/>
  <c r="B6324" i="2"/>
  <c r="B6315" i="2"/>
  <c r="B6312" i="2"/>
  <c r="B6334" i="2"/>
  <c r="B6306" i="2"/>
  <c r="B6328" i="2"/>
  <c r="B6301" i="2"/>
  <c r="B6323" i="2"/>
  <c r="B6318" i="2"/>
  <c r="B6298" i="2"/>
  <c r="B6314" i="2"/>
  <c r="B6332" i="2"/>
  <c r="B6309" i="2"/>
  <c r="B6307" i="2"/>
  <c r="B6330" i="2"/>
  <c r="B6303" i="2"/>
  <c r="B6321" i="2"/>
  <c r="B6335" i="2"/>
  <c r="B6317" i="2"/>
  <c r="B6331" i="2"/>
  <c r="B6305" i="2"/>
  <c r="B6311" i="2"/>
  <c r="B6333" i="2"/>
  <c r="G6295" i="2"/>
  <c r="B6310" i="2"/>
  <c r="B6313" i="2"/>
  <c r="B6319" i="2"/>
  <c r="B6299" i="2"/>
  <c r="B6308" i="2"/>
  <c r="B6326" i="2"/>
  <c r="B6316" i="2"/>
  <c r="B6300" i="2"/>
  <c r="B6325" i="2"/>
  <c r="B6360" i="2"/>
  <c r="B6378" i="2"/>
  <c r="B6345" i="2"/>
  <c r="B6361" i="2"/>
  <c r="G6339" i="2"/>
  <c r="B6354" i="2"/>
  <c r="B6377" i="2"/>
  <c r="B6374" i="2"/>
  <c r="B6347" i="2"/>
  <c r="B6342" i="2"/>
  <c r="B6352" i="2"/>
  <c r="B6351" i="2"/>
  <c r="B6359" i="2"/>
  <c r="B6348" i="2"/>
  <c r="B6356" i="2"/>
  <c r="B6371" i="2"/>
  <c r="B6372" i="2"/>
  <c r="B6379" i="2"/>
  <c r="B6380" i="2"/>
  <c r="B6344" i="2"/>
  <c r="B6357" i="2"/>
  <c r="B6353" i="2"/>
  <c r="B6365" i="2"/>
  <c r="B6370" i="2"/>
  <c r="B6375" i="2"/>
  <c r="B6368" i="2"/>
  <c r="B6346" i="2"/>
  <c r="B6355" i="2"/>
  <c r="B6364" i="2"/>
  <c r="B6350" i="2"/>
  <c r="B6376" i="2"/>
  <c r="B6349" i="2"/>
  <c r="B6362" i="2"/>
  <c r="B6343" i="2"/>
  <c r="B6367" i="2"/>
  <c r="B6373" i="2"/>
  <c r="B6363" i="2"/>
  <c r="B6366" i="2"/>
  <c r="B6369" i="2"/>
  <c r="B6358" i="2"/>
  <c r="B6285" i="2"/>
  <c r="B6266" i="2"/>
  <c r="B6276" i="2"/>
  <c r="B6258" i="2"/>
  <c r="B6278" i="2"/>
  <c r="B6272" i="2"/>
  <c r="B6281" i="2"/>
  <c r="B6257" i="2"/>
  <c r="B6263" i="2"/>
  <c r="B6271" i="2"/>
  <c r="B6274" i="2"/>
  <c r="B6280" i="2"/>
  <c r="B6262" i="2"/>
  <c r="B6284" i="2"/>
  <c r="B6269" i="2"/>
  <c r="B6279" i="2"/>
  <c r="B6283" i="2"/>
  <c r="B6270" i="2"/>
  <c r="B6288" i="2"/>
  <c r="B6292" i="2"/>
  <c r="B6254" i="2"/>
  <c r="B6286" i="2"/>
  <c r="B6290" i="2"/>
  <c r="B6277" i="2"/>
  <c r="B6291" i="2"/>
  <c r="B6265" i="2"/>
  <c r="B6275" i="2"/>
  <c r="B6282" i="2"/>
  <c r="B6259" i="2"/>
  <c r="B6256" i="2"/>
  <c r="B6260" i="2"/>
  <c r="B6273" i="2"/>
  <c r="B6289" i="2"/>
  <c r="B6267" i="2"/>
  <c r="B6255" i="2"/>
  <c r="B6268" i="2"/>
  <c r="B6261" i="2"/>
  <c r="G6251" i="2"/>
  <c r="B6287" i="2"/>
  <c r="B6264" i="2"/>
  <c r="B5889" i="2"/>
  <c r="B5860" i="2"/>
  <c r="B5863" i="2"/>
  <c r="B5874" i="2"/>
  <c r="B5891" i="2"/>
  <c r="B5886" i="2"/>
  <c r="B5877" i="2"/>
  <c r="B5878" i="2"/>
  <c r="B5858" i="2"/>
  <c r="B5866" i="2"/>
  <c r="B5869" i="2"/>
  <c r="B5895" i="2"/>
  <c r="B5894" i="2"/>
  <c r="B5865" i="2"/>
  <c r="B5879" i="2"/>
  <c r="B5859" i="2"/>
  <c r="B5892" i="2"/>
  <c r="B5887" i="2"/>
  <c r="B5861" i="2"/>
  <c r="B5871" i="2"/>
  <c r="B5896" i="2"/>
  <c r="B5888" i="2"/>
  <c r="B5884" i="2"/>
  <c r="B5872" i="2"/>
  <c r="B5890" i="2"/>
  <c r="B5885" i="2"/>
  <c r="B5882" i="2"/>
  <c r="B5880" i="2"/>
  <c r="B5864" i="2"/>
  <c r="B5883" i="2"/>
  <c r="B5868" i="2"/>
  <c r="B5867" i="2"/>
  <c r="B5881" i="2"/>
  <c r="B5893" i="2"/>
  <c r="B5862" i="2"/>
  <c r="B5873" i="2"/>
  <c r="B5876" i="2"/>
  <c r="G5855" i="2"/>
  <c r="B5870" i="2"/>
  <c r="B5875" i="2"/>
  <c r="B5553" i="2"/>
  <c r="B5583" i="2"/>
  <c r="B5551" i="2"/>
  <c r="B5572" i="2"/>
  <c r="B5570" i="2"/>
  <c r="B5563" i="2"/>
  <c r="B5587" i="2"/>
  <c r="B5566" i="2"/>
  <c r="B5557" i="2"/>
  <c r="B5550" i="2"/>
  <c r="B5588" i="2"/>
  <c r="B5584" i="2"/>
  <c r="B5558" i="2"/>
  <c r="B5564" i="2"/>
  <c r="B5585" i="2"/>
  <c r="B5577" i="2"/>
  <c r="B5580" i="2"/>
  <c r="B5554" i="2"/>
  <c r="B5556" i="2"/>
  <c r="B5571" i="2"/>
  <c r="B5581" i="2"/>
  <c r="B5568" i="2"/>
  <c r="B5574" i="2"/>
  <c r="B5586" i="2"/>
  <c r="B5552" i="2"/>
  <c r="B5561" i="2"/>
  <c r="G5547" i="2"/>
  <c r="B5559" i="2"/>
  <c r="B5576" i="2"/>
  <c r="B5575" i="2"/>
  <c r="B5579" i="2"/>
  <c r="B5565" i="2"/>
  <c r="B5569" i="2"/>
  <c r="B5562" i="2"/>
  <c r="B5582" i="2"/>
  <c r="B5578" i="2"/>
  <c r="B5560" i="2"/>
  <c r="B5555" i="2"/>
  <c r="B5567" i="2"/>
  <c r="B5573" i="2"/>
  <c r="B5669" i="2"/>
  <c r="B5643" i="2"/>
  <c r="B5653" i="2"/>
  <c r="B5654" i="2"/>
  <c r="B5672" i="2"/>
  <c r="B5657" i="2"/>
  <c r="B5641" i="2"/>
  <c r="B5659" i="2"/>
  <c r="B5664" i="2"/>
  <c r="B5673" i="2"/>
  <c r="G5635" i="2"/>
  <c r="B5638" i="2"/>
  <c r="B5666" i="2"/>
  <c r="B5667" i="2"/>
  <c r="B5639" i="2"/>
  <c r="B5648" i="2"/>
  <c r="B5650" i="2"/>
  <c r="B5671" i="2"/>
  <c r="B5674" i="2"/>
  <c r="B5647" i="2"/>
  <c r="B5656" i="2"/>
  <c r="B5658" i="2"/>
  <c r="B5640" i="2"/>
  <c r="B5652" i="2"/>
  <c r="B5655" i="2"/>
  <c r="B5665" i="2"/>
  <c r="B5670" i="2"/>
  <c r="B5645" i="2"/>
  <c r="B5646" i="2"/>
  <c r="B5668" i="2"/>
  <c r="B5649" i="2"/>
  <c r="B5661" i="2"/>
  <c r="B5662" i="2"/>
  <c r="B5675" i="2"/>
  <c r="B5663" i="2"/>
  <c r="B5676" i="2"/>
  <c r="B5651" i="2"/>
  <c r="B5644" i="2"/>
  <c r="B5660" i="2"/>
  <c r="B5642" i="2"/>
  <c r="B5621" i="2"/>
  <c r="B5624" i="2"/>
  <c r="B5608" i="2"/>
  <c r="B5626" i="2"/>
  <c r="B5615" i="2"/>
  <c r="B5604" i="2"/>
  <c r="B5611" i="2"/>
  <c r="B5630" i="2"/>
  <c r="B5614" i="2"/>
  <c r="B5599" i="2"/>
  <c r="B5625" i="2"/>
  <c r="G5591" i="2"/>
  <c r="B5603" i="2"/>
  <c r="B5623" i="2"/>
  <c r="B5606" i="2"/>
  <c r="B5613" i="2"/>
  <c r="B5595" i="2"/>
  <c r="B5617" i="2"/>
  <c r="B5620" i="2"/>
  <c r="B5594" i="2"/>
  <c r="B5605" i="2"/>
  <c r="B5596" i="2"/>
  <c r="B5610" i="2"/>
  <c r="B5616" i="2"/>
  <c r="B5629" i="2"/>
  <c r="B5632" i="2"/>
  <c r="B5628" i="2"/>
  <c r="B5598" i="2"/>
  <c r="B5601" i="2"/>
  <c r="B5622" i="2"/>
  <c r="B5631" i="2"/>
  <c r="B5618" i="2"/>
  <c r="B5619" i="2"/>
  <c r="B5597" i="2"/>
  <c r="B5627" i="2"/>
  <c r="B5602" i="2"/>
  <c r="B5600" i="2"/>
  <c r="B5609" i="2"/>
  <c r="B5612" i="2"/>
  <c r="B5607" i="2"/>
  <c r="B5456" i="2"/>
  <c r="B5435" i="2"/>
  <c r="B5423" i="2"/>
  <c r="B5440" i="2"/>
  <c r="B5438" i="2"/>
  <c r="B5449" i="2"/>
  <c r="B5436" i="2"/>
  <c r="G5415" i="2"/>
  <c r="B5434" i="2"/>
  <c r="B5425" i="2"/>
  <c r="B5437" i="2"/>
  <c r="B5428" i="2"/>
  <c r="B5419" i="2"/>
  <c r="B5426" i="2"/>
  <c r="B5432" i="2"/>
  <c r="B5429" i="2"/>
  <c r="B5455" i="2"/>
  <c r="B5453" i="2"/>
  <c r="B5422" i="2"/>
  <c r="B5424" i="2"/>
  <c r="B5421" i="2"/>
  <c r="B5452" i="2"/>
  <c r="B5454" i="2"/>
  <c r="B5451" i="2"/>
  <c r="B5446" i="2"/>
  <c r="B5418" i="2"/>
  <c r="B5441" i="2"/>
  <c r="B5420" i="2"/>
  <c r="B5444" i="2"/>
  <c r="B5430" i="2"/>
  <c r="B5447" i="2"/>
  <c r="B5445" i="2"/>
  <c r="B5433" i="2"/>
  <c r="B5427" i="2"/>
  <c r="B5431" i="2"/>
  <c r="B5448" i="2"/>
  <c r="B5442" i="2"/>
  <c r="B5450" i="2"/>
  <c r="B5443" i="2"/>
  <c r="B5439" i="2"/>
  <c r="B5808" i="2"/>
  <c r="B5804" i="2"/>
  <c r="B5778" i="2"/>
  <c r="B5784" i="2"/>
  <c r="B5770" i="2"/>
  <c r="B5797" i="2"/>
  <c r="B5803" i="2"/>
  <c r="B5776" i="2"/>
  <c r="B5805" i="2"/>
  <c r="B5800" i="2"/>
  <c r="B5788" i="2"/>
  <c r="B5794" i="2"/>
  <c r="B5806" i="2"/>
  <c r="B5772" i="2"/>
  <c r="B5775" i="2"/>
  <c r="B5801" i="2"/>
  <c r="B5780" i="2"/>
  <c r="B5787" i="2"/>
  <c r="B5799" i="2"/>
  <c r="B5802" i="2"/>
  <c r="B5789" i="2"/>
  <c r="G5767" i="2"/>
  <c r="B5779" i="2"/>
  <c r="B5796" i="2"/>
  <c r="B5795" i="2"/>
  <c r="B5781" i="2"/>
  <c r="B5798" i="2"/>
  <c r="B5771" i="2"/>
  <c r="B5792" i="2"/>
  <c r="B5790" i="2"/>
  <c r="B5783" i="2"/>
  <c r="B5807" i="2"/>
  <c r="B5786" i="2"/>
  <c r="B5777" i="2"/>
  <c r="B5774" i="2"/>
  <c r="B5785" i="2"/>
  <c r="B5773" i="2"/>
  <c r="B5791" i="2"/>
  <c r="B5793" i="2"/>
  <c r="B5782" i="2"/>
  <c r="B6021" i="2"/>
  <c r="B6017" i="2"/>
  <c r="B5990" i="2"/>
  <c r="B5992" i="2"/>
  <c r="B6005" i="2"/>
  <c r="B6009" i="2"/>
  <c r="B6008" i="2"/>
  <c r="B6027" i="2"/>
  <c r="B6013" i="2"/>
  <c r="B5997" i="2"/>
  <c r="B6001" i="2"/>
  <c r="B6000" i="2"/>
  <c r="B6024" i="2"/>
  <c r="B6006" i="2"/>
  <c r="B6025" i="2"/>
  <c r="B5993" i="2"/>
  <c r="G5987" i="2"/>
  <c r="B6020" i="2"/>
  <c r="B5998" i="2"/>
  <c r="B6023" i="2"/>
  <c r="B5996" i="2"/>
  <c r="B6004" i="2"/>
  <c r="B6014" i="2"/>
  <c r="B6026" i="2"/>
  <c r="B6018" i="2"/>
  <c r="B6002" i="2"/>
  <c r="B5999" i="2"/>
  <c r="B6016" i="2"/>
  <c r="B6003" i="2"/>
  <c r="B6015" i="2"/>
  <c r="B6022" i="2"/>
  <c r="B6007" i="2"/>
  <c r="B6019" i="2"/>
  <c r="B6011" i="2"/>
  <c r="B6010" i="2"/>
  <c r="B6028" i="2"/>
  <c r="B5994" i="2"/>
  <c r="B5991" i="2"/>
  <c r="B6012" i="2"/>
  <c r="B5995" i="2"/>
  <c r="B5500" i="2"/>
  <c r="B5486" i="2"/>
  <c r="B5498" i="2"/>
  <c r="B5468" i="2"/>
  <c r="B5467" i="2"/>
  <c r="B5481" i="2"/>
  <c r="B5480" i="2"/>
  <c r="B5471" i="2"/>
  <c r="B5488" i="2"/>
  <c r="B5494" i="2"/>
  <c r="B5473" i="2"/>
  <c r="B5472" i="2"/>
  <c r="B5463" i="2"/>
  <c r="B5484" i="2"/>
  <c r="B5487" i="2"/>
  <c r="B5465" i="2"/>
  <c r="G5459" i="2"/>
  <c r="B5485" i="2"/>
  <c r="B5477" i="2"/>
  <c r="B5482" i="2"/>
  <c r="B5497" i="2"/>
  <c r="B5499" i="2"/>
  <c r="B5469" i="2"/>
  <c r="B5478" i="2"/>
  <c r="B5474" i="2"/>
  <c r="B5490" i="2"/>
  <c r="B5492" i="2"/>
  <c r="B5466" i="2"/>
  <c r="B5491" i="2"/>
  <c r="B5493" i="2"/>
  <c r="B5476" i="2"/>
  <c r="B5462" i="2"/>
  <c r="B5479" i="2"/>
  <c r="B5483" i="2"/>
  <c r="B5496" i="2"/>
  <c r="B5495" i="2"/>
  <c r="B5489" i="2"/>
  <c r="B5464" i="2"/>
  <c r="B5470" i="2"/>
  <c r="B5475" i="2"/>
  <c r="B5525" i="2"/>
  <c r="B5543" i="2"/>
  <c r="B5534" i="2"/>
  <c r="B5542" i="2"/>
  <c r="B5538" i="2"/>
  <c r="B5509" i="2"/>
  <c r="B5536" i="2"/>
  <c r="B5511" i="2"/>
  <c r="B5532" i="2"/>
  <c r="B5526" i="2"/>
  <c r="G5503" i="2"/>
  <c r="B5530" i="2"/>
  <c r="B5529" i="2"/>
  <c r="B5528" i="2"/>
  <c r="B5518" i="2"/>
  <c r="B5544" i="2"/>
  <c r="B5523" i="2"/>
  <c r="B5522" i="2"/>
  <c r="B5521" i="2"/>
  <c r="B5506" i="2"/>
  <c r="B5515" i="2"/>
  <c r="B5513" i="2"/>
  <c r="B5533" i="2"/>
  <c r="B5514" i="2"/>
  <c r="B5507" i="2"/>
  <c r="B5537" i="2"/>
  <c r="B5516" i="2"/>
  <c r="B5539" i="2"/>
  <c r="B5519" i="2"/>
  <c r="B5512" i="2"/>
  <c r="B5540" i="2"/>
  <c r="B5527" i="2"/>
  <c r="B5510" i="2"/>
  <c r="B5541" i="2"/>
  <c r="B5517" i="2"/>
  <c r="B5508" i="2"/>
  <c r="B5520" i="2"/>
  <c r="B5531" i="2"/>
  <c r="B5535" i="2"/>
  <c r="B5524" i="2"/>
  <c r="B5951" i="2"/>
  <c r="B5976" i="2"/>
  <c r="B5954" i="2"/>
  <c r="B5968" i="2"/>
  <c r="B5950" i="2"/>
  <c r="B5984" i="2"/>
  <c r="B5970" i="2"/>
  <c r="B5946" i="2"/>
  <c r="B5961" i="2"/>
  <c r="G5943" i="2"/>
  <c r="B5973" i="2"/>
  <c r="B5963" i="2"/>
  <c r="B5952" i="2"/>
  <c r="B5953" i="2"/>
  <c r="B5979" i="2"/>
  <c r="B5964" i="2"/>
  <c r="B5955" i="2"/>
  <c r="B5981" i="2"/>
  <c r="B5960" i="2"/>
  <c r="B5959" i="2"/>
  <c r="B5977" i="2"/>
  <c r="B5956" i="2"/>
  <c r="B5974" i="2"/>
  <c r="B5967" i="2"/>
  <c r="B5978" i="2"/>
  <c r="B5983" i="2"/>
  <c r="B5969" i="2"/>
  <c r="B5965" i="2"/>
  <c r="B5948" i="2"/>
  <c r="B5947" i="2"/>
  <c r="B5982" i="2"/>
  <c r="B5971" i="2"/>
  <c r="B5957" i="2"/>
  <c r="B5975" i="2"/>
  <c r="B5949" i="2"/>
  <c r="B5980" i="2"/>
  <c r="B5962" i="2"/>
  <c r="B5972" i="2"/>
  <c r="B5958" i="2"/>
  <c r="B5966" i="2"/>
  <c r="B5701" i="2"/>
  <c r="B5695" i="2"/>
  <c r="B5705" i="2"/>
  <c r="B5704" i="2"/>
  <c r="B5702" i="2"/>
  <c r="B5685" i="2"/>
  <c r="B5716" i="2"/>
  <c r="B5690" i="2"/>
  <c r="B5689" i="2"/>
  <c r="B5686" i="2"/>
  <c r="B5720" i="2"/>
  <c r="B5712" i="2"/>
  <c r="B5710" i="2"/>
  <c r="B5696" i="2"/>
  <c r="B5682" i="2"/>
  <c r="B5709" i="2"/>
  <c r="B5706" i="2"/>
  <c r="B5703" i="2"/>
  <c r="B5688" i="2"/>
  <c r="G5679" i="2"/>
  <c r="B5700" i="2"/>
  <c r="B5699" i="2"/>
  <c r="B5718" i="2"/>
  <c r="B5684" i="2"/>
  <c r="B5683" i="2"/>
  <c r="B5713" i="2"/>
  <c r="B5715" i="2"/>
  <c r="B5717" i="2"/>
  <c r="B5708" i="2"/>
  <c r="B5707" i="2"/>
  <c r="B5719" i="2"/>
  <c r="B5691" i="2"/>
  <c r="B5698" i="2"/>
  <c r="B5711" i="2"/>
  <c r="B5694" i="2"/>
  <c r="B5697" i="2"/>
  <c r="B5714" i="2"/>
  <c r="B5693" i="2"/>
  <c r="B5692" i="2"/>
  <c r="B5687" i="2"/>
  <c r="B5933" i="2"/>
  <c r="B5922" i="2"/>
  <c r="B5916" i="2"/>
  <c r="B5923" i="2"/>
  <c r="B5926" i="2"/>
  <c r="B5920" i="2"/>
  <c r="B5935" i="2"/>
  <c r="B5927" i="2"/>
  <c r="B5902" i="2"/>
  <c r="B5932" i="2"/>
  <c r="B5929" i="2"/>
  <c r="B5934" i="2"/>
  <c r="B5909" i="2"/>
  <c r="B5906" i="2"/>
  <c r="B5936" i="2"/>
  <c r="B5940" i="2"/>
  <c r="B5907" i="2"/>
  <c r="B5917" i="2"/>
  <c r="B5910" i="2"/>
  <c r="B5939" i="2"/>
  <c r="B5905" i="2"/>
  <c r="B5915" i="2"/>
  <c r="B5924" i="2"/>
  <c r="B5918" i="2"/>
  <c r="B5903" i="2"/>
  <c r="B5913" i="2"/>
  <c r="B5930" i="2"/>
  <c r="B5928" i="2"/>
  <c r="B5925" i="2"/>
  <c r="G5899" i="2"/>
  <c r="B5921" i="2"/>
  <c r="B5914" i="2"/>
  <c r="B5904" i="2"/>
  <c r="B5938" i="2"/>
  <c r="B5919" i="2"/>
  <c r="B5912" i="2"/>
  <c r="B5937" i="2"/>
  <c r="B5931" i="2"/>
  <c r="B5911" i="2"/>
  <c r="B5908" i="2"/>
  <c r="B5732" i="2"/>
  <c r="B5728" i="2"/>
  <c r="B5727" i="2"/>
  <c r="B5755" i="2"/>
  <c r="B5738" i="2"/>
  <c r="B5739" i="2"/>
  <c r="B5763" i="2"/>
  <c r="B5742" i="2"/>
  <c r="B5748" i="2"/>
  <c r="B5726" i="2"/>
  <c r="B5764" i="2"/>
  <c r="B5760" i="2"/>
  <c r="B5734" i="2"/>
  <c r="B5741" i="2"/>
  <c r="B5740" i="2"/>
  <c r="B5757" i="2"/>
  <c r="B5753" i="2"/>
  <c r="B5756" i="2"/>
  <c r="B5759" i="2"/>
  <c r="B5733" i="2"/>
  <c r="B5745" i="2"/>
  <c r="B5744" i="2"/>
  <c r="B5750" i="2"/>
  <c r="B5747" i="2"/>
  <c r="B5758" i="2"/>
  <c r="B5729" i="2"/>
  <c r="G5723" i="2"/>
  <c r="B5735" i="2"/>
  <c r="B5762" i="2"/>
  <c r="B5746" i="2"/>
  <c r="B5752" i="2"/>
  <c r="B5737" i="2"/>
  <c r="B5751" i="2"/>
  <c r="B5749" i="2"/>
  <c r="B5754" i="2"/>
  <c r="B5730" i="2"/>
  <c r="B5736" i="2"/>
  <c r="B5761" i="2"/>
  <c r="B5743" i="2"/>
  <c r="B5731" i="2"/>
  <c r="B5827" i="2"/>
  <c r="B5830" i="2"/>
  <c r="B5851" i="2"/>
  <c r="B5822" i="2"/>
  <c r="B5834" i="2"/>
  <c r="B5819" i="2"/>
  <c r="B5850" i="2"/>
  <c r="B5818" i="2"/>
  <c r="B5845" i="2"/>
  <c r="B5848" i="2"/>
  <c r="B5833" i="2"/>
  <c r="B5814" i="2"/>
  <c r="B5840" i="2"/>
  <c r="B5844" i="2"/>
  <c r="B5828" i="2"/>
  <c r="B5825" i="2"/>
  <c r="B5852" i="2"/>
  <c r="B5836" i="2"/>
  <c r="B5838" i="2"/>
  <c r="B5820" i="2"/>
  <c r="B5817" i="2"/>
  <c r="B5841" i="2"/>
  <c r="B5821" i="2"/>
  <c r="B5831" i="2"/>
  <c r="B5816" i="2"/>
  <c r="B5843" i="2"/>
  <c r="B5832" i="2"/>
  <c r="B5846" i="2"/>
  <c r="B5823" i="2"/>
  <c r="B5849" i="2"/>
  <c r="B5835" i="2"/>
  <c r="G5811" i="2"/>
  <c r="B5826" i="2"/>
  <c r="B5837" i="2"/>
  <c r="B5842" i="2"/>
  <c r="B5847" i="2"/>
  <c r="B5829" i="2"/>
  <c r="B5839" i="2"/>
  <c r="B5824" i="2"/>
  <c r="B5815" i="2"/>
  <c r="B5141" i="2"/>
  <c r="B5115" i="2"/>
  <c r="B5138" i="2"/>
  <c r="B5114" i="2"/>
  <c r="B5140" i="2"/>
  <c r="B5148" i="2"/>
  <c r="B5110" i="2"/>
  <c r="B5136" i="2"/>
  <c r="B5122" i="2"/>
  <c r="B5116" i="2"/>
  <c r="B5118" i="2"/>
  <c r="B5144" i="2"/>
  <c r="B5113" i="2"/>
  <c r="B5143" i="2"/>
  <c r="B5128" i="2"/>
  <c r="B5135" i="2"/>
  <c r="B5124" i="2"/>
  <c r="B5126" i="2"/>
  <c r="B5147" i="2"/>
  <c r="B5121" i="2"/>
  <c r="B5127" i="2"/>
  <c r="B5123" i="2"/>
  <c r="B5117" i="2"/>
  <c r="B5133" i="2"/>
  <c r="B5146" i="2"/>
  <c r="B5129" i="2"/>
  <c r="B5145" i="2"/>
  <c r="B5125" i="2"/>
  <c r="B5111" i="2"/>
  <c r="G5107" i="2"/>
  <c r="B5112" i="2"/>
  <c r="B5131" i="2"/>
  <c r="B5132" i="2"/>
  <c r="B5119" i="2"/>
  <c r="B5120" i="2"/>
  <c r="B5142" i="2"/>
  <c r="B5130" i="2"/>
  <c r="B5139" i="2"/>
  <c r="B5134" i="2"/>
  <c r="B5137" i="2"/>
  <c r="B5185" i="2"/>
  <c r="B5156" i="2"/>
  <c r="B5183" i="2"/>
  <c r="B5158" i="2"/>
  <c r="B5178" i="2"/>
  <c r="B5192" i="2"/>
  <c r="B5176" i="2"/>
  <c r="B5160" i="2"/>
  <c r="B5190" i="2"/>
  <c r="B5162" i="2"/>
  <c r="B5184" i="2"/>
  <c r="B5157" i="2"/>
  <c r="B5174" i="2"/>
  <c r="B5187" i="2"/>
  <c r="B5172" i="2"/>
  <c r="B5168" i="2"/>
  <c r="B5154" i="2"/>
  <c r="B5170" i="2"/>
  <c r="B5188" i="2"/>
  <c r="B5165" i="2"/>
  <c r="B5163" i="2"/>
  <c r="B5182" i="2"/>
  <c r="B5159" i="2"/>
  <c r="B5177" i="2"/>
  <c r="B5191" i="2"/>
  <c r="B5173" i="2"/>
  <c r="B5161" i="2"/>
  <c r="B5167" i="2"/>
  <c r="B5179" i="2"/>
  <c r="G5151" i="2"/>
  <c r="B5166" i="2"/>
  <c r="B5169" i="2"/>
  <c r="B5175" i="2"/>
  <c r="B5155" i="2"/>
  <c r="B5164" i="2"/>
  <c r="B5186" i="2"/>
  <c r="B5180" i="2"/>
  <c r="B5189" i="2"/>
  <c r="B5171" i="2"/>
  <c r="B5181" i="2"/>
  <c r="B5216" i="2"/>
  <c r="B5232" i="2"/>
  <c r="B5214" i="2"/>
  <c r="B5205" i="2"/>
  <c r="B5200" i="2"/>
  <c r="B5208" i="2"/>
  <c r="B5228" i="2"/>
  <c r="B5206" i="2"/>
  <c r="B5219" i="2"/>
  <c r="B5231" i="2"/>
  <c r="B5203" i="2"/>
  <c r="B5226" i="2"/>
  <c r="B5220" i="2"/>
  <c r="B5229" i="2"/>
  <c r="G5195" i="2"/>
  <c r="B5222" i="2"/>
  <c r="B5202" i="2"/>
  <c r="B5230" i="2"/>
  <c r="B5198" i="2"/>
  <c r="B5217" i="2"/>
  <c r="B5212" i="2"/>
  <c r="B5215" i="2"/>
  <c r="B5234" i="2"/>
  <c r="B5223" i="2"/>
  <c r="B5209" i="2"/>
  <c r="B5233" i="2"/>
  <c r="B5207" i="2"/>
  <c r="B5227" i="2"/>
  <c r="B5218" i="2"/>
  <c r="B5201" i="2"/>
  <c r="B5211" i="2"/>
  <c r="B5199" i="2"/>
  <c r="B5224" i="2"/>
  <c r="B5210" i="2"/>
  <c r="B5236" i="2"/>
  <c r="B5225" i="2"/>
  <c r="B5235" i="2"/>
  <c r="B5221" i="2"/>
  <c r="B5213" i="2"/>
  <c r="B5204" i="2"/>
  <c r="B5273" i="2"/>
  <c r="G5239" i="2"/>
  <c r="B5243" i="2"/>
  <c r="B5275" i="2"/>
  <c r="B5267" i="2"/>
  <c r="B5255" i="2"/>
  <c r="B5261" i="2"/>
  <c r="B5263" i="2"/>
  <c r="B5248" i="2"/>
  <c r="B5278" i="2"/>
  <c r="B5262" i="2"/>
  <c r="B5259" i="2"/>
  <c r="B5253" i="2"/>
  <c r="B5279" i="2"/>
  <c r="B5270" i="2"/>
  <c r="B5271" i="2"/>
  <c r="B5254" i="2"/>
  <c r="B5246" i="2"/>
  <c r="B5245" i="2"/>
  <c r="B5276" i="2"/>
  <c r="B5265" i="2"/>
  <c r="B5268" i="2"/>
  <c r="B5242" i="2"/>
  <c r="B5260" i="2"/>
  <c r="B5280" i="2"/>
  <c r="B5272" i="2"/>
  <c r="B5258" i="2"/>
  <c r="B5264" i="2"/>
  <c r="B5256" i="2"/>
  <c r="B5249" i="2"/>
  <c r="B5269" i="2"/>
  <c r="B5266" i="2"/>
  <c r="B5250" i="2"/>
  <c r="B5257" i="2"/>
  <c r="B5277" i="2"/>
  <c r="B5252" i="2"/>
  <c r="B5251" i="2"/>
  <c r="B5244" i="2"/>
  <c r="B5274" i="2"/>
  <c r="B5247" i="2"/>
  <c r="B5368" i="2"/>
  <c r="B5354" i="2"/>
  <c r="B5338" i="2"/>
  <c r="B5352" i="2"/>
  <c r="B5342" i="2"/>
  <c r="B5335" i="2"/>
  <c r="B5364" i="2"/>
  <c r="B5357" i="2"/>
  <c r="B5347" i="2"/>
  <c r="B5336" i="2"/>
  <c r="B5345" i="2"/>
  <c r="B5334" i="2"/>
  <c r="B5366" i="2"/>
  <c r="B5348" i="2"/>
  <c r="B5339" i="2"/>
  <c r="B5365" i="2"/>
  <c r="B5337" i="2"/>
  <c r="B5343" i="2"/>
  <c r="B5361" i="2"/>
  <c r="B5340" i="2"/>
  <c r="B5331" i="2"/>
  <c r="B5363" i="2"/>
  <c r="B5351" i="2"/>
  <c r="B5359" i="2"/>
  <c r="B5349" i="2"/>
  <c r="B5330" i="2"/>
  <c r="G5327" i="2"/>
  <c r="B5358" i="2"/>
  <c r="B5332" i="2"/>
  <c r="B5333" i="2"/>
  <c r="B5355" i="2"/>
  <c r="B5341" i="2"/>
  <c r="B5367" i="2"/>
  <c r="B5362" i="2"/>
  <c r="B5353" i="2"/>
  <c r="B5344" i="2"/>
  <c r="B5360" i="2"/>
  <c r="B5346" i="2"/>
  <c r="B5356" i="2"/>
  <c r="B5350" i="2"/>
  <c r="B5401" i="2"/>
  <c r="B5408" i="2"/>
  <c r="B5390" i="2"/>
  <c r="B5388" i="2"/>
  <c r="B5378" i="2"/>
  <c r="B5402" i="2"/>
  <c r="B5405" i="2"/>
  <c r="B5392" i="2"/>
  <c r="B5404" i="2"/>
  <c r="B5382" i="2"/>
  <c r="B5380" i="2"/>
  <c r="B5394" i="2"/>
  <c r="B5393" i="2"/>
  <c r="B5384" i="2"/>
  <c r="B5398" i="2"/>
  <c r="B5410" i="2"/>
  <c r="B5387" i="2"/>
  <c r="B5389" i="2"/>
  <c r="B5385" i="2"/>
  <c r="B5374" i="2"/>
  <c r="B5391" i="2"/>
  <c r="B5403" i="2"/>
  <c r="B5379" i="2"/>
  <c r="G5371" i="2"/>
  <c r="B5377" i="2"/>
  <c r="B5409" i="2"/>
  <c r="B5383" i="2"/>
  <c r="B5400" i="2"/>
  <c r="B5406" i="2"/>
  <c r="B5376" i="2"/>
  <c r="B5395" i="2"/>
  <c r="B5407" i="2"/>
  <c r="B5375" i="2"/>
  <c r="B5396" i="2"/>
  <c r="B5399" i="2"/>
  <c r="B5412" i="2"/>
  <c r="B5411" i="2"/>
  <c r="B5397" i="2"/>
  <c r="B5381" i="2"/>
  <c r="B5386" i="2"/>
  <c r="B5304" i="2"/>
  <c r="B5310" i="2"/>
  <c r="B5315" i="2"/>
  <c r="B5291" i="2"/>
  <c r="B5311" i="2"/>
  <c r="B5306" i="2"/>
  <c r="B5295" i="2"/>
  <c r="B5298" i="2"/>
  <c r="B5301" i="2"/>
  <c r="B5321" i="2"/>
  <c r="B5320" i="2"/>
  <c r="B5318" i="2"/>
  <c r="B5288" i="2"/>
  <c r="B5303" i="2"/>
  <c r="B5312" i="2"/>
  <c r="B5300" i="2"/>
  <c r="B5324" i="2"/>
  <c r="B5292" i="2"/>
  <c r="G5283" i="2"/>
  <c r="B5297" i="2"/>
  <c r="B5286" i="2"/>
  <c r="B5308" i="2"/>
  <c r="B5305" i="2"/>
  <c r="B5299" i="2"/>
  <c r="B5314" i="2"/>
  <c r="B5313" i="2"/>
  <c r="B5309" i="2"/>
  <c r="B5290" i="2"/>
  <c r="B5294" i="2"/>
  <c r="B5307" i="2"/>
  <c r="B5296" i="2"/>
  <c r="B5302" i="2"/>
  <c r="B5293" i="2"/>
  <c r="B5319" i="2"/>
  <c r="B5323" i="2"/>
  <c r="B5289" i="2"/>
  <c r="B5287" i="2"/>
  <c r="B5317" i="2"/>
  <c r="B5316" i="2"/>
  <c r="B5322" i="2"/>
  <c r="B5053" i="2"/>
  <c r="B5055" i="2"/>
  <c r="B5022" i="2"/>
  <c r="B5028" i="2"/>
  <c r="B5046" i="2"/>
  <c r="B5032" i="2"/>
  <c r="B5029" i="2"/>
  <c r="B5034" i="2"/>
  <c r="B5036" i="2"/>
  <c r="B5052" i="2"/>
  <c r="B5040" i="2"/>
  <c r="B5045" i="2"/>
  <c r="B5037" i="2"/>
  <c r="B5042" i="2"/>
  <c r="B5030" i="2"/>
  <c r="B5056" i="2"/>
  <c r="B5049" i="2"/>
  <c r="B5044" i="2"/>
  <c r="B5047" i="2"/>
  <c r="B5038" i="2"/>
  <c r="B5059" i="2"/>
  <c r="B5060" i="2"/>
  <c r="B5048" i="2"/>
  <c r="B5054" i="2"/>
  <c r="B5033" i="2"/>
  <c r="B5050" i="2"/>
  <c r="B5051" i="2"/>
  <c r="B5027" i="2"/>
  <c r="B5023" i="2"/>
  <c r="B5043" i="2"/>
  <c r="B5041" i="2"/>
  <c r="B5058" i="2"/>
  <c r="B5035" i="2"/>
  <c r="B5031" i="2"/>
  <c r="G5019" i="2"/>
  <c r="B5026" i="2"/>
  <c r="B5025" i="2"/>
  <c r="B5057" i="2"/>
  <c r="B5039" i="2"/>
  <c r="B5024" i="2"/>
  <c r="B4981" i="2"/>
  <c r="B4980" i="2"/>
  <c r="B5006" i="2"/>
  <c r="B5014" i="2"/>
  <c r="B5013" i="2"/>
  <c r="B4999" i="2"/>
  <c r="B5003" i="2"/>
  <c r="B4983" i="2"/>
  <c r="B5007" i="2"/>
  <c r="B4991" i="2"/>
  <c r="B5016" i="2"/>
  <c r="B4993" i="2"/>
  <c r="B4982" i="2"/>
  <c r="B5010" i="2"/>
  <c r="B5015" i="2"/>
  <c r="B5001" i="2"/>
  <c r="B5004" i="2"/>
  <c r="B4979" i="2"/>
  <c r="B4990" i="2"/>
  <c r="B5012" i="2"/>
  <c r="B4994" i="2"/>
  <c r="B5000" i="2"/>
  <c r="B4998" i="2"/>
  <c r="B5008" i="2"/>
  <c r="B4986" i="2"/>
  <c r="B4984" i="2"/>
  <c r="B5009" i="2"/>
  <c r="B5005" i="2"/>
  <c r="B5002" i="2"/>
  <c r="B4978" i="2"/>
  <c r="B4985" i="2"/>
  <c r="B4997" i="2"/>
  <c r="B4996" i="2"/>
  <c r="B4995" i="2"/>
  <c r="G4975" i="2"/>
  <c r="B4992" i="2"/>
  <c r="B4989" i="2"/>
  <c r="B4988" i="2"/>
  <c r="B4987" i="2"/>
  <c r="B5011" i="2"/>
  <c r="B4945" i="2"/>
  <c r="B4972" i="2"/>
  <c r="B4967" i="2"/>
  <c r="B4958" i="2"/>
  <c r="B4970" i="2"/>
  <c r="B4937" i="2"/>
  <c r="B4961" i="2"/>
  <c r="B4955" i="2"/>
  <c r="B4951" i="2"/>
  <c r="B4963" i="2"/>
  <c r="B4966" i="2"/>
  <c r="B4949" i="2"/>
  <c r="B4969" i="2"/>
  <c r="B4952" i="2"/>
  <c r="B4947" i="2"/>
  <c r="B4943" i="2"/>
  <c r="B4960" i="2"/>
  <c r="B4940" i="2"/>
  <c r="B4962" i="2"/>
  <c r="B4944" i="2"/>
  <c r="B4939" i="2"/>
  <c r="B4935" i="2"/>
  <c r="B4956" i="2"/>
  <c r="B4959" i="2"/>
  <c r="B4957" i="2"/>
  <c r="B4934" i="2"/>
  <c r="B4938" i="2"/>
  <c r="B4954" i="2"/>
  <c r="G4931" i="2"/>
  <c r="B4971" i="2"/>
  <c r="B4950" i="2"/>
  <c r="B4941" i="2"/>
  <c r="B4965" i="2"/>
  <c r="B4946" i="2"/>
  <c r="B4948" i="2"/>
  <c r="B4968" i="2"/>
  <c r="B4942" i="2"/>
  <c r="B4936" i="2"/>
  <c r="B4953" i="2"/>
  <c r="B4964" i="2"/>
  <c r="B4928" i="2"/>
  <c r="B4902" i="2"/>
  <c r="G4887" i="2"/>
  <c r="B4926" i="2"/>
  <c r="B4915" i="2"/>
  <c r="B4917" i="2"/>
  <c r="B4927" i="2"/>
  <c r="B4923" i="2"/>
  <c r="B4919" i="2"/>
  <c r="B4910" i="2"/>
  <c r="B4892" i="2"/>
  <c r="B4898" i="2"/>
  <c r="B4899" i="2"/>
  <c r="B4894" i="2"/>
  <c r="B4921" i="2"/>
  <c r="B4908" i="2"/>
  <c r="B4924" i="2"/>
  <c r="B4913" i="2"/>
  <c r="B4916" i="2"/>
  <c r="B4893" i="2"/>
  <c r="B4909" i="2"/>
  <c r="B4900" i="2"/>
  <c r="B4920" i="2"/>
  <c r="B4906" i="2"/>
  <c r="B4912" i="2"/>
  <c r="B4901" i="2"/>
  <c r="B4914" i="2"/>
  <c r="B4905" i="2"/>
  <c r="B4925" i="2"/>
  <c r="B4895" i="2"/>
  <c r="B4891" i="2"/>
  <c r="B4903" i="2"/>
  <c r="B4904" i="2"/>
  <c r="B4907" i="2"/>
  <c r="B4890" i="2"/>
  <c r="B4897" i="2"/>
  <c r="B4922" i="2"/>
  <c r="B4918" i="2"/>
  <c r="B4911" i="2"/>
  <c r="B4896" i="2"/>
  <c r="G4843" i="2"/>
  <c r="B4867" i="2"/>
  <c r="B4868" i="2"/>
  <c r="B4884" i="2"/>
  <c r="B4863" i="2"/>
  <c r="B4848" i="2"/>
  <c r="B4879" i="2"/>
  <c r="B4871" i="2"/>
  <c r="B4876" i="2"/>
  <c r="B4846" i="2"/>
  <c r="B4851" i="2"/>
  <c r="B4872" i="2"/>
  <c r="B4849" i="2"/>
  <c r="B4862" i="2"/>
  <c r="B4860" i="2"/>
  <c r="B4874" i="2"/>
  <c r="B4875" i="2"/>
  <c r="B4878" i="2"/>
  <c r="B4857" i="2"/>
  <c r="B4853" i="2"/>
  <c r="B4852" i="2"/>
  <c r="B4855" i="2"/>
  <c r="B4869" i="2"/>
  <c r="B4882" i="2"/>
  <c r="B4883" i="2"/>
  <c r="B4870" i="2"/>
  <c r="B4856" i="2"/>
  <c r="B4859" i="2"/>
  <c r="B4850" i="2"/>
  <c r="B4880" i="2"/>
  <c r="B4858" i="2"/>
  <c r="B4873" i="2"/>
  <c r="B4861" i="2"/>
  <c r="B4881" i="2"/>
  <c r="B4877" i="2"/>
  <c r="B4847" i="2"/>
  <c r="B4866" i="2"/>
  <c r="B4864" i="2"/>
  <c r="B4865" i="2"/>
  <c r="B4854" i="2"/>
  <c r="B5067" i="2"/>
  <c r="B5088" i="2"/>
  <c r="B5075" i="2"/>
  <c r="B5071" i="2"/>
  <c r="B5094" i="2"/>
  <c r="B5098" i="2"/>
  <c r="B5081" i="2"/>
  <c r="B5095" i="2"/>
  <c r="B5086" i="2"/>
  <c r="B5087" i="2"/>
  <c r="B5100" i="2"/>
  <c r="B5070" i="2"/>
  <c r="B5073" i="2"/>
  <c r="B5091" i="2"/>
  <c r="B5078" i="2"/>
  <c r="B5079" i="2"/>
  <c r="B5097" i="2"/>
  <c r="B5104" i="2"/>
  <c r="B5103" i="2"/>
  <c r="B5089" i="2"/>
  <c r="B5080" i="2"/>
  <c r="B5093" i="2"/>
  <c r="B5082" i="2"/>
  <c r="B5072" i="2"/>
  <c r="B5085" i="2"/>
  <c r="B5077" i="2"/>
  <c r="B5084" i="2"/>
  <c r="B5096" i="2"/>
  <c r="B5074" i="2"/>
  <c r="G5063" i="2"/>
  <c r="B5092" i="2"/>
  <c r="B5076" i="2"/>
  <c r="B5090" i="2"/>
  <c r="B5066" i="2"/>
  <c r="B5101" i="2"/>
  <c r="B5069" i="2"/>
  <c r="B5068" i="2"/>
  <c r="B5083" i="2"/>
  <c r="B5102" i="2"/>
  <c r="B5099" i="2"/>
  <c r="G3" i="2"/>
  <c r="B20" i="2"/>
  <c r="B31" i="2"/>
  <c r="B10" i="2"/>
  <c r="B37" i="2"/>
  <c r="B34" i="2"/>
  <c r="B22" i="2"/>
  <c r="B41" i="2"/>
  <c r="B11" i="2"/>
  <c r="B21" i="2"/>
  <c r="B7" i="2"/>
  <c r="B28" i="2"/>
  <c r="B16" i="2"/>
  <c r="B18" i="2"/>
  <c r="B30" i="2"/>
  <c r="B44" i="2"/>
  <c r="B35" i="2"/>
  <c r="B42" i="2"/>
  <c r="B6" i="2"/>
  <c r="B40" i="2"/>
  <c r="B33" i="2"/>
  <c r="B36" i="2"/>
  <c r="B9" i="2"/>
  <c r="B12" i="2"/>
  <c r="B23" i="2"/>
  <c r="B39" i="2"/>
  <c r="B19" i="2"/>
  <c r="C46" i="2"/>
  <c r="B48" i="2" s="1"/>
  <c r="G47" i="2" s="1"/>
  <c r="B24" i="2"/>
  <c r="B26" i="2"/>
  <c r="B29" i="2"/>
  <c r="B38" i="2"/>
  <c r="B17" i="2"/>
  <c r="B15" i="2"/>
  <c r="B13" i="2"/>
  <c r="B27" i="2"/>
  <c r="B25" i="2"/>
  <c r="B14" i="2"/>
  <c r="B43" i="2"/>
  <c r="B32" i="2"/>
  <c r="B8" i="2"/>
  <c r="A155" i="1"/>
  <c r="A156" i="1"/>
  <c r="C6426" i="2" l="1"/>
  <c r="B6428" i="2" s="1"/>
  <c r="B6434" i="2" s="1"/>
  <c r="B6399" i="2"/>
  <c r="B6421" i="2"/>
  <c r="B6424" i="2"/>
  <c r="B6406" i="2"/>
  <c r="B6416" i="2"/>
  <c r="B6411" i="2"/>
  <c r="B6420" i="2"/>
  <c r="B6404" i="2"/>
  <c r="B6396" i="2"/>
  <c r="B6391" i="2"/>
  <c r="B6397" i="2"/>
  <c r="B6405" i="2"/>
  <c r="B6418" i="2"/>
  <c r="B6390" i="2"/>
  <c r="B6401" i="2"/>
  <c r="B6388" i="2"/>
  <c r="B6387" i="2"/>
  <c r="B6395" i="2"/>
  <c r="B6422" i="2"/>
  <c r="B6417" i="2"/>
  <c r="B6392" i="2"/>
  <c r="B6402" i="2"/>
  <c r="B6412" i="2"/>
  <c r="B6398" i="2"/>
  <c r="B6400" i="2"/>
  <c r="B6407" i="2"/>
  <c r="B6414" i="2"/>
  <c r="B6389" i="2"/>
  <c r="G6383" i="2"/>
  <c r="B6410" i="2"/>
  <c r="B6423" i="2"/>
  <c r="B6409" i="2"/>
  <c r="B6415" i="2"/>
  <c r="B6393" i="2"/>
  <c r="B6394" i="2"/>
  <c r="B6419" i="2"/>
  <c r="B6403" i="2"/>
  <c r="B6386" i="2"/>
  <c r="B6408" i="2"/>
  <c r="C6470" i="2"/>
  <c r="B6472" i="2" s="1"/>
  <c r="H10" i="1"/>
  <c r="F10" i="1"/>
  <c r="G10" i="1"/>
  <c r="B87" i="2"/>
  <c r="B63" i="2"/>
  <c r="B88" i="2"/>
  <c r="B78" i="2"/>
  <c r="B81" i="2"/>
  <c r="B58" i="2"/>
  <c r="B79" i="2"/>
  <c r="B75" i="2"/>
  <c r="B86" i="2"/>
  <c r="B54" i="2"/>
  <c r="B84" i="2"/>
  <c r="B72" i="2"/>
  <c r="B53" i="2"/>
  <c r="B67" i="2"/>
  <c r="B64" i="2"/>
  <c r="B60" i="2"/>
  <c r="B73" i="2"/>
  <c r="B82" i="2"/>
  <c r="B71" i="2"/>
  <c r="B56" i="2"/>
  <c r="B70" i="2"/>
  <c r="B59" i="2"/>
  <c r="B76" i="2"/>
  <c r="B50" i="2"/>
  <c r="B80" i="2"/>
  <c r="B65" i="2"/>
  <c r="B68" i="2"/>
  <c r="B51" i="2"/>
  <c r="B83" i="2"/>
  <c r="B52" i="2"/>
  <c r="B66" i="2"/>
  <c r="B55" i="2"/>
  <c r="B77" i="2"/>
  <c r="B85" i="2"/>
  <c r="B62" i="2"/>
  <c r="B61" i="2"/>
  <c r="B69" i="2"/>
  <c r="B74" i="2"/>
  <c r="B57" i="2"/>
  <c r="A157" i="1"/>
  <c r="B6435" i="2" l="1"/>
  <c r="B6431" i="2"/>
  <c r="B6468" i="2"/>
  <c r="B6467" i="2"/>
  <c r="B6438" i="2"/>
  <c r="B6449" i="2"/>
  <c r="B6447" i="2"/>
  <c r="B6444" i="2"/>
  <c r="B6453" i="2"/>
  <c r="B6461" i="2"/>
  <c r="B6430" i="2"/>
  <c r="B6448" i="2"/>
  <c r="B6465" i="2"/>
  <c r="B6443" i="2"/>
  <c r="B6460" i="2"/>
  <c r="B6459" i="2"/>
  <c r="B6455" i="2"/>
  <c r="B6463" i="2"/>
  <c r="B6433" i="2"/>
  <c r="B6452" i="2"/>
  <c r="B6462" i="2"/>
  <c r="B6457" i="2"/>
  <c r="B6445" i="2"/>
  <c r="B6436" i="2"/>
  <c r="G6427" i="2"/>
  <c r="B6442" i="2"/>
  <c r="B6446" i="2"/>
  <c r="B6456" i="2"/>
  <c r="B6464" i="2"/>
  <c r="B6458" i="2"/>
  <c r="B6450" i="2"/>
  <c r="B6441" i="2"/>
  <c r="B6437" i="2"/>
  <c r="B6451" i="2"/>
  <c r="B6466" i="2"/>
  <c r="B6439" i="2"/>
  <c r="B6440" i="2"/>
  <c r="B6432" i="2"/>
  <c r="B6454" i="2"/>
  <c r="C6514" i="2"/>
  <c r="B6516" i="2" s="1"/>
  <c r="B6478" i="2"/>
  <c r="B6509" i="2"/>
  <c r="B6479" i="2"/>
  <c r="B6482" i="2"/>
  <c r="B6503" i="2"/>
  <c r="B6480" i="2"/>
  <c r="B6493" i="2"/>
  <c r="B6505" i="2"/>
  <c r="B6510" i="2"/>
  <c r="B6504" i="2"/>
  <c r="B6474" i="2"/>
  <c r="B6495" i="2"/>
  <c r="B6498" i="2"/>
  <c r="B6501" i="2"/>
  <c r="B6488" i="2"/>
  <c r="B6511" i="2"/>
  <c r="B6487" i="2"/>
  <c r="B6502" i="2"/>
  <c r="B6506" i="2"/>
  <c r="B6496" i="2"/>
  <c r="B6489" i="2"/>
  <c r="B6490" i="2"/>
  <c r="B6492" i="2"/>
  <c r="B6499" i="2"/>
  <c r="B6507" i="2"/>
  <c r="G6471" i="2"/>
  <c r="B6494" i="2"/>
  <c r="B6512" i="2"/>
  <c r="B6475" i="2"/>
  <c r="B6497" i="2"/>
  <c r="B6477" i="2"/>
  <c r="B6486" i="2"/>
  <c r="B6491" i="2"/>
  <c r="B6481" i="2"/>
  <c r="B6508" i="2"/>
  <c r="B6483" i="2"/>
  <c r="B6485" i="2"/>
  <c r="B6500" i="2"/>
  <c r="B6484" i="2"/>
  <c r="B6476" i="2"/>
  <c r="F150" i="1"/>
  <c r="J150" i="1" s="1"/>
  <c r="H151" i="1"/>
  <c r="L151" i="1" s="1"/>
  <c r="F152" i="1"/>
  <c r="G153" i="1"/>
  <c r="K153" i="1" s="1"/>
  <c r="G151" i="1"/>
  <c r="K151" i="1" s="1"/>
  <c r="G152" i="1"/>
  <c r="G150" i="1"/>
  <c r="K150" i="1" s="1"/>
  <c r="G154" i="1"/>
  <c r="H154" i="1"/>
  <c r="F151" i="1"/>
  <c r="F154" i="1"/>
  <c r="H145" i="1"/>
  <c r="H150" i="1"/>
  <c r="L150" i="1" s="1"/>
  <c r="H152" i="1"/>
  <c r="H153" i="1"/>
  <c r="L153" i="1" s="1"/>
  <c r="F153" i="1"/>
  <c r="H146" i="1"/>
  <c r="L146" i="1" s="1"/>
  <c r="G147" i="1"/>
  <c r="K147" i="1" s="1"/>
  <c r="H148" i="1"/>
  <c r="L148" i="1" s="1"/>
  <c r="F148" i="1"/>
  <c r="J148" i="1" s="1"/>
  <c r="F147" i="1"/>
  <c r="G145" i="1"/>
  <c r="G149" i="1"/>
  <c r="K149" i="1" s="1"/>
  <c r="G148" i="1"/>
  <c r="K148" i="1" s="1"/>
  <c r="F149" i="1"/>
  <c r="G146" i="1"/>
  <c r="K146" i="1" s="1"/>
  <c r="F144" i="1"/>
  <c r="F146" i="1"/>
  <c r="H149" i="1"/>
  <c r="L149" i="1" s="1"/>
  <c r="H147" i="1"/>
  <c r="L147" i="1" s="1"/>
  <c r="F145" i="1"/>
  <c r="G142" i="1"/>
  <c r="K142" i="1" s="1"/>
  <c r="G144" i="1"/>
  <c r="G143" i="1"/>
  <c r="K143" i="1" s="1"/>
  <c r="H143" i="1"/>
  <c r="L143" i="1" s="1"/>
  <c r="H142" i="1"/>
  <c r="L142" i="1" s="1"/>
  <c r="F142" i="1"/>
  <c r="F143" i="1"/>
  <c r="H144" i="1"/>
  <c r="G141" i="1"/>
  <c r="F141" i="1"/>
  <c r="H140" i="1"/>
  <c r="G140" i="1"/>
  <c r="F140" i="1"/>
  <c r="H141" i="1"/>
  <c r="G139" i="1"/>
  <c r="F139" i="1"/>
  <c r="H138" i="1"/>
  <c r="L138" i="1" s="1"/>
  <c r="G138" i="1"/>
  <c r="K138" i="1" s="1"/>
  <c r="F138" i="1"/>
  <c r="H139" i="1"/>
  <c r="G137" i="1"/>
  <c r="K137" i="1" s="1"/>
  <c r="F137" i="1"/>
  <c r="F136" i="1"/>
  <c r="H136" i="1"/>
  <c r="L136" i="1" s="1"/>
  <c r="G136" i="1"/>
  <c r="K136" i="1" s="1"/>
  <c r="H137" i="1"/>
  <c r="L137" i="1" s="1"/>
  <c r="G135" i="1"/>
  <c r="K135" i="1" s="1"/>
  <c r="F135" i="1"/>
  <c r="H135" i="1"/>
  <c r="L135" i="1" s="1"/>
  <c r="G134" i="1"/>
  <c r="K134" i="1" s="1"/>
  <c r="F134" i="1"/>
  <c r="H134" i="1"/>
  <c r="L134" i="1" s="1"/>
  <c r="G133" i="1"/>
  <c r="K133" i="1" s="1"/>
  <c r="F133" i="1"/>
  <c r="H132" i="1"/>
  <c r="L132" i="1" s="1"/>
  <c r="G132" i="1"/>
  <c r="K132" i="1" s="1"/>
  <c r="F132" i="1"/>
  <c r="H133" i="1"/>
  <c r="L133" i="1" s="1"/>
  <c r="H131" i="1"/>
  <c r="F131" i="1"/>
  <c r="G131" i="1"/>
  <c r="G130" i="1"/>
  <c r="K130" i="1" s="1"/>
  <c r="F130" i="1"/>
  <c r="H130" i="1"/>
  <c r="L130" i="1" s="1"/>
  <c r="H127" i="1"/>
  <c r="G129" i="1"/>
  <c r="F129" i="1"/>
  <c r="H129" i="1"/>
  <c r="G128" i="1"/>
  <c r="F128" i="1"/>
  <c r="H128" i="1"/>
  <c r="G127" i="1"/>
  <c r="F127" i="1"/>
  <c r="H126" i="1"/>
  <c r="F124" i="1"/>
  <c r="F126" i="1"/>
  <c r="H124" i="1"/>
  <c r="F123" i="1"/>
  <c r="G123" i="1"/>
  <c r="H123" i="1"/>
  <c r="H125" i="1"/>
  <c r="G124" i="1"/>
  <c r="G125" i="1"/>
  <c r="F125" i="1"/>
  <c r="G126" i="1"/>
  <c r="H120" i="1"/>
  <c r="F122" i="1"/>
  <c r="G122" i="1"/>
  <c r="H122" i="1"/>
  <c r="H121" i="1"/>
  <c r="G121" i="1"/>
  <c r="F121" i="1"/>
  <c r="H112" i="1"/>
  <c r="H118" i="1"/>
  <c r="F119" i="1"/>
  <c r="G120" i="1"/>
  <c r="G117" i="1"/>
  <c r="H117" i="1"/>
  <c r="G118" i="1"/>
  <c r="H119" i="1"/>
  <c r="F120" i="1"/>
  <c r="F117" i="1"/>
  <c r="F118" i="1"/>
  <c r="G119" i="1"/>
  <c r="G116" i="1"/>
  <c r="F116" i="1"/>
  <c r="F115" i="1"/>
  <c r="G115" i="1"/>
  <c r="H115" i="1"/>
  <c r="H116" i="1"/>
  <c r="H113" i="1"/>
  <c r="H114" i="1"/>
  <c r="G113" i="1"/>
  <c r="G114" i="1"/>
  <c r="G112" i="1"/>
  <c r="F112" i="1"/>
  <c r="G107" i="1"/>
  <c r="G106" i="1"/>
  <c r="G108" i="1"/>
  <c r="F110" i="1"/>
  <c r="H106" i="1"/>
  <c r="H111" i="1"/>
  <c r="F109" i="1"/>
  <c r="H108" i="1"/>
  <c r="H107" i="1"/>
  <c r="G110" i="1"/>
  <c r="H104" i="1"/>
  <c r="G109" i="1"/>
  <c r="F111" i="1"/>
  <c r="F107" i="1"/>
  <c r="F106" i="1"/>
  <c r="H110" i="1"/>
  <c r="F103" i="1"/>
  <c r="G111" i="1"/>
  <c r="H109" i="1"/>
  <c r="F108" i="1"/>
  <c r="F104" i="1"/>
  <c r="H105" i="1"/>
  <c r="G104" i="1"/>
  <c r="F105" i="1"/>
  <c r="H102" i="1"/>
  <c r="G103" i="1"/>
  <c r="H103" i="1"/>
  <c r="G105" i="1"/>
  <c r="G101" i="1"/>
  <c r="F102" i="1"/>
  <c r="G102" i="1"/>
  <c r="F101" i="1"/>
  <c r="H101" i="1"/>
  <c r="H93" i="1"/>
  <c r="H100" i="1"/>
  <c r="G100" i="1"/>
  <c r="F100" i="1"/>
  <c r="F99" i="1"/>
  <c r="H99" i="1"/>
  <c r="G99" i="1"/>
  <c r="G98" i="1"/>
  <c r="G25" i="1"/>
  <c r="K25" i="1" s="1"/>
  <c r="F98" i="1"/>
  <c r="H98" i="1"/>
  <c r="G97" i="1"/>
  <c r="F97" i="1"/>
  <c r="H97" i="1"/>
  <c r="F96" i="1"/>
  <c r="G96" i="1"/>
  <c r="H96" i="1"/>
  <c r="G95" i="1"/>
  <c r="H95" i="1"/>
  <c r="F95" i="1"/>
  <c r="F94" i="1"/>
  <c r="H94" i="1"/>
  <c r="G94" i="1"/>
  <c r="G93" i="1"/>
  <c r="F62" i="1"/>
  <c r="J62" i="1" s="1"/>
  <c r="F43" i="1"/>
  <c r="J43" i="1" s="1"/>
  <c r="H78" i="1"/>
  <c r="L78" i="1" s="1"/>
  <c r="H44" i="1"/>
  <c r="L44" i="1" s="1"/>
  <c r="H11" i="1"/>
  <c r="L11" i="1" s="1"/>
  <c r="G45" i="1"/>
  <c r="K45" i="1" s="1"/>
  <c r="H73" i="1"/>
  <c r="L73" i="1" s="1"/>
  <c r="F42" i="1"/>
  <c r="H58" i="1"/>
  <c r="L58" i="1" s="1"/>
  <c r="G50" i="1"/>
  <c r="K50" i="1" s="1"/>
  <c r="F72" i="1"/>
  <c r="H75" i="1"/>
  <c r="L75" i="1" s="1"/>
  <c r="G26" i="1"/>
  <c r="K26" i="1" s="1"/>
  <c r="G32" i="1"/>
  <c r="G90" i="1"/>
  <c r="K90" i="1" s="1"/>
  <c r="H88" i="1"/>
  <c r="F58" i="1"/>
  <c r="H45" i="1"/>
  <c r="L45" i="1" s="1"/>
  <c r="H72" i="1"/>
  <c r="L72" i="1" s="1"/>
  <c r="G24" i="1"/>
  <c r="K24" i="1" s="1"/>
  <c r="F36" i="1"/>
  <c r="H84" i="1"/>
  <c r="L84" i="1" s="1"/>
  <c r="F48" i="1"/>
  <c r="G29" i="1"/>
  <c r="K29" i="1" s="1"/>
  <c r="G47" i="1"/>
  <c r="F32" i="1"/>
  <c r="G13" i="1"/>
  <c r="K13" i="1" s="1"/>
  <c r="H50" i="1"/>
  <c r="L50" i="1" s="1"/>
  <c r="H52" i="1"/>
  <c r="G36" i="1"/>
  <c r="K36" i="1" s="1"/>
  <c r="G82" i="1"/>
  <c r="K82" i="1" s="1"/>
  <c r="H80" i="1"/>
  <c r="L80" i="1" s="1"/>
  <c r="H61" i="1"/>
  <c r="L61" i="1" s="1"/>
  <c r="G35" i="1"/>
  <c r="K35" i="1" s="1"/>
  <c r="F52" i="1"/>
  <c r="H92" i="1"/>
  <c r="L92" i="1" s="1"/>
  <c r="G87" i="1"/>
  <c r="K87" i="1" s="1"/>
  <c r="F63" i="1"/>
  <c r="F31" i="1"/>
  <c r="G77" i="1"/>
  <c r="K77" i="1" s="1"/>
  <c r="H60" i="1"/>
  <c r="L60" i="1" s="1"/>
  <c r="F15" i="1"/>
  <c r="H18" i="1"/>
  <c r="L18" i="1" s="1"/>
  <c r="F81" i="1"/>
  <c r="F37" i="1"/>
  <c r="K10" i="1"/>
  <c r="H29" i="1"/>
  <c r="L29" i="1" s="1"/>
  <c r="H46" i="1"/>
  <c r="L46" i="1" s="1"/>
  <c r="H36" i="1"/>
  <c r="L36" i="1" s="1"/>
  <c r="F80" i="1"/>
  <c r="H51" i="1"/>
  <c r="L51" i="1" s="1"/>
  <c r="H20" i="1"/>
  <c r="L20" i="1" s="1"/>
  <c r="G61" i="1"/>
  <c r="K61" i="1" s="1"/>
  <c r="G62" i="1"/>
  <c r="K62" i="1" s="1"/>
  <c r="H55" i="1"/>
  <c r="L55" i="1" s="1"/>
  <c r="H87" i="1"/>
  <c r="L87" i="1" s="1"/>
  <c r="F86" i="1"/>
  <c r="F57" i="1"/>
  <c r="G53" i="1"/>
  <c r="K53" i="1" s="1"/>
  <c r="F13" i="1"/>
  <c r="H47" i="1"/>
  <c r="G51" i="1"/>
  <c r="K51" i="1" s="1"/>
  <c r="F69" i="1"/>
  <c r="F55" i="1"/>
  <c r="H82" i="1"/>
  <c r="L82" i="1" s="1"/>
  <c r="G86" i="1"/>
  <c r="K86" i="1" s="1"/>
  <c r="G74" i="1"/>
  <c r="K74" i="1" s="1"/>
  <c r="H39" i="1"/>
  <c r="L39" i="1" s="1"/>
  <c r="F16" i="1"/>
  <c r="G14" i="1"/>
  <c r="H17" i="1"/>
  <c r="L17" i="1" s="1"/>
  <c r="H31" i="1"/>
  <c r="L31" i="1" s="1"/>
  <c r="H41" i="1"/>
  <c r="L41" i="1" s="1"/>
  <c r="H43" i="1"/>
  <c r="L43" i="1" s="1"/>
  <c r="G16" i="1"/>
  <c r="K16" i="1" s="1"/>
  <c r="G80" i="1"/>
  <c r="K80" i="1" s="1"/>
  <c r="F64" i="1"/>
  <c r="G63" i="1"/>
  <c r="K63" i="1" s="1"/>
  <c r="F35" i="1"/>
  <c r="F49" i="1"/>
  <c r="F79" i="1"/>
  <c r="G64" i="1"/>
  <c r="K64" i="1" s="1"/>
  <c r="H15" i="1"/>
  <c r="L15" i="1" s="1"/>
  <c r="H21" i="1"/>
  <c r="G52" i="1"/>
  <c r="H54" i="1"/>
  <c r="L54" i="1" s="1"/>
  <c r="H85" i="1"/>
  <c r="L85" i="1" s="1"/>
  <c r="F84" i="1"/>
  <c r="H40" i="1"/>
  <c r="L40" i="1" s="1"/>
  <c r="F56" i="1"/>
  <c r="G85" i="1"/>
  <c r="K85" i="1" s="1"/>
  <c r="F89" i="1"/>
  <c r="G56" i="1"/>
  <c r="K56" i="1" s="1"/>
  <c r="G69" i="1"/>
  <c r="K69" i="1" s="1"/>
  <c r="F73" i="1"/>
  <c r="H24" i="1"/>
  <c r="L24" i="1" s="1"/>
  <c r="H42" i="1"/>
  <c r="L42" i="1" s="1"/>
  <c r="G91" i="1"/>
  <c r="K91" i="1" s="1"/>
  <c r="F68" i="1"/>
  <c r="H14" i="1"/>
  <c r="H56" i="1"/>
  <c r="L56" i="1" s="1"/>
  <c r="H63" i="1"/>
  <c r="L63" i="1" s="1"/>
  <c r="H64" i="1"/>
  <c r="L64" i="1" s="1"/>
  <c r="G15" i="1"/>
  <c r="K15" i="1" s="1"/>
  <c r="J10" i="1"/>
  <c r="I10" i="1"/>
  <c r="F88" i="1"/>
  <c r="H91" i="1"/>
  <c r="L91" i="1" s="1"/>
  <c r="F40" i="1"/>
  <c r="F50" i="1"/>
  <c r="H59" i="1"/>
  <c r="L59" i="1" s="1"/>
  <c r="G59" i="1"/>
  <c r="K59" i="1" s="1"/>
  <c r="F21" i="1"/>
  <c r="H13" i="1"/>
  <c r="L13" i="1" s="1"/>
  <c r="H48" i="1"/>
  <c r="L48" i="1" s="1"/>
  <c r="H67" i="1"/>
  <c r="F65" i="1"/>
  <c r="G84" i="1"/>
  <c r="K84" i="1" s="1"/>
  <c r="H19" i="1"/>
  <c r="L19" i="1" s="1"/>
  <c r="H53" i="1"/>
  <c r="L53" i="1" s="1"/>
  <c r="F25" i="1"/>
  <c r="G60" i="1"/>
  <c r="K60" i="1" s="1"/>
  <c r="G43" i="1"/>
  <c r="K43" i="1" s="1"/>
  <c r="F91" i="1"/>
  <c r="G89" i="1"/>
  <c r="K89" i="1" s="1"/>
  <c r="G28" i="1"/>
  <c r="K28" i="1" s="1"/>
  <c r="G55" i="1"/>
  <c r="K55" i="1" s="1"/>
  <c r="H90" i="1"/>
  <c r="L90" i="1" s="1"/>
  <c r="F44" i="1"/>
  <c r="H74" i="1"/>
  <c r="L74" i="1" s="1"/>
  <c r="G78" i="1"/>
  <c r="K78" i="1" s="1"/>
  <c r="F28" i="1"/>
  <c r="F34" i="1"/>
  <c r="G46" i="1"/>
  <c r="K46" i="1" s="1"/>
  <c r="F12" i="1"/>
  <c r="F18" i="1"/>
  <c r="H49" i="1"/>
  <c r="L49" i="1" s="1"/>
  <c r="H71" i="1"/>
  <c r="L71" i="1" s="1"/>
  <c r="F70" i="1"/>
  <c r="H22" i="1"/>
  <c r="G72" i="1"/>
  <c r="K72" i="1" s="1"/>
  <c r="G40" i="1"/>
  <c r="K40" i="1" s="1"/>
  <c r="G49" i="1"/>
  <c r="K49" i="1" s="1"/>
  <c r="F59" i="1"/>
  <c r="F11" i="1"/>
  <c r="G11" i="1"/>
  <c r="K11" i="1" s="1"/>
  <c r="H81" i="1"/>
  <c r="L81" i="1" s="1"/>
  <c r="H34" i="1"/>
  <c r="L34" i="1" s="1"/>
  <c r="G58" i="1"/>
  <c r="K58" i="1" s="1"/>
  <c r="H89" i="1"/>
  <c r="L89" i="1" s="1"/>
  <c r="F23" i="1"/>
  <c r="F54" i="1"/>
  <c r="H68" i="1"/>
  <c r="L68" i="1" s="1"/>
  <c r="G68" i="1"/>
  <c r="K68" i="1" s="1"/>
  <c r="F46" i="1"/>
  <c r="F22" i="1"/>
  <c r="G44" i="1"/>
  <c r="K44" i="1" s="1"/>
  <c r="H33" i="1"/>
  <c r="L33" i="1" s="1"/>
  <c r="F51" i="1"/>
  <c r="H69" i="1"/>
  <c r="L69" i="1" s="1"/>
  <c r="G65" i="1"/>
  <c r="K65" i="1" s="1"/>
  <c r="F60" i="1"/>
  <c r="H16" i="1"/>
  <c r="L16" i="1" s="1"/>
  <c r="H83" i="1"/>
  <c r="L83" i="1" s="1"/>
  <c r="G33" i="1"/>
  <c r="K33" i="1" s="1"/>
  <c r="G39" i="1"/>
  <c r="K39" i="1" s="1"/>
  <c r="G76" i="1"/>
  <c r="K76" i="1" s="1"/>
  <c r="G17" i="1"/>
  <c r="K17" i="1" s="1"/>
  <c r="G23" i="1"/>
  <c r="H57" i="1"/>
  <c r="L57" i="1" s="1"/>
  <c r="F41" i="1"/>
  <c r="G75" i="1"/>
  <c r="K75" i="1" s="1"/>
  <c r="F26" i="1"/>
  <c r="H77" i="1"/>
  <c r="L77" i="1" s="1"/>
  <c r="G19" i="1"/>
  <c r="K19" i="1" s="1"/>
  <c r="H70" i="1"/>
  <c r="L10" i="1"/>
  <c r="G18" i="1"/>
  <c r="K18" i="1" s="1"/>
  <c r="F90" i="1"/>
  <c r="G12" i="1"/>
  <c r="K12" i="1" s="1"/>
  <c r="H65" i="1"/>
  <c r="L65" i="1" s="1"/>
  <c r="F45" i="1"/>
  <c r="G20" i="1"/>
  <c r="K20" i="1" s="1"/>
  <c r="G31" i="1"/>
  <c r="K31" i="1" s="1"/>
  <c r="F83" i="1"/>
  <c r="G81" i="1"/>
  <c r="K81" i="1" s="1"/>
  <c r="H62" i="1"/>
  <c r="L62" i="1" s="1"/>
  <c r="F14" i="1"/>
  <c r="H23" i="1"/>
  <c r="G71" i="1"/>
  <c r="K71" i="1" s="1"/>
  <c r="F75" i="1"/>
  <c r="F20" i="1"/>
  <c r="H35" i="1"/>
  <c r="L35" i="1" s="1"/>
  <c r="F78" i="1"/>
  <c r="F74" i="1"/>
  <c r="F87" i="1"/>
  <c r="F71" i="1"/>
  <c r="H25" i="1"/>
  <c r="L25" i="1" s="1"/>
  <c r="G88" i="1"/>
  <c r="H26" i="1"/>
  <c r="L26" i="1" s="1"/>
  <c r="F27" i="1"/>
  <c r="F39" i="1"/>
  <c r="G27" i="1"/>
  <c r="G73" i="1"/>
  <c r="K73" i="1" s="1"/>
  <c r="H79" i="1"/>
  <c r="L79" i="1" s="1"/>
  <c r="F66" i="1"/>
  <c r="G21" i="1"/>
  <c r="F53" i="1"/>
  <c r="F61" i="1"/>
  <c r="F76" i="1"/>
  <c r="H86" i="1"/>
  <c r="L86" i="1" s="1"/>
  <c r="G54" i="1"/>
  <c r="K54" i="1" s="1"/>
  <c r="H76" i="1"/>
  <c r="L76" i="1" s="1"/>
  <c r="G22" i="1"/>
  <c r="H66" i="1"/>
  <c r="L66" i="1" s="1"/>
  <c r="G70" i="1"/>
  <c r="F19" i="1"/>
  <c r="H37" i="1"/>
  <c r="L37" i="1" s="1"/>
  <c r="F85" i="1"/>
  <c r="G83" i="1"/>
  <c r="K83" i="1" s="1"/>
  <c r="F33" i="1"/>
  <c r="G66" i="1"/>
  <c r="K66" i="1" s="1"/>
  <c r="G67" i="1"/>
  <c r="F17" i="1"/>
  <c r="H32" i="1"/>
  <c r="G79" i="1"/>
  <c r="K79" i="1" s="1"/>
  <c r="G41" i="1"/>
  <c r="K41" i="1" s="1"/>
  <c r="F24" i="1"/>
  <c r="G92" i="1"/>
  <c r="K92" i="1" s="1"/>
  <c r="H28" i="1"/>
  <c r="L28" i="1" s="1"/>
  <c r="F67" i="1"/>
  <c r="G48" i="1"/>
  <c r="K48" i="1" s="1"/>
  <c r="H12" i="1"/>
  <c r="L12" i="1" s="1"/>
  <c r="F29" i="1"/>
  <c r="F77" i="1"/>
  <c r="G34" i="1"/>
  <c r="K34" i="1" s="1"/>
  <c r="F92" i="1"/>
  <c r="G37" i="1"/>
  <c r="K37" i="1" s="1"/>
  <c r="G57" i="1"/>
  <c r="K57" i="1" s="1"/>
  <c r="F82" i="1"/>
  <c r="F47" i="1"/>
  <c r="H27" i="1"/>
  <c r="G42" i="1"/>
  <c r="K42" i="1" s="1"/>
  <c r="A158" i="1"/>
  <c r="F155" i="1" l="1"/>
  <c r="J155" i="1" s="1"/>
  <c r="H155" i="1"/>
  <c r="L155" i="1" s="1"/>
  <c r="G155" i="1"/>
  <c r="K155" i="1" s="1"/>
  <c r="L152" i="1"/>
  <c r="K152" i="1"/>
  <c r="J152" i="1"/>
  <c r="K67" i="1"/>
  <c r="L67" i="1"/>
  <c r="L145" i="1"/>
  <c r="K145" i="1"/>
  <c r="J144" i="1"/>
  <c r="K144" i="1"/>
  <c r="L144" i="1"/>
  <c r="L139" i="1"/>
  <c r="K140" i="1"/>
  <c r="L140" i="1"/>
  <c r="K141" i="1"/>
  <c r="K139" i="1"/>
  <c r="L141" i="1"/>
  <c r="C6558" i="2"/>
  <c r="B6560" i="2" s="1"/>
  <c r="B6539" i="2"/>
  <c r="B6541" i="2"/>
  <c r="B6521" i="2"/>
  <c r="B6542" i="2"/>
  <c r="B6544" i="2"/>
  <c r="B6522" i="2"/>
  <c r="B6525" i="2"/>
  <c r="B6549" i="2"/>
  <c r="B6538" i="2"/>
  <c r="B6556" i="2"/>
  <c r="B6531" i="2"/>
  <c r="B6546" i="2"/>
  <c r="B6520" i="2"/>
  <c r="B6523" i="2"/>
  <c r="B6555" i="2"/>
  <c r="B6530" i="2"/>
  <c r="B6553" i="2"/>
  <c r="B6524" i="2"/>
  <c r="B6527" i="2"/>
  <c r="B6529" i="2"/>
  <c r="B6526" i="2"/>
  <c r="B6551" i="2"/>
  <c r="B6545" i="2"/>
  <c r="G6515" i="2"/>
  <c r="B6552" i="2"/>
  <c r="B6528" i="2"/>
  <c r="B6537" i="2"/>
  <c r="B6534" i="2"/>
  <c r="B6550" i="2"/>
  <c r="B6554" i="2"/>
  <c r="B6519" i="2"/>
  <c r="B6548" i="2"/>
  <c r="B6540" i="2"/>
  <c r="B6518" i="2"/>
  <c r="B6543" i="2"/>
  <c r="B6535" i="2"/>
  <c r="B6547" i="2"/>
  <c r="B6536" i="2"/>
  <c r="B6532" i="2"/>
  <c r="B6533" i="2"/>
  <c r="H156" i="1"/>
  <c r="L156" i="1" s="1"/>
  <c r="F156" i="1"/>
  <c r="J156" i="1" s="1"/>
  <c r="G156" i="1"/>
  <c r="K156" i="1" s="1"/>
  <c r="L27" i="1"/>
  <c r="K27" i="1"/>
  <c r="K14" i="1"/>
  <c r="L14" i="1"/>
  <c r="K154" i="1"/>
  <c r="L154" i="1"/>
  <c r="I153" i="1"/>
  <c r="J153" i="1"/>
  <c r="M153" i="1" s="1"/>
  <c r="I152" i="1"/>
  <c r="I154" i="1"/>
  <c r="J154" i="1"/>
  <c r="M150" i="1"/>
  <c r="I151" i="1"/>
  <c r="J151" i="1"/>
  <c r="M151" i="1" s="1"/>
  <c r="I150" i="1"/>
  <c r="M148" i="1"/>
  <c r="J149" i="1"/>
  <c r="M149" i="1" s="1"/>
  <c r="I149" i="1"/>
  <c r="I145" i="1"/>
  <c r="J145" i="1"/>
  <c r="I148" i="1"/>
  <c r="I146" i="1"/>
  <c r="J146" i="1"/>
  <c r="M146" i="1" s="1"/>
  <c r="I147" i="1"/>
  <c r="J147" i="1"/>
  <c r="M147" i="1" s="1"/>
  <c r="J143" i="1"/>
  <c r="M143" i="1" s="1"/>
  <c r="I143" i="1"/>
  <c r="J142" i="1"/>
  <c r="M142" i="1" s="1"/>
  <c r="I142" i="1"/>
  <c r="I144" i="1"/>
  <c r="I140" i="1"/>
  <c r="J140" i="1"/>
  <c r="J141" i="1"/>
  <c r="I141" i="1"/>
  <c r="I138" i="1"/>
  <c r="J138" i="1"/>
  <c r="M138" i="1" s="1"/>
  <c r="I139" i="1"/>
  <c r="J139" i="1"/>
  <c r="I136" i="1"/>
  <c r="J136" i="1"/>
  <c r="M136" i="1" s="1"/>
  <c r="J137" i="1"/>
  <c r="M137" i="1" s="1"/>
  <c r="I137" i="1"/>
  <c r="I135" i="1"/>
  <c r="J135" i="1"/>
  <c r="M135" i="1" s="1"/>
  <c r="I134" i="1"/>
  <c r="J134" i="1"/>
  <c r="M134" i="1" s="1"/>
  <c r="I132" i="1"/>
  <c r="J132" i="1"/>
  <c r="M132" i="1" s="1"/>
  <c r="I133" i="1"/>
  <c r="J133" i="1"/>
  <c r="M133" i="1" s="1"/>
  <c r="K131" i="1"/>
  <c r="L131" i="1"/>
  <c r="I130" i="1"/>
  <c r="J130" i="1"/>
  <c r="M130" i="1" s="1"/>
  <c r="I131" i="1"/>
  <c r="J131" i="1"/>
  <c r="L127" i="1"/>
  <c r="K23" i="1"/>
  <c r="K21" i="1"/>
  <c r="L109" i="1"/>
  <c r="L113" i="1"/>
  <c r="K123" i="1"/>
  <c r="L93" i="1"/>
  <c r="K106" i="1"/>
  <c r="L116" i="1"/>
  <c r="L120" i="1"/>
  <c r="K93" i="1"/>
  <c r="K107" i="1"/>
  <c r="L115" i="1"/>
  <c r="K115" i="1"/>
  <c r="K70" i="1"/>
  <c r="K22" i="1"/>
  <c r="L23" i="1"/>
  <c r="L22" i="1"/>
  <c r="L21" i="1"/>
  <c r="J124" i="1"/>
  <c r="L129" i="1"/>
  <c r="K97" i="1"/>
  <c r="L106" i="1"/>
  <c r="K113" i="1"/>
  <c r="K116" i="1"/>
  <c r="K129" i="1"/>
  <c r="L98" i="1"/>
  <c r="K109" i="1"/>
  <c r="L123" i="1"/>
  <c r="J129" i="1"/>
  <c r="I129" i="1"/>
  <c r="L128" i="1"/>
  <c r="I128" i="1"/>
  <c r="J128" i="1"/>
  <c r="K128" i="1"/>
  <c r="K127" i="1"/>
  <c r="I127" i="1"/>
  <c r="J127" i="1"/>
  <c r="K126" i="1"/>
  <c r="L126" i="1"/>
  <c r="L125" i="1"/>
  <c r="K125" i="1"/>
  <c r="L103" i="1"/>
  <c r="L104" i="1"/>
  <c r="K103" i="1"/>
  <c r="K101" i="1"/>
  <c r="J104" i="1"/>
  <c r="K105" i="1"/>
  <c r="L102" i="1"/>
  <c r="J103" i="1"/>
  <c r="K102" i="1"/>
  <c r="K104" i="1"/>
  <c r="L105" i="1"/>
  <c r="I123" i="1"/>
  <c r="J123" i="1"/>
  <c r="L124" i="1"/>
  <c r="J125" i="1"/>
  <c r="I125" i="1"/>
  <c r="I126" i="1"/>
  <c r="J126" i="1"/>
  <c r="K124" i="1"/>
  <c r="I124" i="1"/>
  <c r="L70" i="1"/>
  <c r="L122" i="1"/>
  <c r="K122" i="1"/>
  <c r="J122" i="1"/>
  <c r="I122" i="1"/>
  <c r="K121" i="1"/>
  <c r="L121" i="1"/>
  <c r="L112" i="1"/>
  <c r="J121" i="1"/>
  <c r="I121" i="1"/>
  <c r="K117" i="1"/>
  <c r="K119" i="1"/>
  <c r="K120" i="1"/>
  <c r="L118" i="1"/>
  <c r="L119" i="1"/>
  <c r="K118" i="1"/>
  <c r="L117" i="1"/>
  <c r="I118" i="1"/>
  <c r="J118" i="1"/>
  <c r="I117" i="1"/>
  <c r="J117" i="1"/>
  <c r="I120" i="1"/>
  <c r="J120" i="1"/>
  <c r="J119" i="1"/>
  <c r="I119" i="1"/>
  <c r="J115" i="1"/>
  <c r="I115" i="1"/>
  <c r="I116" i="1"/>
  <c r="J116" i="1"/>
  <c r="K114" i="1"/>
  <c r="L114" i="1"/>
  <c r="K111" i="1"/>
  <c r="K112" i="1"/>
  <c r="L111" i="1"/>
  <c r="J112" i="1"/>
  <c r="I112" i="1"/>
  <c r="L110" i="1"/>
  <c r="J110" i="1"/>
  <c r="K110" i="1"/>
  <c r="K108" i="1"/>
  <c r="L107" i="1"/>
  <c r="L108" i="1"/>
  <c r="I110" i="1"/>
  <c r="J106" i="1"/>
  <c r="I106" i="1"/>
  <c r="J107" i="1"/>
  <c r="I107" i="1"/>
  <c r="I111" i="1"/>
  <c r="J111" i="1"/>
  <c r="I109" i="1"/>
  <c r="J109" i="1"/>
  <c r="I108" i="1"/>
  <c r="J108" i="1"/>
  <c r="I105" i="1"/>
  <c r="J105" i="1"/>
  <c r="I103" i="1"/>
  <c r="I104" i="1"/>
  <c r="J102" i="1"/>
  <c r="I102" i="1"/>
  <c r="L101" i="1"/>
  <c r="I101" i="1"/>
  <c r="J101" i="1"/>
  <c r="K100" i="1"/>
  <c r="L100" i="1"/>
  <c r="J100" i="1"/>
  <c r="I100" i="1"/>
  <c r="K99" i="1"/>
  <c r="L99" i="1"/>
  <c r="J99" i="1"/>
  <c r="I99" i="1"/>
  <c r="K98" i="1"/>
  <c r="J98" i="1"/>
  <c r="I98" i="1"/>
  <c r="L97" i="1"/>
  <c r="I97" i="1"/>
  <c r="J97" i="1"/>
  <c r="K96" i="1"/>
  <c r="L96" i="1"/>
  <c r="I96" i="1"/>
  <c r="J96" i="1"/>
  <c r="I95" i="1"/>
  <c r="J95" i="1"/>
  <c r="L95" i="1"/>
  <c r="K95" i="1"/>
  <c r="K94" i="1"/>
  <c r="L94" i="1"/>
  <c r="I94" i="1"/>
  <c r="J94" i="1"/>
  <c r="L32" i="1"/>
  <c r="K88" i="1"/>
  <c r="K47" i="1"/>
  <c r="L88" i="1"/>
  <c r="K52" i="1"/>
  <c r="K32" i="1"/>
  <c r="L47" i="1"/>
  <c r="L52" i="1"/>
  <c r="I84" i="1"/>
  <c r="J84" i="1"/>
  <c r="M84" i="1" s="1"/>
  <c r="I49" i="1"/>
  <c r="J49" i="1"/>
  <c r="M49" i="1" s="1"/>
  <c r="I86" i="1"/>
  <c r="J86" i="1"/>
  <c r="M86" i="1" s="1"/>
  <c r="I15" i="1"/>
  <c r="J15" i="1"/>
  <c r="M15" i="1" s="1"/>
  <c r="J32" i="1"/>
  <c r="I32" i="1"/>
  <c r="J50" i="1"/>
  <c r="M50" i="1" s="1"/>
  <c r="I50" i="1"/>
  <c r="I73" i="1"/>
  <c r="J73" i="1"/>
  <c r="M73" i="1" s="1"/>
  <c r="I35" i="1"/>
  <c r="J35" i="1"/>
  <c r="M35" i="1" s="1"/>
  <c r="I55" i="1"/>
  <c r="J55" i="1"/>
  <c r="M55" i="1" s="1"/>
  <c r="J58" i="1"/>
  <c r="M58" i="1" s="1"/>
  <c r="I58" i="1"/>
  <c r="I65" i="1"/>
  <c r="J65" i="1"/>
  <c r="M65" i="1" s="1"/>
  <c r="J40" i="1"/>
  <c r="M40" i="1" s="1"/>
  <c r="I40" i="1"/>
  <c r="I69" i="1"/>
  <c r="J69" i="1"/>
  <c r="M69" i="1" s="1"/>
  <c r="J64" i="1"/>
  <c r="M64" i="1" s="1"/>
  <c r="I64" i="1"/>
  <c r="I31" i="1"/>
  <c r="J31" i="1"/>
  <c r="M31" i="1" s="1"/>
  <c r="J48" i="1"/>
  <c r="M48" i="1" s="1"/>
  <c r="I48" i="1"/>
  <c r="J42" i="1"/>
  <c r="M42" i="1" s="1"/>
  <c r="I42" i="1"/>
  <c r="I75" i="1"/>
  <c r="J75" i="1"/>
  <c r="M75" i="1" s="1"/>
  <c r="I88" i="1"/>
  <c r="J88" i="1"/>
  <c r="I89" i="1"/>
  <c r="J89" i="1"/>
  <c r="M89" i="1" s="1"/>
  <c r="J16" i="1"/>
  <c r="M16" i="1" s="1"/>
  <c r="I16" i="1"/>
  <c r="I63" i="1"/>
  <c r="J63" i="1"/>
  <c r="M63" i="1" s="1"/>
  <c r="I62" i="1"/>
  <c r="J66" i="1"/>
  <c r="M66" i="1" s="1"/>
  <c r="I66" i="1"/>
  <c r="I92" i="1"/>
  <c r="J92" i="1"/>
  <c r="M92" i="1" s="1"/>
  <c r="I33" i="1"/>
  <c r="J33" i="1"/>
  <c r="M33" i="1" s="1"/>
  <c r="I45" i="1"/>
  <c r="J45" i="1"/>
  <c r="M45" i="1" s="1"/>
  <c r="I51" i="1"/>
  <c r="J51" i="1"/>
  <c r="M51" i="1" s="1"/>
  <c r="I23" i="1"/>
  <c r="J23" i="1"/>
  <c r="J12" i="1"/>
  <c r="M12" i="1" s="1"/>
  <c r="I12" i="1"/>
  <c r="J24" i="1"/>
  <c r="M24" i="1" s="1"/>
  <c r="I24" i="1"/>
  <c r="I71" i="1"/>
  <c r="J71" i="1"/>
  <c r="M71" i="1" s="1"/>
  <c r="I77" i="1"/>
  <c r="J77" i="1"/>
  <c r="M77" i="1" s="1"/>
  <c r="I85" i="1"/>
  <c r="J85" i="1"/>
  <c r="M85" i="1" s="1"/>
  <c r="I87" i="1"/>
  <c r="J87" i="1"/>
  <c r="M87" i="1" s="1"/>
  <c r="J14" i="1"/>
  <c r="I14" i="1"/>
  <c r="J26" i="1"/>
  <c r="M26" i="1" s="1"/>
  <c r="I26" i="1"/>
  <c r="J34" i="1"/>
  <c r="M34" i="1" s="1"/>
  <c r="I34" i="1"/>
  <c r="I47" i="1"/>
  <c r="J47" i="1"/>
  <c r="I29" i="1"/>
  <c r="J29" i="1"/>
  <c r="M29" i="1" s="1"/>
  <c r="I76" i="1"/>
  <c r="J76" i="1"/>
  <c r="M76" i="1" s="1"/>
  <c r="I74" i="1"/>
  <c r="J74" i="1"/>
  <c r="M74" i="1" s="1"/>
  <c r="I90" i="1"/>
  <c r="J90" i="1"/>
  <c r="M90" i="1" s="1"/>
  <c r="J22" i="1"/>
  <c r="I22" i="1"/>
  <c r="J28" i="1"/>
  <c r="M28" i="1" s="1"/>
  <c r="I28" i="1"/>
  <c r="I82" i="1"/>
  <c r="J82" i="1"/>
  <c r="M82" i="1" s="1"/>
  <c r="I19" i="1"/>
  <c r="J19" i="1"/>
  <c r="M19" i="1" s="1"/>
  <c r="I61" i="1"/>
  <c r="J61" i="1"/>
  <c r="M61" i="1" s="1"/>
  <c r="I39" i="1"/>
  <c r="J39" i="1"/>
  <c r="M39" i="1" s="1"/>
  <c r="I78" i="1"/>
  <c r="J78" i="1"/>
  <c r="M78" i="1" s="1"/>
  <c r="I41" i="1"/>
  <c r="J41" i="1"/>
  <c r="M41" i="1" s="1"/>
  <c r="J46" i="1"/>
  <c r="M46" i="1" s="1"/>
  <c r="I46" i="1"/>
  <c r="I70" i="1"/>
  <c r="J70" i="1"/>
  <c r="I91" i="1"/>
  <c r="J91" i="1"/>
  <c r="M91" i="1" s="1"/>
  <c r="I17" i="1"/>
  <c r="J17" i="1"/>
  <c r="M17" i="1" s="1"/>
  <c r="I53" i="1"/>
  <c r="J53" i="1"/>
  <c r="M53" i="1" s="1"/>
  <c r="I27" i="1"/>
  <c r="J27" i="1"/>
  <c r="I83" i="1"/>
  <c r="J83" i="1"/>
  <c r="M83" i="1" s="1"/>
  <c r="J60" i="1"/>
  <c r="M60" i="1" s="1"/>
  <c r="I60" i="1"/>
  <c r="J67" i="1"/>
  <c r="I67" i="1"/>
  <c r="J20" i="1"/>
  <c r="M20" i="1" s="1"/>
  <c r="I20" i="1"/>
  <c r="I11" i="1"/>
  <c r="J11" i="1"/>
  <c r="M11" i="1" s="1"/>
  <c r="J44" i="1"/>
  <c r="M44" i="1" s="1"/>
  <c r="I44" i="1"/>
  <c r="J68" i="1"/>
  <c r="M68" i="1" s="1"/>
  <c r="I68" i="1"/>
  <c r="I13" i="1"/>
  <c r="J13" i="1"/>
  <c r="M13" i="1" s="1"/>
  <c r="I37" i="1"/>
  <c r="J37" i="1"/>
  <c r="M37" i="1" s="1"/>
  <c r="J36" i="1"/>
  <c r="M36" i="1" s="1"/>
  <c r="I36" i="1"/>
  <c r="M62" i="1"/>
  <c r="J54" i="1"/>
  <c r="M54" i="1" s="1"/>
  <c r="I54" i="1"/>
  <c r="I59" i="1"/>
  <c r="J59" i="1"/>
  <c r="M59" i="1" s="1"/>
  <c r="J18" i="1"/>
  <c r="M18" i="1" s="1"/>
  <c r="I18" i="1"/>
  <c r="I25" i="1"/>
  <c r="J25" i="1"/>
  <c r="M25" i="1" s="1"/>
  <c r="I21" i="1"/>
  <c r="J21" i="1"/>
  <c r="J56" i="1"/>
  <c r="M56" i="1" s="1"/>
  <c r="I56" i="1"/>
  <c r="I81" i="1"/>
  <c r="J81" i="1"/>
  <c r="M81" i="1" s="1"/>
  <c r="M43" i="1"/>
  <c r="M10" i="1"/>
  <c r="I79" i="1"/>
  <c r="J79" i="1"/>
  <c r="M79" i="1" s="1"/>
  <c r="I57" i="1"/>
  <c r="J57" i="1"/>
  <c r="M57" i="1" s="1"/>
  <c r="I80" i="1"/>
  <c r="J80" i="1"/>
  <c r="M80" i="1" s="1"/>
  <c r="J52" i="1"/>
  <c r="I52" i="1"/>
  <c r="I72" i="1"/>
  <c r="J72" i="1"/>
  <c r="M72" i="1" s="1"/>
  <c r="I43" i="1"/>
  <c r="A159" i="1"/>
  <c r="I155" i="1" l="1"/>
  <c r="M152" i="1"/>
  <c r="M67" i="1"/>
  <c r="M144" i="1"/>
  <c r="M145" i="1"/>
  <c r="M141" i="1"/>
  <c r="M140" i="1"/>
  <c r="M139" i="1"/>
  <c r="F157" i="1"/>
  <c r="J157" i="1" s="1"/>
  <c r="C6602" i="2"/>
  <c r="B6604" i="2" s="1"/>
  <c r="H157" i="1"/>
  <c r="G157" i="1"/>
  <c r="B6585" i="2"/>
  <c r="G6559" i="2"/>
  <c r="B6567" i="2"/>
  <c r="B6589" i="2"/>
  <c r="B6596" i="2"/>
  <c r="B6569" i="2"/>
  <c r="B6571" i="2"/>
  <c r="B6593" i="2"/>
  <c r="B6580" i="2"/>
  <c r="B6581" i="2"/>
  <c r="B6599" i="2"/>
  <c r="B6579" i="2"/>
  <c r="B6570" i="2"/>
  <c r="B6574" i="2"/>
  <c r="B6594" i="2"/>
  <c r="B6592" i="2"/>
  <c r="B6576" i="2"/>
  <c r="B6568" i="2"/>
  <c r="B6575" i="2"/>
  <c r="B6565" i="2"/>
  <c r="B6573" i="2"/>
  <c r="B6582" i="2"/>
  <c r="B6583" i="2"/>
  <c r="B6587" i="2"/>
  <c r="B6590" i="2"/>
  <c r="B6588" i="2"/>
  <c r="B6597" i="2"/>
  <c r="B6564" i="2"/>
  <c r="B6595" i="2"/>
  <c r="B6591" i="2"/>
  <c r="B6584" i="2"/>
  <c r="B6562" i="2"/>
  <c r="B6600" i="2"/>
  <c r="B6572" i="2"/>
  <c r="B6586" i="2"/>
  <c r="B6598" i="2"/>
  <c r="B6578" i="2"/>
  <c r="B6563" i="2"/>
  <c r="B6577" i="2"/>
  <c r="B6566" i="2"/>
  <c r="I156" i="1"/>
  <c r="M27" i="1"/>
  <c r="M14" i="1"/>
  <c r="M156" i="1"/>
  <c r="M155" i="1"/>
  <c r="M154" i="1"/>
  <c r="M131" i="1"/>
  <c r="M115" i="1"/>
  <c r="M22" i="1"/>
  <c r="M23" i="1"/>
  <c r="M109" i="1"/>
  <c r="M123" i="1"/>
  <c r="M106" i="1"/>
  <c r="M129" i="1"/>
  <c r="M104" i="1"/>
  <c r="M21" i="1"/>
  <c r="M116" i="1"/>
  <c r="M103" i="1"/>
  <c r="M128" i="1"/>
  <c r="M126" i="1"/>
  <c r="M127" i="1"/>
  <c r="M125" i="1"/>
  <c r="M105" i="1"/>
  <c r="M102" i="1"/>
  <c r="M70" i="1"/>
  <c r="M124" i="1"/>
  <c r="M122" i="1"/>
  <c r="M121" i="1"/>
  <c r="M118" i="1"/>
  <c r="M120" i="1"/>
  <c r="M117" i="1"/>
  <c r="M119" i="1"/>
  <c r="M112" i="1"/>
  <c r="M111" i="1"/>
  <c r="M108" i="1"/>
  <c r="M110" i="1"/>
  <c r="M107" i="1"/>
  <c r="M101" i="1"/>
  <c r="M98" i="1"/>
  <c r="M100" i="1"/>
  <c r="M99" i="1"/>
  <c r="M97" i="1"/>
  <c r="M96" i="1"/>
  <c r="M94" i="1"/>
  <c r="M95" i="1"/>
  <c r="M88" i="1"/>
  <c r="M47" i="1"/>
  <c r="M52" i="1"/>
  <c r="M32" i="1"/>
  <c r="A160" i="1"/>
  <c r="F158" i="1" l="1"/>
  <c r="K157" i="1"/>
  <c r="I157" i="1"/>
  <c r="B6613" i="2"/>
  <c r="B6640" i="2"/>
  <c r="B6607" i="2"/>
  <c r="B6616" i="2"/>
  <c r="B6620" i="2"/>
  <c r="B6639" i="2"/>
  <c r="B6614" i="2"/>
  <c r="B6637" i="2"/>
  <c r="B6621" i="2"/>
  <c r="B6623" i="2"/>
  <c r="B6622" i="2"/>
  <c r="B6635" i="2"/>
  <c r="B6632" i="2"/>
  <c r="B6641" i="2"/>
  <c r="B6631" i="2"/>
  <c r="B6624" i="2"/>
  <c r="B6625" i="2"/>
  <c r="G6603" i="2"/>
  <c r="B6643" i="2"/>
  <c r="B6619" i="2"/>
  <c r="B6630" i="2"/>
  <c r="B6606" i="2"/>
  <c r="B6615" i="2"/>
  <c r="B6633" i="2"/>
  <c r="B6608" i="2"/>
  <c r="B6612" i="2"/>
  <c r="B6638" i="2"/>
  <c r="B6636" i="2"/>
  <c r="B6618" i="2"/>
  <c r="B6610" i="2"/>
  <c r="B6629" i="2"/>
  <c r="B6634" i="2"/>
  <c r="B6627" i="2"/>
  <c r="B6628" i="2"/>
  <c r="B6611" i="2"/>
  <c r="B6644" i="2"/>
  <c r="B6626" i="2"/>
  <c r="B6617" i="2"/>
  <c r="B6642" i="2"/>
  <c r="B6609" i="2"/>
  <c r="H158" i="1"/>
  <c r="L158" i="1" s="1"/>
  <c r="G158" i="1"/>
  <c r="K158" i="1" s="1"/>
  <c r="L157" i="1"/>
  <c r="C3661" i="2"/>
  <c r="E3661" i="2"/>
  <c r="D3661" i="2"/>
  <c r="C3659" i="2"/>
  <c r="E3659" i="2"/>
  <c r="D3659" i="2"/>
  <c r="C3662" i="2"/>
  <c r="E3662" i="2"/>
  <c r="D3662" i="2"/>
  <c r="D3658" i="2"/>
  <c r="C3658" i="2"/>
  <c r="C3660" i="2"/>
  <c r="E3660" i="2"/>
  <c r="D3660" i="2"/>
  <c r="E3658" i="2"/>
  <c r="A161" i="1"/>
  <c r="M157" i="1" l="1"/>
  <c r="J158" i="1"/>
  <c r="M158" i="1" s="1"/>
  <c r="I158" i="1"/>
  <c r="F159" i="1"/>
  <c r="G159" i="1"/>
  <c r="K159" i="1" s="1"/>
  <c r="H159" i="1"/>
  <c r="L159" i="1" s="1"/>
  <c r="G3658" i="2"/>
  <c r="G3660" i="2"/>
  <c r="G3659" i="2"/>
  <c r="G3661" i="2"/>
  <c r="G3662" i="2"/>
  <c r="A162" i="1"/>
  <c r="J159" i="1" l="1"/>
  <c r="M159" i="1" s="1"/>
  <c r="I159" i="1"/>
  <c r="G3679" i="2"/>
  <c r="G3696" i="2" s="1"/>
  <c r="F93" i="1"/>
  <c r="A163" i="1"/>
  <c r="I93" i="1" l="1"/>
  <c r="J93" i="1"/>
  <c r="A164" i="1"/>
  <c r="M93" i="1" l="1"/>
  <c r="A165" i="1"/>
  <c r="D4582" i="2" l="1"/>
  <c r="E4582" i="2"/>
  <c r="C4582" i="2"/>
  <c r="C4584" i="2"/>
  <c r="E4584" i="2"/>
  <c r="D4584" i="2"/>
  <c r="C4583" i="2"/>
  <c r="E4583" i="2"/>
  <c r="D4583" i="2"/>
  <c r="A166" i="1"/>
  <c r="C6866" i="2" l="1"/>
  <c r="B6868" i="2" s="1"/>
  <c r="C6910" i="2"/>
  <c r="B6912" i="2" s="1"/>
  <c r="C6690" i="2"/>
  <c r="B6692" i="2" s="1"/>
  <c r="C6646" i="2"/>
  <c r="B6648" i="2" s="1"/>
  <c r="C6778" i="2"/>
  <c r="B6780" i="2" s="1"/>
  <c r="C6734" i="2"/>
  <c r="B6736" i="2" s="1"/>
  <c r="C6822" i="2"/>
  <c r="B6824" i="2" s="1"/>
  <c r="G4583" i="2"/>
  <c r="G4584" i="2"/>
  <c r="G4582" i="2"/>
  <c r="A167" i="1"/>
  <c r="C6954" i="2" l="1"/>
  <c r="B6956" i="2" s="1"/>
  <c r="B6976" i="2" s="1"/>
  <c r="B6855" i="2"/>
  <c r="B6856" i="2"/>
  <c r="B6851" i="2"/>
  <c r="B6854" i="2"/>
  <c r="B6827" i="2"/>
  <c r="B6859" i="2"/>
  <c r="B6842" i="2"/>
  <c r="B6853" i="2"/>
  <c r="B6861" i="2"/>
  <c r="B6858" i="2"/>
  <c r="B6845" i="2"/>
  <c r="B6848" i="2"/>
  <c r="B6843" i="2"/>
  <c r="B6826" i="2"/>
  <c r="B6831" i="2"/>
  <c r="B6860" i="2"/>
  <c r="B6839" i="2"/>
  <c r="B6830" i="2"/>
  <c r="B6836" i="2"/>
  <c r="B6862" i="2"/>
  <c r="B6849" i="2"/>
  <c r="B6864" i="2"/>
  <c r="B6833" i="2"/>
  <c r="B6829" i="2"/>
  <c r="B6840" i="2"/>
  <c r="B6857" i="2"/>
  <c r="B6852" i="2"/>
  <c r="B6850" i="2"/>
  <c r="B6846" i="2"/>
  <c r="B6828" i="2"/>
  <c r="B6863" i="2"/>
  <c r="B6847" i="2"/>
  <c r="B6834" i="2"/>
  <c r="B6844" i="2"/>
  <c r="B6832" i="2"/>
  <c r="G6823" i="2"/>
  <c r="B6838" i="2"/>
  <c r="B6835" i="2"/>
  <c r="B6837" i="2"/>
  <c r="B6841" i="2"/>
  <c r="B6763" i="2"/>
  <c r="B6766" i="2"/>
  <c r="B6742" i="2"/>
  <c r="B6767" i="2"/>
  <c r="B6773" i="2"/>
  <c r="B6751" i="2"/>
  <c r="B6754" i="2"/>
  <c r="B6741" i="2"/>
  <c r="B6771" i="2"/>
  <c r="B6743" i="2"/>
  <c r="B6749" i="2"/>
  <c r="B6765" i="2"/>
  <c r="B6758" i="2"/>
  <c r="B6769" i="2"/>
  <c r="B6752" i="2"/>
  <c r="B6772" i="2"/>
  <c r="G6735" i="2"/>
  <c r="B6770" i="2"/>
  <c r="B6748" i="2"/>
  <c r="B6750" i="2"/>
  <c r="B6774" i="2"/>
  <c r="B6755" i="2"/>
  <c r="B6776" i="2"/>
  <c r="B6761" i="2"/>
  <c r="B6739" i="2"/>
  <c r="B6740" i="2"/>
  <c r="B6756" i="2"/>
  <c r="B6745" i="2"/>
  <c r="B6775" i="2"/>
  <c r="B6738" i="2"/>
  <c r="B6764" i="2"/>
  <c r="B6747" i="2"/>
  <c r="B6760" i="2"/>
  <c r="B6753" i="2"/>
  <c r="B6744" i="2"/>
  <c r="B6762" i="2"/>
  <c r="B6757" i="2"/>
  <c r="B6746" i="2"/>
  <c r="B6759" i="2"/>
  <c r="B6768" i="2"/>
  <c r="B6788" i="2"/>
  <c r="B6784" i="2"/>
  <c r="B6802" i="2"/>
  <c r="B6798" i="2"/>
  <c r="B6782" i="2"/>
  <c r="B6787" i="2"/>
  <c r="B6791" i="2"/>
  <c r="B6785" i="2"/>
  <c r="B6797" i="2"/>
  <c r="B6809" i="2"/>
  <c r="B6799" i="2"/>
  <c r="B6789" i="2"/>
  <c r="B6790" i="2"/>
  <c r="B6813" i="2"/>
  <c r="B6811" i="2"/>
  <c r="B6810" i="2"/>
  <c r="B6786" i="2"/>
  <c r="B6815" i="2"/>
  <c r="B6792" i="2"/>
  <c r="B6807" i="2"/>
  <c r="B6805" i="2"/>
  <c r="B6817" i="2"/>
  <c r="B6816" i="2"/>
  <c r="B6793" i="2"/>
  <c r="B6804" i="2"/>
  <c r="B6800" i="2"/>
  <c r="B6818" i="2"/>
  <c r="G6779" i="2"/>
  <c r="B6794" i="2"/>
  <c r="B6812" i="2"/>
  <c r="B6819" i="2"/>
  <c r="B6806" i="2"/>
  <c r="B6796" i="2"/>
  <c r="B6803" i="2"/>
  <c r="B6795" i="2"/>
  <c r="B6820" i="2"/>
  <c r="B6801" i="2"/>
  <c r="B6814" i="2"/>
  <c r="B6808" i="2"/>
  <c r="B6783" i="2"/>
  <c r="B6679" i="2"/>
  <c r="B6664" i="2"/>
  <c r="B6665" i="2"/>
  <c r="B6687" i="2"/>
  <c r="B6675" i="2"/>
  <c r="B6662" i="2"/>
  <c r="B6659" i="2"/>
  <c r="B6669" i="2"/>
  <c r="B6666" i="2"/>
  <c r="B6656" i="2"/>
  <c r="B6667" i="2"/>
  <c r="B6684" i="2"/>
  <c r="B6671" i="2"/>
  <c r="B6672" i="2"/>
  <c r="B6651" i="2"/>
  <c r="B6682" i="2"/>
  <c r="B6670" i="2"/>
  <c r="B6652" i="2"/>
  <c r="B6650" i="2"/>
  <c r="B6685" i="2"/>
  <c r="B6680" i="2"/>
  <c r="B6677" i="2"/>
  <c r="B6681" i="2"/>
  <c r="B6668" i="2"/>
  <c r="B6673" i="2"/>
  <c r="B6683" i="2"/>
  <c r="B6676" i="2"/>
  <c r="B6655" i="2"/>
  <c r="B6657" i="2"/>
  <c r="B6658" i="2"/>
  <c r="B6663" i="2"/>
  <c r="G6647" i="2"/>
  <c r="B6688" i="2"/>
  <c r="B6654" i="2"/>
  <c r="B6678" i="2"/>
  <c r="B6661" i="2"/>
  <c r="B6653" i="2"/>
  <c r="B6660" i="2"/>
  <c r="B6686" i="2"/>
  <c r="B6674" i="2"/>
  <c r="B6715" i="2"/>
  <c r="B6710" i="2"/>
  <c r="B6695" i="2"/>
  <c r="B6723" i="2"/>
  <c r="B6718" i="2"/>
  <c r="B6698" i="2"/>
  <c r="B6708" i="2"/>
  <c r="B6713" i="2"/>
  <c r="B6729" i="2"/>
  <c r="B6716" i="2"/>
  <c r="B6696" i="2"/>
  <c r="B6727" i="2"/>
  <c r="B6694" i="2"/>
  <c r="B6732" i="2"/>
  <c r="B6712" i="2"/>
  <c r="B6699" i="2"/>
  <c r="B6728" i="2"/>
  <c r="B6719" i="2"/>
  <c r="B6711" i="2"/>
  <c r="B6717" i="2"/>
  <c r="G6691" i="2"/>
  <c r="B6730" i="2"/>
  <c r="B6722" i="2"/>
  <c r="B6720" i="2"/>
  <c r="B6702" i="2"/>
  <c r="B6701" i="2"/>
  <c r="B6725" i="2"/>
  <c r="B6697" i="2"/>
  <c r="B6721" i="2"/>
  <c r="B6707" i="2"/>
  <c r="B6731" i="2"/>
  <c r="B6726" i="2"/>
  <c r="B6714" i="2"/>
  <c r="B6703" i="2"/>
  <c r="B6705" i="2"/>
  <c r="B6706" i="2"/>
  <c r="B6709" i="2"/>
  <c r="B6700" i="2"/>
  <c r="B6724" i="2"/>
  <c r="B6704" i="2"/>
  <c r="B6921" i="2"/>
  <c r="B6922" i="2"/>
  <c r="B6940" i="2"/>
  <c r="B6946" i="2"/>
  <c r="B6938" i="2"/>
  <c r="B6952" i="2"/>
  <c r="B6914" i="2"/>
  <c r="B6936" i="2"/>
  <c r="B6939" i="2"/>
  <c r="B6931" i="2"/>
  <c r="B6941" i="2"/>
  <c r="B6920" i="2"/>
  <c r="B6929" i="2"/>
  <c r="B6934" i="2"/>
  <c r="B6923" i="2"/>
  <c r="B6932" i="2"/>
  <c r="B6947" i="2"/>
  <c r="B6917" i="2"/>
  <c r="B6926" i="2"/>
  <c r="B6919" i="2"/>
  <c r="B6924" i="2"/>
  <c r="B6935" i="2"/>
  <c r="B6928" i="2"/>
  <c r="B6918" i="2"/>
  <c r="B6915" i="2"/>
  <c r="B6945" i="2"/>
  <c r="B6916" i="2"/>
  <c r="B6927" i="2"/>
  <c r="G6911" i="2"/>
  <c r="B6951" i="2"/>
  <c r="B6933" i="2"/>
  <c r="B6937" i="2"/>
  <c r="B6950" i="2"/>
  <c r="B6949" i="2"/>
  <c r="B6948" i="2"/>
  <c r="B6943" i="2"/>
  <c r="B6925" i="2"/>
  <c r="B6930" i="2"/>
  <c r="B6942" i="2"/>
  <c r="B6944" i="2"/>
  <c r="B6877" i="2"/>
  <c r="B6907" i="2"/>
  <c r="B6893" i="2"/>
  <c r="B6892" i="2"/>
  <c r="B6902" i="2"/>
  <c r="B6873" i="2"/>
  <c r="B6904" i="2"/>
  <c r="B6886" i="2"/>
  <c r="B6885" i="2"/>
  <c r="B6895" i="2"/>
  <c r="B6876" i="2"/>
  <c r="B6900" i="2"/>
  <c r="B6878" i="2"/>
  <c r="B6884" i="2"/>
  <c r="B6890" i="2"/>
  <c r="B6908" i="2"/>
  <c r="B6894" i="2"/>
  <c r="G6867" i="2"/>
  <c r="B6905" i="2"/>
  <c r="B6882" i="2"/>
  <c r="B6897" i="2"/>
  <c r="B6887" i="2"/>
  <c r="B6871" i="2"/>
  <c r="B6903" i="2"/>
  <c r="B6874" i="2"/>
  <c r="B6901" i="2"/>
  <c r="B6888" i="2"/>
  <c r="B6879" i="2"/>
  <c r="B6906" i="2"/>
  <c r="B6898" i="2"/>
  <c r="B6889" i="2"/>
  <c r="B6880" i="2"/>
  <c r="B6875" i="2"/>
  <c r="B6899" i="2"/>
  <c r="B6891" i="2"/>
  <c r="B6872" i="2"/>
  <c r="B6870" i="2"/>
  <c r="B6881" i="2"/>
  <c r="B6896" i="2"/>
  <c r="B6883" i="2"/>
  <c r="G4603" i="2"/>
  <c r="A168" i="1"/>
  <c r="H8962" i="2" l="1"/>
  <c r="H8964" i="2"/>
  <c r="H8965" i="2"/>
  <c r="H8963" i="2"/>
  <c r="H8971" i="2"/>
  <c r="H4608" i="2"/>
  <c r="I4608" i="2" s="1"/>
  <c r="H8919" i="2"/>
  <c r="I8919" i="2" s="1"/>
  <c r="H8918" i="2"/>
  <c r="I8918" i="2" s="1"/>
  <c r="H8920" i="2"/>
  <c r="I8920" i="2" s="1"/>
  <c r="H8921" i="2"/>
  <c r="I8921" i="2" s="1"/>
  <c r="H8927" i="2"/>
  <c r="I8927" i="2" s="1"/>
  <c r="H164" i="1"/>
  <c r="L164" i="1" s="1"/>
  <c r="C6998" i="2"/>
  <c r="B7000" i="2" s="1"/>
  <c r="B6983" i="2"/>
  <c r="B6967" i="2"/>
  <c r="B6991" i="2"/>
  <c r="B6990" i="2"/>
  <c r="B6994" i="2"/>
  <c r="B6975" i="2"/>
  <c r="B6996" i="2"/>
  <c r="B6986" i="2"/>
  <c r="B6985" i="2"/>
  <c r="B6993" i="2"/>
  <c r="G6955" i="2"/>
  <c r="B6966" i="2"/>
  <c r="B6982" i="2"/>
  <c r="B6969" i="2"/>
  <c r="B6987" i="2"/>
  <c r="B6964" i="2"/>
  <c r="B6961" i="2"/>
  <c r="B6974" i="2"/>
  <c r="B6988" i="2"/>
  <c r="B6977" i="2"/>
  <c r="B6972" i="2"/>
  <c r="B6965" i="2"/>
  <c r="B6981" i="2"/>
  <c r="B6992" i="2"/>
  <c r="B6989" i="2"/>
  <c r="B6959" i="2"/>
  <c r="B6960" i="2"/>
  <c r="B6973" i="2"/>
  <c r="B6978" i="2"/>
  <c r="B6995" i="2"/>
  <c r="B6971" i="2"/>
  <c r="B6962" i="2"/>
  <c r="B6980" i="2"/>
  <c r="B6958" i="2"/>
  <c r="B6968" i="2"/>
  <c r="B6979" i="2"/>
  <c r="B6970" i="2"/>
  <c r="B6984" i="2"/>
  <c r="B6963" i="2"/>
  <c r="H166" i="1"/>
  <c r="L166" i="1" s="1"/>
  <c r="G163" i="1"/>
  <c r="K163" i="1" s="1"/>
  <c r="H163" i="1"/>
  <c r="L163" i="1" s="1"/>
  <c r="F164" i="1"/>
  <c r="J164" i="1" s="1"/>
  <c r="F160" i="1"/>
  <c r="J160" i="1" s="1"/>
  <c r="H160" i="1"/>
  <c r="L160" i="1" s="1"/>
  <c r="F114" i="1"/>
  <c r="G160" i="1"/>
  <c r="K160" i="1" s="1"/>
  <c r="H162" i="1"/>
  <c r="L162" i="1" s="1"/>
  <c r="F163" i="1"/>
  <c r="G161" i="1"/>
  <c r="K161" i="1" s="1"/>
  <c r="H161" i="1"/>
  <c r="L161" i="1" s="1"/>
  <c r="F161" i="1"/>
  <c r="G165" i="1"/>
  <c r="K165" i="1" s="1"/>
  <c r="G164" i="1"/>
  <c r="K164" i="1" s="1"/>
  <c r="F162" i="1"/>
  <c r="F166" i="1"/>
  <c r="H165" i="1"/>
  <c r="L165" i="1" s="1"/>
  <c r="G162" i="1"/>
  <c r="K162" i="1" s="1"/>
  <c r="G166" i="1"/>
  <c r="K166" i="1" s="1"/>
  <c r="F165" i="1"/>
  <c r="G4620" i="2"/>
  <c r="H4607" i="2"/>
  <c r="I4607" i="2" s="1"/>
  <c r="H4615" i="2"/>
  <c r="I4615" i="2" s="1"/>
  <c r="H4606" i="2"/>
  <c r="I4606" i="2" s="1"/>
  <c r="H4609" i="2"/>
  <c r="I4609" i="2" s="1"/>
  <c r="A169" i="1"/>
  <c r="J114" i="1" l="1"/>
  <c r="M114" i="1" s="1"/>
  <c r="C7042" i="2"/>
  <c r="B7044" i="2" s="1"/>
  <c r="B7077" i="2" s="1"/>
  <c r="G167" i="1"/>
  <c r="K167" i="1" s="1"/>
  <c r="H167" i="1"/>
  <c r="L167" i="1" s="1"/>
  <c r="F167" i="1"/>
  <c r="J167" i="1" s="1"/>
  <c r="B7021" i="2"/>
  <c r="B7006" i="2"/>
  <c r="B7008" i="2"/>
  <c r="B7009" i="2"/>
  <c r="B7005" i="2"/>
  <c r="B7022" i="2"/>
  <c r="B7029" i="2"/>
  <c r="B7016" i="2"/>
  <c r="B7010" i="2"/>
  <c r="B7030" i="2"/>
  <c r="B7004" i="2"/>
  <c r="B7024" i="2"/>
  <c r="B7011" i="2"/>
  <c r="B7019" i="2"/>
  <c r="B7032" i="2"/>
  <c r="B7033" i="2"/>
  <c r="B7038" i="2"/>
  <c r="B7013" i="2"/>
  <c r="B7025" i="2"/>
  <c r="B7040" i="2"/>
  <c r="B7034" i="2"/>
  <c r="B7035" i="2"/>
  <c r="B7012" i="2"/>
  <c r="B7037" i="2"/>
  <c r="G6999" i="2"/>
  <c r="B7023" i="2"/>
  <c r="B7007" i="2"/>
  <c r="B7026" i="2"/>
  <c r="B7028" i="2"/>
  <c r="B7027" i="2"/>
  <c r="B7031" i="2"/>
  <c r="B7020" i="2"/>
  <c r="B7017" i="2"/>
  <c r="B7015" i="2"/>
  <c r="B7014" i="2"/>
  <c r="B7003" i="2"/>
  <c r="B7039" i="2"/>
  <c r="B7002" i="2"/>
  <c r="B7018" i="2"/>
  <c r="B7036" i="2"/>
  <c r="I114" i="1"/>
  <c r="I160" i="1"/>
  <c r="I163" i="1"/>
  <c r="J163" i="1"/>
  <c r="M163" i="1" s="1"/>
  <c r="I161" i="1"/>
  <c r="J161" i="1"/>
  <c r="M161" i="1" s="1"/>
  <c r="J166" i="1"/>
  <c r="M166" i="1" s="1"/>
  <c r="I166" i="1"/>
  <c r="J162" i="1"/>
  <c r="M162" i="1" s="1"/>
  <c r="I162" i="1"/>
  <c r="I164" i="1"/>
  <c r="J165" i="1"/>
  <c r="M165" i="1" s="1"/>
  <c r="I165" i="1"/>
  <c r="M160" i="1"/>
  <c r="M164" i="1"/>
  <c r="D4538" i="2"/>
  <c r="E4538" i="2"/>
  <c r="C4538" i="2"/>
  <c r="C4540" i="2"/>
  <c r="E4540" i="2"/>
  <c r="D4540" i="2"/>
  <c r="D4539" i="2"/>
  <c r="E4539" i="2"/>
  <c r="C4539" i="2"/>
  <c r="A170" i="1"/>
  <c r="B7046" i="2" l="1"/>
  <c r="B7051" i="2"/>
  <c r="B7049" i="2"/>
  <c r="B7060" i="2"/>
  <c r="B7075" i="2"/>
  <c r="B7066" i="2"/>
  <c r="B7067" i="2"/>
  <c r="B7083" i="2"/>
  <c r="B7065" i="2"/>
  <c r="B7064" i="2"/>
  <c r="B7055" i="2"/>
  <c r="B7072" i="2"/>
  <c r="B7081" i="2"/>
  <c r="B7084" i="2"/>
  <c r="B7070" i="2"/>
  <c r="B7062" i="2"/>
  <c r="B7056" i="2"/>
  <c r="B7047" i="2"/>
  <c r="B7076" i="2"/>
  <c r="G7043" i="2"/>
  <c r="B7061" i="2"/>
  <c r="B7069" i="2"/>
  <c r="B7078" i="2"/>
  <c r="B7079" i="2"/>
  <c r="B7068" i="2"/>
  <c r="B7058" i="2"/>
  <c r="B7059" i="2"/>
  <c r="B7080" i="2"/>
  <c r="B7057" i="2"/>
  <c r="B7073" i="2"/>
  <c r="B7063" i="2"/>
  <c r="B7082" i="2"/>
  <c r="B7048" i="2"/>
  <c r="B7053" i="2"/>
  <c r="B7052" i="2"/>
  <c r="B7054" i="2"/>
  <c r="B7071" i="2"/>
  <c r="B7074" i="2"/>
  <c r="B7050" i="2"/>
  <c r="C7086" i="2"/>
  <c r="B7088" i="2" s="1"/>
  <c r="F168" i="1"/>
  <c r="J168" i="1" s="1"/>
  <c r="I167" i="1"/>
  <c r="G168" i="1"/>
  <c r="H168" i="1"/>
  <c r="M167" i="1"/>
  <c r="G4540" i="2"/>
  <c r="G4538" i="2"/>
  <c r="G4539" i="2"/>
  <c r="A171" i="1"/>
  <c r="F169" i="1" l="1"/>
  <c r="H169" i="1"/>
  <c r="G169" i="1"/>
  <c r="C7130" i="2"/>
  <c r="B7132" i="2" s="1"/>
  <c r="B7121" i="2"/>
  <c r="B7128" i="2"/>
  <c r="B7120" i="2"/>
  <c r="B7123" i="2"/>
  <c r="B7125" i="2"/>
  <c r="G7087" i="2"/>
  <c r="B7106" i="2"/>
  <c r="B7095" i="2"/>
  <c r="B7104" i="2"/>
  <c r="B7124" i="2"/>
  <c r="B7090" i="2"/>
  <c r="B7119" i="2"/>
  <c r="B7111" i="2"/>
  <c r="B7114" i="2"/>
  <c r="B7113" i="2"/>
  <c r="B7116" i="2"/>
  <c r="B7103" i="2"/>
  <c r="B7107" i="2"/>
  <c r="B7118" i="2"/>
  <c r="B7112" i="2"/>
  <c r="B7117" i="2"/>
  <c r="B7099" i="2"/>
  <c r="B7122" i="2"/>
  <c r="B7105" i="2"/>
  <c r="B7108" i="2"/>
  <c r="B7091" i="2"/>
  <c r="B7115" i="2"/>
  <c r="B7097" i="2"/>
  <c r="B7109" i="2"/>
  <c r="B7100" i="2"/>
  <c r="B7098" i="2"/>
  <c r="B7110" i="2"/>
  <c r="B7101" i="2"/>
  <c r="B7092" i="2"/>
  <c r="B7096" i="2"/>
  <c r="B7094" i="2"/>
  <c r="B7093" i="2"/>
  <c r="B7127" i="2"/>
  <c r="B7102" i="2"/>
  <c r="B7126" i="2"/>
  <c r="K168" i="1"/>
  <c r="L168" i="1"/>
  <c r="I168" i="1"/>
  <c r="G4559" i="2"/>
  <c r="G4576" i="2" s="1"/>
  <c r="A172" i="1"/>
  <c r="J169" i="1" l="1"/>
  <c r="K169" i="1"/>
  <c r="L169" i="1"/>
  <c r="I169" i="1"/>
  <c r="C7174" i="2"/>
  <c r="B7176" i="2" s="1"/>
  <c r="H170" i="1"/>
  <c r="F170" i="1"/>
  <c r="G170" i="1"/>
  <c r="B7165" i="2"/>
  <c r="B7144" i="2"/>
  <c r="B7135" i="2"/>
  <c r="B7136" i="2"/>
  <c r="B7167" i="2"/>
  <c r="B7172" i="2"/>
  <c r="B7158" i="2"/>
  <c r="B7150" i="2"/>
  <c r="B7149" i="2"/>
  <c r="B7146" i="2"/>
  <c r="B7145" i="2"/>
  <c r="B7164" i="2"/>
  <c r="B7138" i="2"/>
  <c r="B7166" i="2"/>
  <c r="G7131" i="2"/>
  <c r="B7151" i="2"/>
  <c r="B7170" i="2"/>
  <c r="B7159" i="2"/>
  <c r="B7139" i="2"/>
  <c r="B7143" i="2"/>
  <c r="B7163" i="2"/>
  <c r="B7154" i="2"/>
  <c r="B7161" i="2"/>
  <c r="B7169" i="2"/>
  <c r="B7160" i="2"/>
  <c r="B7134" i="2"/>
  <c r="B7152" i="2"/>
  <c r="B7155" i="2"/>
  <c r="B7156" i="2"/>
  <c r="B7137" i="2"/>
  <c r="B7140" i="2"/>
  <c r="B7147" i="2"/>
  <c r="B7141" i="2"/>
  <c r="B7171" i="2"/>
  <c r="B7157" i="2"/>
  <c r="B7148" i="2"/>
  <c r="B7153" i="2"/>
  <c r="B7168" i="2"/>
  <c r="B7142" i="2"/>
  <c r="B7162" i="2"/>
  <c r="F113" i="1"/>
  <c r="M168" i="1"/>
  <c r="A173" i="1"/>
  <c r="M169" i="1" l="1"/>
  <c r="I113" i="1"/>
  <c r="C7218" i="2"/>
  <c r="B7220" i="2" s="1"/>
  <c r="F171" i="1"/>
  <c r="K170" i="1"/>
  <c r="G171" i="1"/>
  <c r="J170" i="1"/>
  <c r="I170" i="1"/>
  <c r="B7209" i="2"/>
  <c r="B7184" i="2"/>
  <c r="B7201" i="2"/>
  <c r="B7191" i="2"/>
  <c r="B7178" i="2"/>
  <c r="B7181" i="2"/>
  <c r="B7208" i="2"/>
  <c r="B7182" i="2"/>
  <c r="B7205" i="2"/>
  <c r="B7195" i="2"/>
  <c r="B7211" i="2"/>
  <c r="B7200" i="2"/>
  <c r="B7203" i="2"/>
  <c r="B7188" i="2"/>
  <c r="B7179" i="2"/>
  <c r="B7199" i="2"/>
  <c r="B7189" i="2"/>
  <c r="B7186" i="2"/>
  <c r="B7185" i="2"/>
  <c r="B7216" i="2"/>
  <c r="B7213" i="2"/>
  <c r="G7175" i="2"/>
  <c r="B7196" i="2"/>
  <c r="B7206" i="2"/>
  <c r="B7192" i="2"/>
  <c r="B7215" i="2"/>
  <c r="B7183" i="2"/>
  <c r="B7180" i="2"/>
  <c r="B7212" i="2"/>
  <c r="B7214" i="2"/>
  <c r="B7210" i="2"/>
  <c r="B7202" i="2"/>
  <c r="B7207" i="2"/>
  <c r="B7198" i="2"/>
  <c r="B7187" i="2"/>
  <c r="B7204" i="2"/>
  <c r="B7190" i="2"/>
  <c r="B7197" i="2"/>
  <c r="B7194" i="2"/>
  <c r="B7193" i="2"/>
  <c r="L170" i="1"/>
  <c r="H171" i="1"/>
  <c r="J113" i="1"/>
  <c r="M113" i="1" s="1"/>
  <c r="A174" i="1"/>
  <c r="L171" i="1" l="1"/>
  <c r="K171" i="1"/>
  <c r="M170" i="1"/>
  <c r="H172" i="1"/>
  <c r="L172" i="1" s="1"/>
  <c r="G172" i="1"/>
  <c r="K172" i="1" s="1"/>
  <c r="F172" i="1"/>
  <c r="J171" i="1"/>
  <c r="I171" i="1"/>
  <c r="B7260" i="2"/>
  <c r="B7231" i="2"/>
  <c r="B7241" i="2"/>
  <c r="B7233" i="2"/>
  <c r="B7225" i="2"/>
  <c r="B7251" i="2"/>
  <c r="B7254" i="2"/>
  <c r="B7256" i="2"/>
  <c r="B7244" i="2"/>
  <c r="B7237" i="2"/>
  <c r="B7229" i="2"/>
  <c r="B7227" i="2"/>
  <c r="B7255" i="2"/>
  <c r="B7242" i="2"/>
  <c r="B7234" i="2"/>
  <c r="B7243" i="2"/>
  <c r="B7252" i="2"/>
  <c r="B7224" i="2"/>
  <c r="B7230" i="2"/>
  <c r="G7219" i="2"/>
  <c r="B7253" i="2"/>
  <c r="B7258" i="2"/>
  <c r="B7236" i="2"/>
  <c r="B7257" i="2"/>
  <c r="B7249" i="2"/>
  <c r="B7235" i="2"/>
  <c r="B7250" i="2"/>
  <c r="B7228" i="2"/>
  <c r="B7246" i="2"/>
  <c r="B7223" i="2"/>
  <c r="B7232" i="2"/>
  <c r="B7245" i="2"/>
  <c r="B7259" i="2"/>
  <c r="B7239" i="2"/>
  <c r="B7238" i="2"/>
  <c r="B7248" i="2"/>
  <c r="B7222" i="2"/>
  <c r="B7247" i="2"/>
  <c r="B7226" i="2"/>
  <c r="B7240" i="2"/>
  <c r="A175" i="1"/>
  <c r="M171" i="1" l="1"/>
  <c r="F173" i="1"/>
  <c r="J172" i="1"/>
  <c r="I172" i="1"/>
  <c r="H173" i="1"/>
  <c r="G173" i="1"/>
  <c r="K173" i="1" s="1"/>
  <c r="A176" i="1"/>
  <c r="M172" i="1" l="1"/>
  <c r="I173" i="1"/>
  <c r="J173" i="1"/>
  <c r="L173" i="1"/>
  <c r="A177" i="1"/>
  <c r="M173" i="1" l="1"/>
  <c r="A178" i="1"/>
  <c r="C7350" i="2" l="1"/>
  <c r="B7352" i="2" s="1"/>
  <c r="C7394" i="2"/>
  <c r="B7396" i="2" s="1"/>
  <c r="C7306" i="2"/>
  <c r="B7308" i="2" s="1"/>
  <c r="C7262" i="2"/>
  <c r="B7264" i="2" s="1"/>
  <c r="C7438" i="2"/>
  <c r="B7440" i="2" s="1"/>
  <c r="A179" i="1"/>
  <c r="A180" i="1"/>
  <c r="C7482" i="2" l="1"/>
  <c r="B7484" i="2" s="1"/>
  <c r="B7495" i="2" s="1"/>
  <c r="C7526" i="2"/>
  <c r="B7528" i="2" s="1"/>
  <c r="B7553" i="2" s="1"/>
  <c r="B7429" i="2"/>
  <c r="B7435" i="2"/>
  <c r="B7406" i="2"/>
  <c r="B7405" i="2"/>
  <c r="B7399" i="2"/>
  <c r="B7417" i="2"/>
  <c r="B7432" i="2"/>
  <c r="B7398" i="2"/>
  <c r="B7412" i="2"/>
  <c r="B7430" i="2"/>
  <c r="B7409" i="2"/>
  <c r="B7428" i="2"/>
  <c r="B7426" i="2"/>
  <c r="B7404" i="2"/>
  <c r="B7423" i="2"/>
  <c r="B7401" i="2"/>
  <c r="B7422" i="2"/>
  <c r="B7434" i="2"/>
  <c r="G7395" i="2"/>
  <c r="B7418" i="2"/>
  <c r="B7436" i="2"/>
  <c r="B7415" i="2"/>
  <c r="B7427" i="2"/>
  <c r="B7431" i="2"/>
  <c r="B7410" i="2"/>
  <c r="B7425" i="2"/>
  <c r="B7407" i="2"/>
  <c r="B7424" i="2"/>
  <c r="B7419" i="2"/>
  <c r="B7402" i="2"/>
  <c r="B7416" i="2"/>
  <c r="B7421" i="2"/>
  <c r="B7420" i="2"/>
  <c r="B7411" i="2"/>
  <c r="B7400" i="2"/>
  <c r="B7408" i="2"/>
  <c r="B7414" i="2"/>
  <c r="B7413" i="2"/>
  <c r="B7403" i="2"/>
  <c r="B7433" i="2"/>
  <c r="B7385" i="2"/>
  <c r="B7356" i="2"/>
  <c r="B7370" i="2"/>
  <c r="B7369" i="2"/>
  <c r="B7386" i="2"/>
  <c r="B7373" i="2"/>
  <c r="B7391" i="2"/>
  <c r="B7362" i="2"/>
  <c r="B7361" i="2"/>
  <c r="B7379" i="2"/>
  <c r="B7365" i="2"/>
  <c r="B7388" i="2"/>
  <c r="B7354" i="2"/>
  <c r="B7368" i="2"/>
  <c r="B7374" i="2"/>
  <c r="B7357" i="2"/>
  <c r="B7384" i="2"/>
  <c r="B7375" i="2"/>
  <c r="B7360" i="2"/>
  <c r="B7366" i="2"/>
  <c r="B7392" i="2"/>
  <c r="B7378" i="2"/>
  <c r="B7390" i="2"/>
  <c r="B7387" i="2"/>
  <c r="B7358" i="2"/>
  <c r="B7381" i="2"/>
  <c r="B7371" i="2"/>
  <c r="B7383" i="2"/>
  <c r="B7367" i="2"/>
  <c r="G7351" i="2"/>
  <c r="B7372" i="2"/>
  <c r="B7363" i="2"/>
  <c r="B7380" i="2"/>
  <c r="B7359" i="2"/>
  <c r="B7389" i="2"/>
  <c r="B7364" i="2"/>
  <c r="B7377" i="2"/>
  <c r="B7376" i="2"/>
  <c r="B7355" i="2"/>
  <c r="B7382" i="2"/>
  <c r="B7297" i="2"/>
  <c r="B7294" i="2"/>
  <c r="B7271" i="2"/>
  <c r="B7295" i="2"/>
  <c r="G7263" i="2"/>
  <c r="B7285" i="2"/>
  <c r="B7267" i="2"/>
  <c r="B7277" i="2"/>
  <c r="B7303" i="2"/>
  <c r="B7287" i="2"/>
  <c r="B7288" i="2"/>
  <c r="B7298" i="2"/>
  <c r="B7304" i="2"/>
  <c r="B7300" i="2"/>
  <c r="B7279" i="2"/>
  <c r="B7281" i="2"/>
  <c r="B7291" i="2"/>
  <c r="B7293" i="2"/>
  <c r="B7296" i="2"/>
  <c r="B7289" i="2"/>
  <c r="B7273" i="2"/>
  <c r="B7286" i="2"/>
  <c r="B7284" i="2"/>
  <c r="B7290" i="2"/>
  <c r="B7282" i="2"/>
  <c r="B7269" i="2"/>
  <c r="B7278" i="2"/>
  <c r="B7276" i="2"/>
  <c r="B7283" i="2"/>
  <c r="B7274" i="2"/>
  <c r="B7280" i="2"/>
  <c r="B7270" i="2"/>
  <c r="B7266" i="2"/>
  <c r="B7275" i="2"/>
  <c r="B7302" i="2"/>
  <c r="B7272" i="2"/>
  <c r="B7268" i="2"/>
  <c r="B7299" i="2"/>
  <c r="B7292" i="2"/>
  <c r="B7301" i="2"/>
  <c r="B7341" i="2"/>
  <c r="B7312" i="2"/>
  <c r="B7326" i="2"/>
  <c r="B7317" i="2"/>
  <c r="B7330" i="2"/>
  <c r="B7329" i="2"/>
  <c r="B7347" i="2"/>
  <c r="B7318" i="2"/>
  <c r="B7324" i="2"/>
  <c r="B7322" i="2"/>
  <c r="B7321" i="2"/>
  <c r="B7344" i="2"/>
  <c r="B7310" i="2"/>
  <c r="B7316" i="2"/>
  <c r="B7314" i="2"/>
  <c r="B7313" i="2"/>
  <c r="B7340" i="2"/>
  <c r="B7346" i="2"/>
  <c r="G7307" i="2"/>
  <c r="B7343" i="2"/>
  <c r="B7348" i="2"/>
  <c r="B7334" i="2"/>
  <c r="B7339" i="2"/>
  <c r="B7345" i="2"/>
  <c r="B7331" i="2"/>
  <c r="B7337" i="2"/>
  <c r="B7327" i="2"/>
  <c r="B7336" i="2"/>
  <c r="B7338" i="2"/>
  <c r="B7323" i="2"/>
  <c r="B7328" i="2"/>
  <c r="B7319" i="2"/>
  <c r="B7332" i="2"/>
  <c r="B7342" i="2"/>
  <c r="B7315" i="2"/>
  <c r="B7320" i="2"/>
  <c r="B7333" i="2"/>
  <c r="B7325" i="2"/>
  <c r="B7335" i="2"/>
  <c r="B7311" i="2"/>
  <c r="B7473" i="2"/>
  <c r="B7480" i="2"/>
  <c r="B7447" i="2"/>
  <c r="B7458" i="2"/>
  <c r="B7457" i="2"/>
  <c r="B7461" i="2"/>
  <c r="B7469" i="2"/>
  <c r="B7479" i="2"/>
  <c r="B7450" i="2"/>
  <c r="B7449" i="2"/>
  <c r="B7453" i="2"/>
  <c r="B7460" i="2"/>
  <c r="B7476" i="2"/>
  <c r="B7446" i="2"/>
  <c r="B7456" i="2"/>
  <c r="B7445" i="2"/>
  <c r="B7452" i="2"/>
  <c r="B7472" i="2"/>
  <c r="B7443" i="2"/>
  <c r="B7448" i="2"/>
  <c r="B7442" i="2"/>
  <c r="G7439" i="2"/>
  <c r="B7466" i="2"/>
  <c r="B7478" i="2"/>
  <c r="B7474" i="2"/>
  <c r="B7477" i="2"/>
  <c r="B7475" i="2"/>
  <c r="B7459" i="2"/>
  <c r="B7471" i="2"/>
  <c r="B7467" i="2"/>
  <c r="B7470" i="2"/>
  <c r="B7463" i="2"/>
  <c r="B7451" i="2"/>
  <c r="B7468" i="2"/>
  <c r="B7462" i="2"/>
  <c r="B7444" i="2"/>
  <c r="B7455" i="2"/>
  <c r="B7465" i="2"/>
  <c r="B7464" i="2"/>
  <c r="B7454" i="2"/>
  <c r="A181" i="1"/>
  <c r="A182" i="1"/>
  <c r="C7570" i="2" l="1"/>
  <c r="B7572" i="2" s="1"/>
  <c r="B7612" i="2" s="1"/>
  <c r="C7614" i="2"/>
  <c r="B7616" i="2" s="1"/>
  <c r="B7648" i="2" s="1"/>
  <c r="B7494" i="2"/>
  <c r="B7490" i="2"/>
  <c r="B7502" i="2"/>
  <c r="B7493" i="2"/>
  <c r="B7510" i="2"/>
  <c r="B7518" i="2"/>
  <c r="B7496" i="2"/>
  <c r="B7513" i="2"/>
  <c r="B7501" i="2"/>
  <c r="B7491" i="2"/>
  <c r="B7500" i="2"/>
  <c r="B7509" i="2"/>
  <c r="B7505" i="2"/>
  <c r="B7486" i="2"/>
  <c r="B7523" i="2"/>
  <c r="G7483" i="2"/>
  <c r="B7487" i="2"/>
  <c r="B7512" i="2"/>
  <c r="B7514" i="2"/>
  <c r="B7506" i="2"/>
  <c r="B7515" i="2"/>
  <c r="B7507" i="2"/>
  <c r="B7499" i="2"/>
  <c r="B7498" i="2"/>
  <c r="B7488" i="2"/>
  <c r="B7504" i="2"/>
  <c r="B7503" i="2"/>
  <c r="B7489" i="2"/>
  <c r="B7511" i="2"/>
  <c r="B7521" i="2"/>
  <c r="B7517" i="2"/>
  <c r="B7492" i="2"/>
  <c r="B7524" i="2"/>
  <c r="B7520" i="2"/>
  <c r="B7519" i="2"/>
  <c r="B7522" i="2"/>
  <c r="B7516" i="2"/>
  <c r="B7508" i="2"/>
  <c r="B7497" i="2"/>
  <c r="H174" i="1"/>
  <c r="L174" i="1" s="1"/>
  <c r="B7556" i="2"/>
  <c r="B7563" i="2"/>
  <c r="B7555" i="2"/>
  <c r="B7531" i="2"/>
  <c r="B7561" i="2"/>
  <c r="B7535" i="2"/>
  <c r="B7566" i="2"/>
  <c r="B7530" i="2"/>
  <c r="B7545" i="2"/>
  <c r="B7551" i="2"/>
  <c r="B7542" i="2"/>
  <c r="B7557" i="2"/>
  <c r="B7564" i="2"/>
  <c r="G7527" i="2"/>
  <c r="B7532" i="2"/>
  <c r="B7548" i="2"/>
  <c r="B7560" i="2"/>
  <c r="B7546" i="2"/>
  <c r="B7558" i="2"/>
  <c r="B7550" i="2"/>
  <c r="B7568" i="2"/>
  <c r="B7567" i="2"/>
  <c r="B7559" i="2"/>
  <c r="B7565" i="2"/>
  <c r="B7562" i="2"/>
  <c r="B7549" i="2"/>
  <c r="B7539" i="2"/>
  <c r="B7536" i="2"/>
  <c r="B7537" i="2"/>
  <c r="B7543" i="2"/>
  <c r="B7544" i="2"/>
  <c r="B7540" i="2"/>
  <c r="B7554" i="2"/>
  <c r="B7538" i="2"/>
  <c r="B7552" i="2"/>
  <c r="B7534" i="2"/>
  <c r="B7547" i="2"/>
  <c r="B7533" i="2"/>
  <c r="B7541" i="2"/>
  <c r="F174" i="1"/>
  <c r="J174" i="1" s="1"/>
  <c r="G174" i="1"/>
  <c r="K174" i="1" s="1"/>
  <c r="H176" i="1"/>
  <c r="L176" i="1" s="1"/>
  <c r="F178" i="1"/>
  <c r="G175" i="1"/>
  <c r="K175" i="1" s="1"/>
  <c r="G176" i="1"/>
  <c r="K176" i="1" s="1"/>
  <c r="F176" i="1"/>
  <c r="H177" i="1"/>
  <c r="L177" i="1" s="1"/>
  <c r="H175" i="1"/>
  <c r="L175" i="1" s="1"/>
  <c r="F177" i="1"/>
  <c r="F175" i="1"/>
  <c r="G177" i="1"/>
  <c r="K177" i="1" s="1"/>
  <c r="G178" i="1"/>
  <c r="K178" i="1" s="1"/>
  <c r="H178" i="1"/>
  <c r="L178" i="1" s="1"/>
  <c r="A183" i="1"/>
  <c r="B7587" i="2" l="1"/>
  <c r="B7585" i="2"/>
  <c r="B7583" i="2"/>
  <c r="B7586" i="2"/>
  <c r="B7604" i="2"/>
  <c r="B7606" i="2"/>
  <c r="B7588" i="2"/>
  <c r="B7597" i="2"/>
  <c r="B7611" i="2"/>
  <c r="B7605" i="2"/>
  <c r="B7575" i="2"/>
  <c r="B7609" i="2"/>
  <c r="B7600" i="2"/>
  <c r="B7577" i="2"/>
  <c r="B7579" i="2"/>
  <c r="B7574" i="2"/>
  <c r="B7590" i="2"/>
  <c r="B7589" i="2"/>
  <c r="G7571" i="2"/>
  <c r="B7602" i="2"/>
  <c r="B7591" i="2"/>
  <c r="B7595" i="2"/>
  <c r="B7584" i="2"/>
  <c r="B7596" i="2"/>
  <c r="B7598" i="2"/>
  <c r="B7576" i="2"/>
  <c r="B7594" i="2"/>
  <c r="B7578" i="2"/>
  <c r="B7607" i="2"/>
  <c r="B7599" i="2"/>
  <c r="B7593" i="2"/>
  <c r="B7603" i="2"/>
  <c r="B7601" i="2"/>
  <c r="B7582" i="2"/>
  <c r="B7610" i="2"/>
  <c r="B7581" i="2"/>
  <c r="B7608" i="2"/>
  <c r="B7580" i="2"/>
  <c r="B7592" i="2"/>
  <c r="B7630" i="2"/>
  <c r="B7642" i="2"/>
  <c r="B7619" i="2"/>
  <c r="B7622" i="2"/>
  <c r="B7625" i="2"/>
  <c r="B7645" i="2"/>
  <c r="C7658" i="2"/>
  <c r="B7660" i="2" s="1"/>
  <c r="B7634" i="2"/>
  <c r="B7628" i="2"/>
  <c r="B7635" i="2"/>
  <c r="B7643" i="2"/>
  <c r="B7636" i="2"/>
  <c r="B7627" i="2"/>
  <c r="B7631" i="2"/>
  <c r="B7639" i="2"/>
  <c r="B7654" i="2"/>
  <c r="B7618" i="2"/>
  <c r="B7640" i="2"/>
  <c r="B7620" i="2"/>
  <c r="B7647" i="2"/>
  <c r="B7652" i="2"/>
  <c r="B7649" i="2"/>
  <c r="B7650" i="2"/>
  <c r="B7641" i="2"/>
  <c r="B7632" i="2"/>
  <c r="B7638" i="2"/>
  <c r="B7629" i="2"/>
  <c r="B7637" i="2"/>
  <c r="B7651" i="2"/>
  <c r="B7656" i="2"/>
  <c r="B7633" i="2"/>
  <c r="B7646" i="2"/>
  <c r="B7623" i="2"/>
  <c r="B7621" i="2"/>
  <c r="B7655" i="2"/>
  <c r="B7624" i="2"/>
  <c r="B7626" i="2"/>
  <c r="B7653" i="2"/>
  <c r="G7615" i="2"/>
  <c r="B7644" i="2"/>
  <c r="G179" i="1"/>
  <c r="K179" i="1" s="1"/>
  <c r="H179" i="1"/>
  <c r="L179" i="1" s="1"/>
  <c r="F179" i="1"/>
  <c r="J179" i="1" s="1"/>
  <c r="I174" i="1"/>
  <c r="H180" i="1"/>
  <c r="L180" i="1" s="1"/>
  <c r="G180" i="1"/>
  <c r="K180" i="1" s="1"/>
  <c r="F180" i="1"/>
  <c r="J180" i="1" s="1"/>
  <c r="J178" i="1"/>
  <c r="M178" i="1" s="1"/>
  <c r="I178" i="1"/>
  <c r="I175" i="1"/>
  <c r="J175" i="1"/>
  <c r="M175" i="1" s="1"/>
  <c r="J176" i="1"/>
  <c r="M176" i="1" s="1"/>
  <c r="I176" i="1"/>
  <c r="M174" i="1"/>
  <c r="I177" i="1"/>
  <c r="J177" i="1"/>
  <c r="M177" i="1" s="1"/>
  <c r="A184" i="1"/>
  <c r="A185" i="1"/>
  <c r="F181" i="1" l="1"/>
  <c r="J181" i="1" s="1"/>
  <c r="H181" i="1"/>
  <c r="L181" i="1" s="1"/>
  <c r="G181" i="1"/>
  <c r="K181" i="1" s="1"/>
  <c r="F182" i="1"/>
  <c r="J182" i="1" s="1"/>
  <c r="C7746" i="2"/>
  <c r="B7748" i="2" s="1"/>
  <c r="C7702" i="2"/>
  <c r="B7704" i="2" s="1"/>
  <c r="G7659" i="2"/>
  <c r="B7691" i="2"/>
  <c r="B7668" i="2"/>
  <c r="B7685" i="2"/>
  <c r="B7694" i="2"/>
  <c r="B7700" i="2"/>
  <c r="B7689" i="2"/>
  <c r="B7677" i="2"/>
  <c r="B7683" i="2"/>
  <c r="B7674" i="2"/>
  <c r="B7686" i="2"/>
  <c r="B7688" i="2"/>
  <c r="B7667" i="2"/>
  <c r="B7687" i="2"/>
  <c r="B7666" i="2"/>
  <c r="B7664" i="2"/>
  <c r="B7682" i="2"/>
  <c r="B7665" i="2"/>
  <c r="B7690" i="2"/>
  <c r="B7672" i="2"/>
  <c r="B7695" i="2"/>
  <c r="B7697" i="2"/>
  <c r="B7684" i="2"/>
  <c r="B7699" i="2"/>
  <c r="B7662" i="2"/>
  <c r="B7678" i="2"/>
  <c r="B7679" i="2"/>
  <c r="B7663" i="2"/>
  <c r="B7696" i="2"/>
  <c r="B7681" i="2"/>
  <c r="B7693" i="2"/>
  <c r="B7692" i="2"/>
  <c r="B7675" i="2"/>
  <c r="B7698" i="2"/>
  <c r="B7669" i="2"/>
  <c r="B7671" i="2"/>
  <c r="B7680" i="2"/>
  <c r="B7670" i="2"/>
  <c r="B7673" i="2"/>
  <c r="B7676" i="2"/>
  <c r="H182" i="1"/>
  <c r="L182" i="1" s="1"/>
  <c r="G182" i="1"/>
  <c r="K182" i="1" s="1"/>
  <c r="M179" i="1"/>
  <c r="I179" i="1"/>
  <c r="M180" i="1"/>
  <c r="I180" i="1"/>
  <c r="A186" i="1"/>
  <c r="M181" i="1" l="1"/>
  <c r="I181" i="1"/>
  <c r="F183" i="1"/>
  <c r="J183" i="1" s="1"/>
  <c r="M182" i="1"/>
  <c r="C7790" i="2"/>
  <c r="B7792" i="2" s="1"/>
  <c r="B7724" i="2"/>
  <c r="B7726" i="2"/>
  <c r="B7739" i="2"/>
  <c r="B7731" i="2"/>
  <c r="B7744" i="2"/>
  <c r="B7711" i="2"/>
  <c r="B7710" i="2"/>
  <c r="B7736" i="2"/>
  <c r="B7743" i="2"/>
  <c r="B7740" i="2"/>
  <c r="B7742" i="2"/>
  <c r="B7706" i="2"/>
  <c r="B7716" i="2"/>
  <c r="B7738" i="2"/>
  <c r="B7709" i="2"/>
  <c r="B7707" i="2"/>
  <c r="B7733" i="2"/>
  <c r="B7725" i="2"/>
  <c r="B7728" i="2"/>
  <c r="B7723" i="2"/>
  <c r="B7737" i="2"/>
  <c r="B7713" i="2"/>
  <c r="B7714" i="2"/>
  <c r="B7708" i="2"/>
  <c r="B7735" i="2"/>
  <c r="B7722" i="2"/>
  <c r="B7741" i="2"/>
  <c r="B7730" i="2"/>
  <c r="B7712" i="2"/>
  <c r="B7720" i="2"/>
  <c r="B7729" i="2"/>
  <c r="B7719" i="2"/>
  <c r="B7734" i="2"/>
  <c r="B7732" i="2"/>
  <c r="B7727" i="2"/>
  <c r="B7721" i="2"/>
  <c r="B7715" i="2"/>
  <c r="B7717" i="2"/>
  <c r="B7718" i="2"/>
  <c r="G7703" i="2"/>
  <c r="B7787" i="2"/>
  <c r="B7779" i="2"/>
  <c r="B7758" i="2"/>
  <c r="B7755" i="2"/>
  <c r="B7773" i="2"/>
  <c r="B7770" i="2"/>
  <c r="B7785" i="2"/>
  <c r="B7764" i="2"/>
  <c r="B7777" i="2"/>
  <c r="B7775" i="2"/>
  <c r="G7747" i="2"/>
  <c r="B7752" i="2"/>
  <c r="B7780" i="2"/>
  <c r="B7776" i="2"/>
  <c r="B7760" i="2"/>
  <c r="B7783" i="2"/>
  <c r="B7778" i="2"/>
  <c r="B7759" i="2"/>
  <c r="B7761" i="2"/>
  <c r="B7788" i="2"/>
  <c r="B7768" i="2"/>
  <c r="B7756" i="2"/>
  <c r="B7784" i="2"/>
  <c r="B7782" i="2"/>
  <c r="B7754" i="2"/>
  <c r="B7765" i="2"/>
  <c r="B7751" i="2"/>
  <c r="B7769" i="2"/>
  <c r="B7757" i="2"/>
  <c r="B7767" i="2"/>
  <c r="B7774" i="2"/>
  <c r="B7766" i="2"/>
  <c r="B7786" i="2"/>
  <c r="B7771" i="2"/>
  <c r="B7772" i="2"/>
  <c r="B7781" i="2"/>
  <c r="B7763" i="2"/>
  <c r="B7753" i="2"/>
  <c r="B7762" i="2"/>
  <c r="B7750" i="2"/>
  <c r="I182" i="1"/>
  <c r="G183" i="1"/>
  <c r="K183" i="1" s="1"/>
  <c r="H183" i="1"/>
  <c r="L183" i="1" s="1"/>
  <c r="A187" i="1"/>
  <c r="H185" i="1" l="1"/>
  <c r="L185" i="1" s="1"/>
  <c r="F184" i="1"/>
  <c r="J184" i="1" s="1"/>
  <c r="H184" i="1"/>
  <c r="L184" i="1" s="1"/>
  <c r="F185" i="1"/>
  <c r="J185" i="1" s="1"/>
  <c r="G184" i="1"/>
  <c r="K184" i="1" s="1"/>
  <c r="G185" i="1"/>
  <c r="K185" i="1" s="1"/>
  <c r="M183" i="1"/>
  <c r="C7834" i="2"/>
  <c r="B7836" i="2" s="1"/>
  <c r="B7825" i="2"/>
  <c r="B7816" i="2"/>
  <c r="B7823" i="2"/>
  <c r="B7821" i="2"/>
  <c r="B7819" i="2"/>
  <c r="B7820" i="2"/>
  <c r="B7806" i="2"/>
  <c r="B7803" i="2"/>
  <c r="B7831" i="2"/>
  <c r="B7799" i="2"/>
  <c r="B7794" i="2"/>
  <c r="B7822" i="2"/>
  <c r="B7832" i="2"/>
  <c r="B7830" i="2"/>
  <c r="B7826" i="2"/>
  <c r="B7804" i="2"/>
  <c r="B7808" i="2"/>
  <c r="B7795" i="2"/>
  <c r="B7812" i="2"/>
  <c r="B7810" i="2"/>
  <c r="G7791" i="2"/>
  <c r="B7817" i="2"/>
  <c r="B7811" i="2"/>
  <c r="B7801" i="2"/>
  <c r="B7813" i="2"/>
  <c r="B7800" i="2"/>
  <c r="B7805" i="2"/>
  <c r="B7829" i="2"/>
  <c r="B7797" i="2"/>
  <c r="B7815" i="2"/>
  <c r="B7818" i="2"/>
  <c r="B7827" i="2"/>
  <c r="B7807" i="2"/>
  <c r="B7798" i="2"/>
  <c r="B7814" i="2"/>
  <c r="B7802" i="2"/>
  <c r="B7796" i="2"/>
  <c r="B7809" i="2"/>
  <c r="B7824" i="2"/>
  <c r="B7828" i="2"/>
  <c r="I183" i="1"/>
  <c r="A188" i="1"/>
  <c r="F186" i="1" l="1"/>
  <c r="J186" i="1" s="1"/>
  <c r="I184" i="1"/>
  <c r="M184" i="1"/>
  <c r="I185" i="1"/>
  <c r="M185" i="1"/>
  <c r="B7856" i="2"/>
  <c r="B7844" i="2"/>
  <c r="B7845" i="2"/>
  <c r="B7866" i="2"/>
  <c r="B7852" i="2"/>
  <c r="B7858" i="2"/>
  <c r="B7855" i="2"/>
  <c r="B7872" i="2"/>
  <c r="B7861" i="2"/>
  <c r="G7835" i="2"/>
  <c r="B7838" i="2"/>
  <c r="B7865" i="2"/>
  <c r="B7841" i="2"/>
  <c r="B7859" i="2"/>
  <c r="B7854" i="2"/>
  <c r="B7857" i="2"/>
  <c r="B7853" i="2"/>
  <c r="B7850" i="2"/>
  <c r="B7874" i="2"/>
  <c r="B7863" i="2"/>
  <c r="B7842" i="2"/>
  <c r="B7862" i="2"/>
  <c r="B7876" i="2"/>
  <c r="B7849" i="2"/>
  <c r="B7871" i="2"/>
  <c r="B7869" i="2"/>
  <c r="B7839" i="2"/>
  <c r="B7868" i="2"/>
  <c r="B7840" i="2"/>
  <c r="B7848" i="2"/>
  <c r="B7873" i="2"/>
  <c r="B7864" i="2"/>
  <c r="B7847" i="2"/>
  <c r="B7870" i="2"/>
  <c r="B7843" i="2"/>
  <c r="B7875" i="2"/>
  <c r="B7846" i="2"/>
  <c r="B7860" i="2"/>
  <c r="B7867" i="2"/>
  <c r="B7851" i="2"/>
  <c r="G186" i="1"/>
  <c r="K186" i="1" s="1"/>
  <c r="H186" i="1"/>
  <c r="L186" i="1" s="1"/>
  <c r="A189" i="1"/>
  <c r="G187" i="1" l="1"/>
  <c r="K187" i="1" s="1"/>
  <c r="F187" i="1"/>
  <c r="J187" i="1" s="1"/>
  <c r="H187" i="1"/>
  <c r="L187" i="1" s="1"/>
  <c r="I186" i="1"/>
  <c r="M186" i="1"/>
  <c r="A190" i="1"/>
  <c r="M187" i="1" l="1"/>
  <c r="I187" i="1"/>
  <c r="A191" i="1"/>
  <c r="A192" i="1"/>
  <c r="C8010" i="2" l="1"/>
  <c r="B8012" i="2" s="1"/>
  <c r="B8032" i="2" s="1"/>
  <c r="C8054" i="2"/>
  <c r="B8056" i="2" s="1"/>
  <c r="A193" i="1"/>
  <c r="B8026" i="2" l="1"/>
  <c r="B8040" i="2"/>
  <c r="B8034" i="2"/>
  <c r="B8039" i="2"/>
  <c r="B8024" i="2"/>
  <c r="B8015" i="2"/>
  <c r="B8037" i="2"/>
  <c r="B8035" i="2"/>
  <c r="B8028" i="2"/>
  <c r="B8022" i="2"/>
  <c r="B8020" i="2"/>
  <c r="B8049" i="2"/>
  <c r="B8029" i="2"/>
  <c r="B8044" i="2"/>
  <c r="B8043" i="2"/>
  <c r="B8030" i="2"/>
  <c r="B8038" i="2"/>
  <c r="B8016" i="2"/>
  <c r="B8047" i="2"/>
  <c r="B8046" i="2"/>
  <c r="B8033" i="2"/>
  <c r="B8019" i="2"/>
  <c r="B8041" i="2"/>
  <c r="B8021" i="2"/>
  <c r="B8050" i="2"/>
  <c r="B8048" i="2"/>
  <c r="B8023" i="2"/>
  <c r="B8051" i="2"/>
  <c r="B8018" i="2"/>
  <c r="G8011" i="2"/>
  <c r="B8052" i="2"/>
  <c r="B8031" i="2"/>
  <c r="B8042" i="2"/>
  <c r="B8025" i="2"/>
  <c r="B8014" i="2"/>
  <c r="B8036" i="2"/>
  <c r="B8017" i="2"/>
  <c r="B8045" i="2"/>
  <c r="B8027" i="2"/>
  <c r="C8098" i="2"/>
  <c r="B8100" i="2" s="1"/>
  <c r="B8092" i="2"/>
  <c r="B8083" i="2"/>
  <c r="B8069" i="2"/>
  <c r="B8080" i="2"/>
  <c r="B8068" i="2"/>
  <c r="B8070" i="2"/>
  <c r="B8095" i="2"/>
  <c r="B8086" i="2"/>
  <c r="B8074" i="2"/>
  <c r="B8076" i="2"/>
  <c r="B8093" i="2"/>
  <c r="B8067" i="2"/>
  <c r="B8096" i="2"/>
  <c r="B8063" i="2"/>
  <c r="B8079" i="2"/>
  <c r="B8085" i="2"/>
  <c r="B8072" i="2"/>
  <c r="B8078" i="2"/>
  <c r="G8055" i="2"/>
  <c r="B8073" i="2"/>
  <c r="B8064" i="2"/>
  <c r="B8084" i="2"/>
  <c r="B8062" i="2"/>
  <c r="B8060" i="2"/>
  <c r="B8091" i="2"/>
  <c r="B8082" i="2"/>
  <c r="B8071" i="2"/>
  <c r="B8059" i="2"/>
  <c r="B8088" i="2"/>
  <c r="B8081" i="2"/>
  <c r="B8094" i="2"/>
  <c r="B8077" i="2"/>
  <c r="B8075" i="2"/>
  <c r="B8090" i="2"/>
  <c r="B8087" i="2"/>
  <c r="B8058" i="2"/>
  <c r="B8061" i="2"/>
  <c r="B8089" i="2"/>
  <c r="B8066" i="2"/>
  <c r="B8065" i="2"/>
  <c r="C7878" i="2"/>
  <c r="B7880" i="2" s="1"/>
  <c r="C7922" i="2"/>
  <c r="B7924" i="2" s="1"/>
  <c r="C7966" i="2"/>
  <c r="B7968" i="2" s="1"/>
  <c r="A194" i="1"/>
  <c r="C8142" i="2" l="1"/>
  <c r="B8144" i="2" s="1"/>
  <c r="B8102" i="2"/>
  <c r="B8129" i="2"/>
  <c r="B8121" i="2"/>
  <c r="B8131" i="2"/>
  <c r="B8116" i="2"/>
  <c r="B8137" i="2"/>
  <c r="B8139" i="2"/>
  <c r="B8126" i="2"/>
  <c r="B8127" i="2"/>
  <c r="B8128" i="2"/>
  <c r="B8106" i="2"/>
  <c r="B8105" i="2"/>
  <c r="B8111" i="2"/>
  <c r="B8133" i="2"/>
  <c r="B8112" i="2"/>
  <c r="B8113" i="2"/>
  <c r="B8140" i="2"/>
  <c r="B8124" i="2"/>
  <c r="B8104" i="2"/>
  <c r="B8122" i="2"/>
  <c r="B8120" i="2"/>
  <c r="B8136" i="2"/>
  <c r="B8109" i="2"/>
  <c r="B8134" i="2"/>
  <c r="B8117" i="2"/>
  <c r="B8125" i="2"/>
  <c r="B8130" i="2"/>
  <c r="B8132" i="2"/>
  <c r="B8103" i="2"/>
  <c r="B8115" i="2"/>
  <c r="B8135" i="2"/>
  <c r="B8107" i="2"/>
  <c r="B8123" i="2"/>
  <c r="G8099" i="2"/>
  <c r="B8110" i="2"/>
  <c r="B8119" i="2"/>
  <c r="B8138" i="2"/>
  <c r="B8118" i="2"/>
  <c r="B8114" i="2"/>
  <c r="B8108" i="2"/>
  <c r="B7980" i="2"/>
  <c r="B7989" i="2"/>
  <c r="B8008" i="2"/>
  <c r="B7996" i="2"/>
  <c r="B8003" i="2"/>
  <c r="B7986" i="2"/>
  <c r="B7993" i="2"/>
  <c r="B7987" i="2"/>
  <c r="B8004" i="2"/>
  <c r="B8006" i="2"/>
  <c r="B7971" i="2"/>
  <c r="B7973" i="2"/>
  <c r="B7976" i="2"/>
  <c r="B7981" i="2"/>
  <c r="G7967" i="2"/>
  <c r="B7990" i="2"/>
  <c r="B7982" i="2"/>
  <c r="B8005" i="2"/>
  <c r="B7983" i="2"/>
  <c r="B8007" i="2"/>
  <c r="B7984" i="2"/>
  <c r="B8002" i="2"/>
  <c r="B7978" i="2"/>
  <c r="B7998" i="2"/>
  <c r="B7974" i="2"/>
  <c r="B7985" i="2"/>
  <c r="B7992" i="2"/>
  <c r="B7991" i="2"/>
  <c r="B7994" i="2"/>
  <c r="B7997" i="2"/>
  <c r="B8000" i="2"/>
  <c r="B7977" i="2"/>
  <c r="B7975" i="2"/>
  <c r="B7999" i="2"/>
  <c r="B7979" i="2"/>
  <c r="B7970" i="2"/>
  <c r="B7995" i="2"/>
  <c r="B7988" i="2"/>
  <c r="B8001" i="2"/>
  <c r="B7972" i="2"/>
  <c r="B7935" i="2"/>
  <c r="B7926" i="2"/>
  <c r="B7958" i="2"/>
  <c r="B7947" i="2"/>
  <c r="B7961" i="2"/>
  <c r="B7928" i="2"/>
  <c r="B7941" i="2"/>
  <c r="B7957" i="2"/>
  <c r="B7944" i="2"/>
  <c r="B7938" i="2"/>
  <c r="B7937" i="2"/>
  <c r="B7945" i="2"/>
  <c r="B7940" i="2"/>
  <c r="B7952" i="2"/>
  <c r="B7939" i="2"/>
  <c r="B7955" i="2"/>
  <c r="B7930" i="2"/>
  <c r="B7954" i="2"/>
  <c r="B7963" i="2"/>
  <c r="B7960" i="2"/>
  <c r="B7962" i="2"/>
  <c r="B7956" i="2"/>
  <c r="B7953" i="2"/>
  <c r="B7931" i="2"/>
  <c r="B7927" i="2"/>
  <c r="B7946" i="2"/>
  <c r="B7933" i="2"/>
  <c r="B7949" i="2"/>
  <c r="B7964" i="2"/>
  <c r="B7951" i="2"/>
  <c r="B7934" i="2"/>
  <c r="B7943" i="2"/>
  <c r="G7923" i="2"/>
  <c r="B7959" i="2"/>
  <c r="B7929" i="2"/>
  <c r="B7950" i="2"/>
  <c r="B7942" i="2"/>
  <c r="B7948" i="2"/>
  <c r="B7932" i="2"/>
  <c r="B7936" i="2"/>
  <c r="B7918" i="2"/>
  <c r="B7906" i="2"/>
  <c r="G7879" i="2"/>
  <c r="B7884" i="2"/>
  <c r="B7887" i="2"/>
  <c r="B7915" i="2"/>
  <c r="B7898" i="2"/>
  <c r="B7913" i="2"/>
  <c r="B7911" i="2"/>
  <c r="B7916" i="2"/>
  <c r="B7890" i="2"/>
  <c r="B7891" i="2"/>
  <c r="B7894" i="2"/>
  <c r="B7892" i="2"/>
  <c r="B7905" i="2"/>
  <c r="B7885" i="2"/>
  <c r="B7901" i="2"/>
  <c r="B7883" i="2"/>
  <c r="B7888" i="2"/>
  <c r="B7917" i="2"/>
  <c r="B7889" i="2"/>
  <c r="B7920" i="2"/>
  <c r="B7904" i="2"/>
  <c r="B7900" i="2"/>
  <c r="B7897" i="2"/>
  <c r="B7899" i="2"/>
  <c r="B7912" i="2"/>
  <c r="B7909" i="2"/>
  <c r="B7896" i="2"/>
  <c r="B7919" i="2"/>
  <c r="B7907" i="2"/>
  <c r="B7910" i="2"/>
  <c r="B7895" i="2"/>
  <c r="B7903" i="2"/>
  <c r="B7902" i="2"/>
  <c r="B7914" i="2"/>
  <c r="B7882" i="2"/>
  <c r="B7886" i="2"/>
  <c r="B7908" i="2"/>
  <c r="B7893" i="2"/>
  <c r="A195" i="1"/>
  <c r="C8186" i="2" l="1"/>
  <c r="B8188" i="2" s="1"/>
  <c r="B8161" i="2"/>
  <c r="B8173" i="2"/>
  <c r="B8153" i="2"/>
  <c r="B8166" i="2"/>
  <c r="B8155" i="2"/>
  <c r="B8171" i="2"/>
  <c r="B8168" i="2"/>
  <c r="B8175" i="2"/>
  <c r="B8164" i="2"/>
  <c r="B8183" i="2"/>
  <c r="B8148" i="2"/>
  <c r="B8169" i="2"/>
  <c r="B8174" i="2"/>
  <c r="B8160" i="2"/>
  <c r="B8172" i="2"/>
  <c r="B8162" i="2"/>
  <c r="B8156" i="2"/>
  <c r="B8165" i="2"/>
  <c r="B8176" i="2"/>
  <c r="B8158" i="2"/>
  <c r="B8146" i="2"/>
  <c r="B8163" i="2"/>
  <c r="B8157" i="2"/>
  <c r="B8150" i="2"/>
  <c r="B8154" i="2"/>
  <c r="B8152" i="2"/>
  <c r="B8151" i="2"/>
  <c r="B8159" i="2"/>
  <c r="B8178" i="2"/>
  <c r="B8179" i="2"/>
  <c r="G8143" i="2"/>
  <c r="B8184" i="2"/>
  <c r="B8180" i="2"/>
  <c r="B8182" i="2"/>
  <c r="B8181" i="2"/>
  <c r="B8177" i="2"/>
  <c r="B8167" i="2"/>
  <c r="B8147" i="2"/>
  <c r="B8149" i="2"/>
  <c r="B8170" i="2"/>
  <c r="H191" i="1"/>
  <c r="L191" i="1" s="1"/>
  <c r="H188" i="1"/>
  <c r="L188" i="1" s="1"/>
  <c r="H192" i="1"/>
  <c r="L192" i="1" s="1"/>
  <c r="F188" i="1"/>
  <c r="J188" i="1" s="1"/>
  <c r="F189" i="1"/>
  <c r="J189" i="1" s="1"/>
  <c r="F193" i="1"/>
  <c r="J193" i="1" s="1"/>
  <c r="G188" i="1"/>
  <c r="K188" i="1" s="1"/>
  <c r="F192" i="1"/>
  <c r="J192" i="1" s="1"/>
  <c r="G191" i="1"/>
  <c r="K191" i="1" s="1"/>
  <c r="H190" i="1"/>
  <c r="L190" i="1" s="1"/>
  <c r="H189" i="1"/>
  <c r="L189" i="1" s="1"/>
  <c r="G189" i="1"/>
  <c r="K189" i="1" s="1"/>
  <c r="G193" i="1"/>
  <c r="K193" i="1" s="1"/>
  <c r="G192" i="1"/>
  <c r="K192" i="1" s="1"/>
  <c r="G190" i="1"/>
  <c r="K190" i="1" s="1"/>
  <c r="F190" i="1"/>
  <c r="F191" i="1"/>
  <c r="H193" i="1"/>
  <c r="L193" i="1" s="1"/>
  <c r="A196" i="1"/>
  <c r="F194" i="1" l="1"/>
  <c r="G194" i="1"/>
  <c r="C8230" i="2"/>
  <c r="B8232" i="2" s="1"/>
  <c r="B8192" i="2"/>
  <c r="B8219" i="2"/>
  <c r="B8201" i="2"/>
  <c r="B8194" i="2"/>
  <c r="B8190" i="2"/>
  <c r="B8195" i="2"/>
  <c r="B8191" i="2"/>
  <c r="B8225" i="2"/>
  <c r="B8206" i="2"/>
  <c r="B8218" i="2"/>
  <c r="B8205" i="2"/>
  <c r="B8204" i="2"/>
  <c r="B8207" i="2"/>
  <c r="B8222" i="2"/>
  <c r="B8217" i="2"/>
  <c r="B8227" i="2"/>
  <c r="B8210" i="2"/>
  <c r="B8221" i="2"/>
  <c r="B8213" i="2"/>
  <c r="B8199" i="2"/>
  <c r="B8228" i="2"/>
  <c r="B8223" i="2"/>
  <c r="B8196" i="2"/>
  <c r="B8220" i="2"/>
  <c r="B8212" i="2"/>
  <c r="B8198" i="2"/>
  <c r="B8216" i="2"/>
  <c r="B8224" i="2"/>
  <c r="B8203" i="2"/>
  <c r="B8214" i="2"/>
  <c r="B8193" i="2"/>
  <c r="B8200" i="2"/>
  <c r="B8197" i="2"/>
  <c r="B8209" i="2"/>
  <c r="B8215" i="2"/>
  <c r="B8226" i="2"/>
  <c r="G8187" i="2"/>
  <c r="B8211" i="2"/>
  <c r="B8208" i="2"/>
  <c r="B8202" i="2"/>
  <c r="H194" i="1"/>
  <c r="M188" i="1"/>
  <c r="I188" i="1"/>
  <c r="J190" i="1"/>
  <c r="M190" i="1" s="1"/>
  <c r="I190" i="1"/>
  <c r="I193" i="1"/>
  <c r="M193" i="1"/>
  <c r="I192" i="1"/>
  <c r="M192" i="1"/>
  <c r="I189" i="1"/>
  <c r="J191" i="1"/>
  <c r="M191" i="1" s="1"/>
  <c r="I191" i="1"/>
  <c r="M189" i="1"/>
  <c r="A197" i="1"/>
  <c r="A198" i="1"/>
  <c r="C8274" i="2" l="1"/>
  <c r="B8276" i="2" s="1"/>
  <c r="G8275" i="2" s="1"/>
  <c r="L194" i="1"/>
  <c r="K194" i="1"/>
  <c r="J194" i="1"/>
  <c r="C8318" i="2"/>
  <c r="B8320" i="2" s="1"/>
  <c r="B8334" i="2" s="1"/>
  <c r="G8231" i="2"/>
  <c r="B8270" i="2"/>
  <c r="B8234" i="2"/>
  <c r="B8255" i="2"/>
  <c r="B8265" i="2"/>
  <c r="B8237" i="2"/>
  <c r="B8239" i="2"/>
  <c r="B8242" i="2"/>
  <c r="B8268" i="2"/>
  <c r="B8250" i="2"/>
  <c r="B8269" i="2"/>
  <c r="B8245" i="2"/>
  <c r="B8253" i="2"/>
  <c r="B8262" i="2"/>
  <c r="B8244" i="2"/>
  <c r="B8258" i="2"/>
  <c r="B8261" i="2"/>
  <c r="B8252" i="2"/>
  <c r="B8263" i="2"/>
  <c r="B8266" i="2"/>
  <c r="B8267" i="2"/>
  <c r="B8257" i="2"/>
  <c r="B8247" i="2"/>
  <c r="B8241" i="2"/>
  <c r="B8240" i="2"/>
  <c r="B8272" i="2"/>
  <c r="B8249" i="2"/>
  <c r="B8236" i="2"/>
  <c r="B8264" i="2"/>
  <c r="B8259" i="2"/>
  <c r="B8271" i="2"/>
  <c r="B8251" i="2"/>
  <c r="B8235" i="2"/>
  <c r="B8256" i="2"/>
  <c r="B8260" i="2"/>
  <c r="B8246" i="2"/>
  <c r="B8248" i="2"/>
  <c r="B8254" i="2"/>
  <c r="B8243" i="2"/>
  <c r="B8238" i="2"/>
  <c r="I194" i="1"/>
  <c r="G195" i="1"/>
  <c r="H195" i="1"/>
  <c r="L195" i="1" s="1"/>
  <c r="F195" i="1"/>
  <c r="A199" i="1"/>
  <c r="B8284" i="2" l="1"/>
  <c r="B8315" i="2"/>
  <c r="B8310" i="2"/>
  <c r="B8311" i="2"/>
  <c r="B8278" i="2"/>
  <c r="B8312" i="2"/>
  <c r="B8297" i="2"/>
  <c r="B8303" i="2"/>
  <c r="B8298" i="2"/>
  <c r="B8301" i="2"/>
  <c r="B8292" i="2"/>
  <c r="B8308" i="2"/>
  <c r="B8300" i="2"/>
  <c r="B8280" i="2"/>
  <c r="B8279" i="2"/>
  <c r="B8286" i="2"/>
  <c r="B8288" i="2"/>
  <c r="B8304" i="2"/>
  <c r="B8281" i="2"/>
  <c r="B8309" i="2"/>
  <c r="B8290" i="2"/>
  <c r="B8295" i="2"/>
  <c r="B8293" i="2"/>
  <c r="B8287" i="2"/>
  <c r="B8285" i="2"/>
  <c r="B8307" i="2"/>
  <c r="B8299" i="2"/>
  <c r="B8294" i="2"/>
  <c r="B8282" i="2"/>
  <c r="B8306" i="2"/>
  <c r="B8313" i="2"/>
  <c r="B8283" i="2"/>
  <c r="B8289" i="2"/>
  <c r="B8316" i="2"/>
  <c r="B8296" i="2"/>
  <c r="B8302" i="2"/>
  <c r="B8291" i="2"/>
  <c r="B8314" i="2"/>
  <c r="B8305" i="2"/>
  <c r="M194" i="1"/>
  <c r="B8354" i="2"/>
  <c r="B8348" i="2"/>
  <c r="B8325" i="2"/>
  <c r="B8330" i="2"/>
  <c r="B8322" i="2"/>
  <c r="C8362" i="2"/>
  <c r="B8364" i="2" s="1"/>
  <c r="B8335" i="2"/>
  <c r="B8336" i="2"/>
  <c r="B8345" i="2"/>
  <c r="B8359" i="2"/>
  <c r="B8327" i="2"/>
  <c r="B8346" i="2"/>
  <c r="B8324" i="2"/>
  <c r="B8344" i="2"/>
  <c r="B8323" i="2"/>
  <c r="B8358" i="2"/>
  <c r="B8326" i="2"/>
  <c r="B8331" i="2"/>
  <c r="B8350" i="2"/>
  <c r="B8343" i="2"/>
  <c r="B8356" i="2"/>
  <c r="B8360" i="2"/>
  <c r="B8338" i="2"/>
  <c r="B8337" i="2"/>
  <c r="B8341" i="2"/>
  <c r="B8352" i="2"/>
  <c r="B8340" i="2"/>
  <c r="B8328" i="2"/>
  <c r="B8357" i="2"/>
  <c r="G8319" i="2"/>
  <c r="B8329" i="2"/>
  <c r="B8332" i="2"/>
  <c r="B8353" i="2"/>
  <c r="B8333" i="2"/>
  <c r="B8349" i="2"/>
  <c r="B8351" i="2"/>
  <c r="B8339" i="2"/>
  <c r="B8355" i="2"/>
  <c r="B8347" i="2"/>
  <c r="B8342" i="2"/>
  <c r="F196" i="1"/>
  <c r="J196" i="1" s="1"/>
  <c r="G196" i="1"/>
  <c r="K196" i="1" s="1"/>
  <c r="H196" i="1"/>
  <c r="L196" i="1" s="1"/>
  <c r="K195" i="1"/>
  <c r="I195" i="1"/>
  <c r="J195" i="1"/>
  <c r="A200" i="1"/>
  <c r="F197" i="1" l="1"/>
  <c r="J197" i="1" s="1"/>
  <c r="H197" i="1"/>
  <c r="L197" i="1" s="1"/>
  <c r="G197" i="1"/>
  <c r="K197" i="1" s="1"/>
  <c r="H198" i="1"/>
  <c r="L198" i="1" s="1"/>
  <c r="G198" i="1"/>
  <c r="K198" i="1" s="1"/>
  <c r="F198" i="1"/>
  <c r="J198" i="1" s="1"/>
  <c r="C8406" i="2"/>
  <c r="B8408" i="2" s="1"/>
  <c r="B8368" i="2"/>
  <c r="B8385" i="2"/>
  <c r="B8372" i="2"/>
  <c r="B8380" i="2"/>
  <c r="B8395" i="2"/>
  <c r="B8400" i="2"/>
  <c r="B8377" i="2"/>
  <c r="B8379" i="2"/>
  <c r="B8404" i="2"/>
  <c r="B8402" i="2"/>
  <c r="B8376" i="2"/>
  <c r="B8373" i="2"/>
  <c r="B8374" i="2"/>
  <c r="B8366" i="2"/>
  <c r="B8403" i="2"/>
  <c r="B8392" i="2"/>
  <c r="B8384" i="2"/>
  <c r="B8398" i="2"/>
  <c r="B8393" i="2"/>
  <c r="B8382" i="2"/>
  <c r="B8391" i="2"/>
  <c r="B8389" i="2"/>
  <c r="B8390" i="2"/>
  <c r="B8381" i="2"/>
  <c r="B8387" i="2"/>
  <c r="B8394" i="2"/>
  <c r="B8396" i="2"/>
  <c r="B8369" i="2"/>
  <c r="B8388" i="2"/>
  <c r="B8399" i="2"/>
  <c r="B8401" i="2"/>
  <c r="B8386" i="2"/>
  <c r="B8378" i="2"/>
  <c r="B8397" i="2"/>
  <c r="G8363" i="2"/>
  <c r="B8383" i="2"/>
  <c r="B8371" i="2"/>
  <c r="B8370" i="2"/>
  <c r="B8375" i="2"/>
  <c r="B8367" i="2"/>
  <c r="I196" i="1"/>
  <c r="M196" i="1"/>
  <c r="M195" i="1"/>
  <c r="A201" i="1"/>
  <c r="M197" i="1" l="1"/>
  <c r="I197" i="1"/>
  <c r="M198" i="1"/>
  <c r="I198" i="1"/>
  <c r="C8450" i="2"/>
  <c r="B8452" i="2" s="1"/>
  <c r="G199" i="1"/>
  <c r="H199" i="1"/>
  <c r="F199" i="1"/>
  <c r="B8418" i="2"/>
  <c r="B8417" i="2"/>
  <c r="B8422" i="2"/>
  <c r="B8441" i="2"/>
  <c r="B8412" i="2"/>
  <c r="B8448" i="2"/>
  <c r="B8444" i="2"/>
  <c r="B8437" i="2"/>
  <c r="B8428" i="2"/>
  <c r="B8435" i="2"/>
  <c r="B8420" i="2"/>
  <c r="B8442" i="2"/>
  <c r="B8443" i="2"/>
  <c r="B8425" i="2"/>
  <c r="B8427" i="2"/>
  <c r="B8431" i="2"/>
  <c r="B8447" i="2"/>
  <c r="B8436" i="2"/>
  <c r="B8410" i="2"/>
  <c r="B8445" i="2"/>
  <c r="B8415" i="2"/>
  <c r="B8426" i="2"/>
  <c r="B8411" i="2"/>
  <c r="B8438" i="2"/>
  <c r="B8424" i="2"/>
  <c r="B8434" i="2"/>
  <c r="B8440" i="2"/>
  <c r="B8429" i="2"/>
  <c r="B8413" i="2"/>
  <c r="B8433" i="2"/>
  <c r="B8430" i="2"/>
  <c r="B8439" i="2"/>
  <c r="B8446" i="2"/>
  <c r="B8414" i="2"/>
  <c r="B8419" i="2"/>
  <c r="B8416" i="2"/>
  <c r="B8421" i="2"/>
  <c r="B8423" i="2"/>
  <c r="B8432" i="2"/>
  <c r="G8407" i="2"/>
  <c r="A202" i="1"/>
  <c r="L199" i="1" l="1"/>
  <c r="K199" i="1"/>
  <c r="C8494" i="2"/>
  <c r="B8496" i="2" s="1"/>
  <c r="H200" i="1"/>
  <c r="L200" i="1" s="1"/>
  <c r="F200" i="1"/>
  <c r="G200" i="1"/>
  <c r="K200" i="1" s="1"/>
  <c r="J199" i="1"/>
  <c r="I199" i="1"/>
  <c r="B8471" i="2"/>
  <c r="B8462" i="2"/>
  <c r="B8492" i="2"/>
  <c r="B8483" i="2"/>
  <c r="B8456" i="2"/>
  <c r="B8478" i="2"/>
  <c r="B8466" i="2"/>
  <c r="B8464" i="2"/>
  <c r="B8454" i="2"/>
  <c r="B8485" i="2"/>
  <c r="B8468" i="2"/>
  <c r="B8491" i="2"/>
  <c r="B8488" i="2"/>
  <c r="B8477" i="2"/>
  <c r="B8463" i="2"/>
  <c r="B8480" i="2"/>
  <c r="B8461" i="2"/>
  <c r="B8460" i="2"/>
  <c r="B8469" i="2"/>
  <c r="B8474" i="2"/>
  <c r="B8476" i="2"/>
  <c r="B8472" i="2"/>
  <c r="B8455" i="2"/>
  <c r="B8457" i="2"/>
  <c r="B8489" i="2"/>
  <c r="B8490" i="2"/>
  <c r="B8470" i="2"/>
  <c r="B8467" i="2"/>
  <c r="G8451" i="2"/>
  <c r="B8465" i="2"/>
  <c r="B8481" i="2"/>
  <c r="B8458" i="2"/>
  <c r="B8459" i="2"/>
  <c r="B8484" i="2"/>
  <c r="B8473" i="2"/>
  <c r="B8475" i="2"/>
  <c r="B8482" i="2"/>
  <c r="B8486" i="2"/>
  <c r="B8487" i="2"/>
  <c r="B8479" i="2"/>
  <c r="A203" i="1"/>
  <c r="M199" i="1" l="1"/>
  <c r="H201" i="1"/>
  <c r="F201" i="1"/>
  <c r="G201" i="1"/>
  <c r="J200" i="1"/>
  <c r="M200" i="1" s="1"/>
  <c r="I200" i="1"/>
  <c r="B8534" i="2"/>
  <c r="B8500" i="2"/>
  <c r="B8510" i="2"/>
  <c r="B8536" i="2"/>
  <c r="B8527" i="2"/>
  <c r="B8509" i="2"/>
  <c r="B8521" i="2"/>
  <c r="B8519" i="2"/>
  <c r="B8512" i="2"/>
  <c r="B8506" i="2"/>
  <c r="B8523" i="2"/>
  <c r="B8535" i="2"/>
  <c r="B8532" i="2"/>
  <c r="B8508" i="2"/>
  <c r="B8533" i="2"/>
  <c r="B8516" i="2"/>
  <c r="B8503" i="2"/>
  <c r="B8515" i="2"/>
  <c r="B8507" i="2"/>
  <c r="B8501" i="2"/>
  <c r="B8511" i="2"/>
  <c r="B8520" i="2"/>
  <c r="B8530" i="2"/>
  <c r="B8528" i="2"/>
  <c r="B8499" i="2"/>
  <c r="B8517" i="2"/>
  <c r="B8498" i="2"/>
  <c r="B8524" i="2"/>
  <c r="B8505" i="2"/>
  <c r="B8513" i="2"/>
  <c r="G8495" i="2"/>
  <c r="B8529" i="2"/>
  <c r="B8525" i="2"/>
  <c r="B8526" i="2"/>
  <c r="B8522" i="2"/>
  <c r="B8531" i="2"/>
  <c r="B8514" i="2"/>
  <c r="B8504" i="2"/>
  <c r="B8502" i="2"/>
  <c r="B8518" i="2"/>
  <c r="A204" i="1"/>
  <c r="L201" i="1" l="1"/>
  <c r="G202" i="1"/>
  <c r="J201" i="1"/>
  <c r="I201" i="1"/>
  <c r="H202" i="1"/>
  <c r="F202" i="1"/>
  <c r="K201" i="1"/>
  <c r="A205" i="1"/>
  <c r="K202" i="1" l="1"/>
  <c r="J202" i="1"/>
  <c r="I202" i="1"/>
  <c r="L202" i="1"/>
  <c r="M201" i="1"/>
  <c r="A206" i="1"/>
  <c r="M202" i="1" l="1"/>
  <c r="C8626" i="2"/>
  <c r="B8628" i="2" s="1"/>
  <c r="C8670" i="2"/>
  <c r="B8672" i="2" s="1"/>
  <c r="C8582" i="2"/>
  <c r="B8584" i="2" s="1"/>
  <c r="C8538" i="2"/>
  <c r="B8540" i="2" s="1"/>
  <c r="A207" i="1"/>
  <c r="A208" i="1"/>
  <c r="A209" i="1"/>
  <c r="C8714" i="2" l="1"/>
  <c r="B8716" i="2" s="1"/>
  <c r="B8746" i="2" s="1"/>
  <c r="C8758" i="2"/>
  <c r="B8760" i="2" s="1"/>
  <c r="B8778" i="2" s="1"/>
  <c r="C8802" i="2"/>
  <c r="B8804" i="2" s="1"/>
  <c r="B8826" i="2" s="1"/>
  <c r="B8574" i="2"/>
  <c r="B8553" i="2"/>
  <c r="B8573" i="2"/>
  <c r="B8551" i="2"/>
  <c r="B8557" i="2"/>
  <c r="B8570" i="2"/>
  <c r="B8543" i="2"/>
  <c r="B8561" i="2"/>
  <c r="B8546" i="2"/>
  <c r="G8539" i="2"/>
  <c r="B8576" i="2"/>
  <c r="B8550" i="2"/>
  <c r="B8555" i="2"/>
  <c r="B8578" i="2"/>
  <c r="B8560" i="2"/>
  <c r="B8575" i="2"/>
  <c r="B8549" i="2"/>
  <c r="B8580" i="2"/>
  <c r="B8552" i="2"/>
  <c r="B8545" i="2"/>
  <c r="B8544" i="2"/>
  <c r="B8577" i="2"/>
  <c r="B8558" i="2"/>
  <c r="B8554" i="2"/>
  <c r="B8548" i="2"/>
  <c r="B8571" i="2"/>
  <c r="B8579" i="2"/>
  <c r="B8547" i="2"/>
  <c r="B8563" i="2"/>
  <c r="B8542" i="2"/>
  <c r="B8556" i="2"/>
  <c r="B8569" i="2"/>
  <c r="B8568" i="2"/>
  <c r="B8559" i="2"/>
  <c r="B8572" i="2"/>
  <c r="B8562" i="2"/>
  <c r="B8565" i="2"/>
  <c r="B8566" i="2"/>
  <c r="B8567" i="2"/>
  <c r="B8564" i="2"/>
  <c r="B8593" i="2"/>
  <c r="B8610" i="2"/>
  <c r="B8594" i="2"/>
  <c r="B8602" i="2"/>
  <c r="B8603" i="2"/>
  <c r="B8621" i="2"/>
  <c r="B8612" i="2"/>
  <c r="G8583" i="2"/>
  <c r="B8613" i="2"/>
  <c r="B8588" i="2"/>
  <c r="B8620" i="2"/>
  <c r="B8611" i="2"/>
  <c r="B8598" i="2"/>
  <c r="B8592" i="2"/>
  <c r="B8618" i="2"/>
  <c r="B8604" i="2"/>
  <c r="B8595" i="2"/>
  <c r="B8591" i="2"/>
  <c r="B8605" i="2"/>
  <c r="B8600" i="2"/>
  <c r="B8596" i="2"/>
  <c r="B8617" i="2"/>
  <c r="B8624" i="2"/>
  <c r="B8609" i="2"/>
  <c r="B8587" i="2"/>
  <c r="B8616" i="2"/>
  <c r="B8606" i="2"/>
  <c r="B8607" i="2"/>
  <c r="B8589" i="2"/>
  <c r="B8619" i="2"/>
  <c r="B8614" i="2"/>
  <c r="B8590" i="2"/>
  <c r="B8597" i="2"/>
  <c r="B8601" i="2"/>
  <c r="B8599" i="2"/>
  <c r="B8622" i="2"/>
  <c r="B8615" i="2"/>
  <c r="B8608" i="2"/>
  <c r="B8586" i="2"/>
  <c r="B8623" i="2"/>
  <c r="B8706" i="2"/>
  <c r="B8680" i="2"/>
  <c r="B8702" i="2"/>
  <c r="B8684" i="2"/>
  <c r="B8686" i="2"/>
  <c r="B8693" i="2"/>
  <c r="B8677" i="2"/>
  <c r="B8688" i="2"/>
  <c r="B8699" i="2"/>
  <c r="G8671" i="2"/>
  <c r="B8694" i="2"/>
  <c r="B8681" i="2"/>
  <c r="B8689" i="2"/>
  <c r="B8712" i="2"/>
  <c r="B8711" i="2"/>
  <c r="B8685" i="2"/>
  <c r="B8682" i="2"/>
  <c r="B8698" i="2"/>
  <c r="B8701" i="2"/>
  <c r="B8707" i="2"/>
  <c r="B8704" i="2"/>
  <c r="B8675" i="2"/>
  <c r="B8705" i="2"/>
  <c r="B8690" i="2"/>
  <c r="B8679" i="2"/>
  <c r="B8674" i="2"/>
  <c r="B8683" i="2"/>
  <c r="B8708" i="2"/>
  <c r="B8695" i="2"/>
  <c r="B8692" i="2"/>
  <c r="B8696" i="2"/>
  <c r="B8700" i="2"/>
  <c r="B8710" i="2"/>
  <c r="B8687" i="2"/>
  <c r="B8703" i="2"/>
  <c r="B8697" i="2"/>
  <c r="B8709" i="2"/>
  <c r="B8678" i="2"/>
  <c r="B8676" i="2"/>
  <c r="B8691" i="2"/>
  <c r="B8643" i="2"/>
  <c r="B8647" i="2"/>
  <c r="B8666" i="2"/>
  <c r="B8633" i="2"/>
  <c r="B8652" i="2"/>
  <c r="B8640" i="2"/>
  <c r="B8636" i="2"/>
  <c r="B8648" i="2"/>
  <c r="G8627" i="2"/>
  <c r="B8668" i="2"/>
  <c r="B8638" i="2"/>
  <c r="B8655" i="2"/>
  <c r="B8630" i="2"/>
  <c r="B8632" i="2"/>
  <c r="B8663" i="2"/>
  <c r="B8659" i="2"/>
  <c r="B8662" i="2"/>
  <c r="B8654" i="2"/>
  <c r="B8637" i="2"/>
  <c r="B8631" i="2"/>
  <c r="B8645" i="2"/>
  <c r="B8660" i="2"/>
  <c r="B8658" i="2"/>
  <c r="B8661" i="2"/>
  <c r="B8665" i="2"/>
  <c r="B8635" i="2"/>
  <c r="B8634" i="2"/>
  <c r="B8649" i="2"/>
  <c r="B8642" i="2"/>
  <c r="B8664" i="2"/>
  <c r="B8656" i="2"/>
  <c r="B8650" i="2"/>
  <c r="B8639" i="2"/>
  <c r="B8667" i="2"/>
  <c r="B8644" i="2"/>
  <c r="B8646" i="2"/>
  <c r="B8641" i="2"/>
  <c r="B8653" i="2"/>
  <c r="B8657" i="2"/>
  <c r="B8651" i="2"/>
  <c r="A210" i="1"/>
  <c r="B8722" i="2" l="1"/>
  <c r="B8737" i="2"/>
  <c r="B8753" i="2"/>
  <c r="B8743" i="2"/>
  <c r="B8733" i="2"/>
  <c r="B8724" i="2"/>
  <c r="B8723" i="2"/>
  <c r="B8744" i="2"/>
  <c r="B8738" i="2"/>
  <c r="B8749" i="2"/>
  <c r="B8745" i="2"/>
  <c r="B8728" i="2"/>
  <c r="B8731" i="2"/>
  <c r="B8748" i="2"/>
  <c r="B8721" i="2"/>
  <c r="B8726" i="2"/>
  <c r="B8719" i="2"/>
  <c r="B8740" i="2"/>
  <c r="B8741" i="2"/>
  <c r="B8742" i="2"/>
  <c r="B8755" i="2"/>
  <c r="B8747" i="2"/>
  <c r="B8734" i="2"/>
  <c r="B8739" i="2"/>
  <c r="B8756" i="2"/>
  <c r="B8754" i="2"/>
  <c r="B8750" i="2"/>
  <c r="B8727" i="2"/>
  <c r="B8725" i="2"/>
  <c r="B8729" i="2"/>
  <c r="B8752" i="2"/>
  <c r="B8720" i="2"/>
  <c r="G8715" i="2"/>
  <c r="B8732" i="2"/>
  <c r="B8736" i="2"/>
  <c r="B8730" i="2"/>
  <c r="B8718" i="2"/>
  <c r="B8751" i="2"/>
  <c r="B8735" i="2"/>
  <c r="B8763" i="2"/>
  <c r="B8764" i="2"/>
  <c r="B8796" i="2"/>
  <c r="B8776" i="2"/>
  <c r="B8765" i="2"/>
  <c r="B8799" i="2"/>
  <c r="B8770" i="2"/>
  <c r="B8782" i="2"/>
  <c r="B8793" i="2"/>
  <c r="B8773" i="2"/>
  <c r="B8798" i="2"/>
  <c r="B8789" i="2"/>
  <c r="B8794" i="2"/>
  <c r="B8774" i="2"/>
  <c r="B8769" i="2"/>
  <c r="B8781" i="2"/>
  <c r="G8759" i="2"/>
  <c r="B8787" i="2"/>
  <c r="B8795" i="2"/>
  <c r="B8768" i="2"/>
  <c r="B8783" i="2"/>
  <c r="B8762" i="2"/>
  <c r="B8788" i="2"/>
  <c r="B8797" i="2"/>
  <c r="B8792" i="2"/>
  <c r="B8780" i="2"/>
  <c r="B8800" i="2"/>
  <c r="B8766" i="2"/>
  <c r="B8767" i="2"/>
  <c r="B8790" i="2"/>
  <c r="B8772" i="2"/>
  <c r="B8779" i="2"/>
  <c r="B8791" i="2"/>
  <c r="B8771" i="2"/>
  <c r="B8786" i="2"/>
  <c r="B8784" i="2"/>
  <c r="B8785" i="2"/>
  <c r="B8775" i="2"/>
  <c r="B8777" i="2"/>
  <c r="C8846" i="2"/>
  <c r="B8848" i="2" s="1"/>
  <c r="B8842" i="2"/>
  <c r="B8816" i="2"/>
  <c r="B8815" i="2"/>
  <c r="B8840" i="2"/>
  <c r="B8824" i="2"/>
  <c r="B8844" i="2"/>
  <c r="B8819" i="2"/>
  <c r="B8835" i="2"/>
  <c r="B8809" i="2"/>
  <c r="B8807" i="2"/>
  <c r="B8834" i="2"/>
  <c r="B8838" i="2"/>
  <c r="B8808" i="2"/>
  <c r="B8821" i="2"/>
  <c r="B8841" i="2"/>
  <c r="B8817" i="2"/>
  <c r="B8828" i="2"/>
  <c r="B8806" i="2"/>
  <c r="B8820" i="2"/>
  <c r="B8837" i="2"/>
  <c r="B8836" i="2"/>
  <c r="B8812" i="2"/>
  <c r="B8818" i="2"/>
  <c r="B8825" i="2"/>
  <c r="B8839" i="2"/>
  <c r="B8827" i="2"/>
  <c r="B8833" i="2"/>
  <c r="B8843" i="2"/>
  <c r="B8823" i="2"/>
  <c r="B8810" i="2"/>
  <c r="B8822" i="2"/>
  <c r="B8829" i="2"/>
  <c r="B8831" i="2"/>
  <c r="B8814" i="2"/>
  <c r="B8811" i="2"/>
  <c r="B8813" i="2"/>
  <c r="G8803" i="2"/>
  <c r="B8832" i="2"/>
  <c r="B8830" i="2"/>
  <c r="F203" i="1"/>
  <c r="H203" i="1"/>
  <c r="G203" i="1"/>
  <c r="G204" i="1"/>
  <c r="F205" i="1"/>
  <c r="H205" i="1"/>
  <c r="F204" i="1"/>
  <c r="G205" i="1"/>
  <c r="G206" i="1"/>
  <c r="H206" i="1"/>
  <c r="H204" i="1"/>
  <c r="F206" i="1"/>
  <c r="A211" i="1"/>
  <c r="H207" i="1" l="1"/>
  <c r="L207" i="1" s="1"/>
  <c r="F207" i="1"/>
  <c r="J207" i="1" s="1"/>
  <c r="F208" i="1"/>
  <c r="J208" i="1" s="1"/>
  <c r="G207" i="1"/>
  <c r="H208" i="1"/>
  <c r="L208" i="1" s="1"/>
  <c r="G208" i="1"/>
  <c r="G209" i="1"/>
  <c r="K209" i="1" s="1"/>
  <c r="C8890" i="2"/>
  <c r="B8892" i="2" s="1"/>
  <c r="F209" i="1"/>
  <c r="H209" i="1"/>
  <c r="L209" i="1" s="1"/>
  <c r="B8888" i="2"/>
  <c r="B8879" i="2"/>
  <c r="B8859" i="2"/>
  <c r="B8869" i="2"/>
  <c r="B8887" i="2"/>
  <c r="B8876" i="2"/>
  <c r="B8868" i="2"/>
  <c r="B8854" i="2"/>
  <c r="B8881" i="2"/>
  <c r="B8861" i="2"/>
  <c r="B8855" i="2"/>
  <c r="B8857" i="2"/>
  <c r="B8880" i="2"/>
  <c r="B8886" i="2"/>
  <c r="B8875" i="2"/>
  <c r="B8853" i="2"/>
  <c r="B8870" i="2"/>
  <c r="B8860" i="2"/>
  <c r="B8874" i="2"/>
  <c r="B8858" i="2"/>
  <c r="B8872" i="2"/>
  <c r="B8864" i="2"/>
  <c r="B8877" i="2"/>
  <c r="B8871" i="2"/>
  <c r="B8878" i="2"/>
  <c r="B8883" i="2"/>
  <c r="B8863" i="2"/>
  <c r="B8882" i="2"/>
  <c r="B8850" i="2"/>
  <c r="B8885" i="2"/>
  <c r="G8847" i="2"/>
  <c r="B8856" i="2"/>
  <c r="B8884" i="2"/>
  <c r="B8867" i="2"/>
  <c r="B8865" i="2"/>
  <c r="B8862" i="2"/>
  <c r="B8866" i="2"/>
  <c r="B8851" i="2"/>
  <c r="B8873" i="2"/>
  <c r="B8852" i="2"/>
  <c r="J203" i="1"/>
  <c r="K203" i="1"/>
  <c r="I203" i="1"/>
  <c r="L203" i="1"/>
  <c r="K204" i="1"/>
  <c r="L205" i="1"/>
  <c r="K206" i="1"/>
  <c r="L206" i="1"/>
  <c r="K205" i="1"/>
  <c r="L204" i="1"/>
  <c r="J205" i="1"/>
  <c r="I205" i="1"/>
  <c r="J206" i="1"/>
  <c r="I206" i="1"/>
  <c r="J204" i="1"/>
  <c r="I204" i="1"/>
  <c r="A212" i="1"/>
  <c r="A213" i="1" s="1"/>
  <c r="I207" i="1" l="1"/>
  <c r="K207" i="1"/>
  <c r="M207" i="1" s="1"/>
  <c r="F210" i="1"/>
  <c r="J210" i="1" s="1"/>
  <c r="I208" i="1"/>
  <c r="K208" i="1"/>
  <c r="M208" i="1" s="1"/>
  <c r="I209" i="1"/>
  <c r="J209" i="1"/>
  <c r="M209" i="1" s="1"/>
  <c r="C8978" i="2"/>
  <c r="B8980" i="2" s="1"/>
  <c r="C8934" i="2"/>
  <c r="B8936" i="2" s="1"/>
  <c r="B8906" i="2"/>
  <c r="B8928" i="2"/>
  <c r="B8901" i="2"/>
  <c r="B8929" i="2"/>
  <c r="B8923" i="2"/>
  <c r="B8895" i="2"/>
  <c r="B8904" i="2"/>
  <c r="B8902" i="2"/>
  <c r="B8917" i="2"/>
  <c r="B8915" i="2"/>
  <c r="B8903" i="2"/>
  <c r="G8891" i="2"/>
  <c r="B8894" i="2"/>
  <c r="B8916" i="2"/>
  <c r="B8932" i="2"/>
  <c r="B8911" i="2"/>
  <c r="B8908" i="2"/>
  <c r="B8924" i="2"/>
  <c r="B8919" i="2"/>
  <c r="B8909" i="2"/>
  <c r="B8914" i="2"/>
  <c r="B8896" i="2"/>
  <c r="B8925" i="2"/>
  <c r="B8927" i="2"/>
  <c r="B8931" i="2"/>
  <c r="B8921" i="2"/>
  <c r="B8912" i="2"/>
  <c r="B8899" i="2"/>
  <c r="B8897" i="2"/>
  <c r="B8910" i="2"/>
  <c r="B8900" i="2"/>
  <c r="B8913" i="2"/>
  <c r="B8922" i="2"/>
  <c r="B8918" i="2"/>
  <c r="B8926" i="2"/>
  <c r="B8905" i="2"/>
  <c r="B8920" i="2"/>
  <c r="B8898" i="2"/>
  <c r="B8907" i="2"/>
  <c r="B8930" i="2"/>
  <c r="H210" i="1"/>
  <c r="L210" i="1" s="1"/>
  <c r="G210" i="1"/>
  <c r="K210" i="1" s="1"/>
  <c r="M203" i="1"/>
  <c r="M206" i="1"/>
  <c r="M205" i="1"/>
  <c r="M204" i="1"/>
  <c r="A214" i="1"/>
  <c r="C9022" i="2" l="1"/>
  <c r="B9024" i="2" s="1"/>
  <c r="B9057" i="2" s="1"/>
  <c r="M210" i="1"/>
  <c r="B8984" i="2"/>
  <c r="B9014" i="2"/>
  <c r="B8994" i="2"/>
  <c r="B8985" i="2"/>
  <c r="B9016" i="2"/>
  <c r="B8989" i="2"/>
  <c r="G8979" i="2"/>
  <c r="B8990" i="2"/>
  <c r="B9020" i="2"/>
  <c r="B8997" i="2"/>
  <c r="B9004" i="2"/>
  <c r="B8993" i="2"/>
  <c r="B9001" i="2"/>
  <c r="B8996" i="2"/>
  <c r="B9018" i="2"/>
  <c r="B9017" i="2"/>
  <c r="B9009" i="2"/>
  <c r="B8982" i="2"/>
  <c r="B9013" i="2"/>
  <c r="B8988" i="2"/>
  <c r="B8992" i="2"/>
  <c r="B8991" i="2"/>
  <c r="B8986" i="2"/>
  <c r="B9000" i="2"/>
  <c r="B9002" i="2"/>
  <c r="B9012" i="2"/>
  <c r="B8987" i="2"/>
  <c r="B8999" i="2"/>
  <c r="B9006" i="2"/>
  <c r="B8998" i="2"/>
  <c r="B9005" i="2"/>
  <c r="B8995" i="2"/>
  <c r="B8983" i="2"/>
  <c r="B9011" i="2"/>
  <c r="B9007" i="2"/>
  <c r="B9003" i="2"/>
  <c r="B9008" i="2"/>
  <c r="B9015" i="2"/>
  <c r="B9010" i="2"/>
  <c r="B9019" i="2"/>
  <c r="H211" i="1"/>
  <c r="L211" i="1" s="1"/>
  <c r="G211" i="1"/>
  <c r="K211" i="1" s="1"/>
  <c r="F211" i="1"/>
  <c r="I210" i="1"/>
  <c r="B8968" i="2"/>
  <c r="B8942" i="2"/>
  <c r="B8949" i="2"/>
  <c r="B8963" i="2"/>
  <c r="B8958" i="2"/>
  <c r="B8940" i="2"/>
  <c r="G8935" i="2"/>
  <c r="B8943" i="2"/>
  <c r="B8972" i="2"/>
  <c r="B8957" i="2"/>
  <c r="B8954" i="2"/>
  <c r="B8953" i="2"/>
  <c r="B8971" i="2"/>
  <c r="B8959" i="2"/>
  <c r="B8964" i="2"/>
  <c r="B8951" i="2"/>
  <c r="B8974" i="2"/>
  <c r="B8967" i="2"/>
  <c r="B8950" i="2"/>
  <c r="B8946" i="2"/>
  <c r="B8965" i="2"/>
  <c r="B8952" i="2"/>
  <c r="B8973" i="2"/>
  <c r="B8961" i="2"/>
  <c r="B8975" i="2"/>
  <c r="B8941" i="2"/>
  <c r="B8970" i="2"/>
  <c r="B8976" i="2"/>
  <c r="B8966" i="2"/>
  <c r="B8945" i="2"/>
  <c r="B8938" i="2"/>
  <c r="B8969" i="2"/>
  <c r="B8948" i="2"/>
  <c r="B8947" i="2"/>
  <c r="B8956" i="2"/>
  <c r="B8960" i="2"/>
  <c r="B8944" i="2"/>
  <c r="B8955" i="2"/>
  <c r="B8939" i="2"/>
  <c r="B8962" i="2"/>
  <c r="A215" i="1"/>
  <c r="A216" i="1"/>
  <c r="H212" i="1" l="1"/>
  <c r="L212" i="1" s="1"/>
  <c r="C9066" i="2"/>
  <c r="B9068" i="2" s="1"/>
  <c r="C9110" i="2"/>
  <c r="B9112" i="2" s="1"/>
  <c r="B9126" i="2" s="1"/>
  <c r="B9049" i="2"/>
  <c r="B9061" i="2"/>
  <c r="B9036" i="2"/>
  <c r="B9055" i="2"/>
  <c r="B9037" i="2"/>
  <c r="B9059" i="2"/>
  <c r="B9026" i="2"/>
  <c r="B9035" i="2"/>
  <c r="B9030" i="2"/>
  <c r="B9041" i="2"/>
  <c r="B9052" i="2"/>
  <c r="G9023" i="2"/>
  <c r="B9033" i="2"/>
  <c r="B9063" i="2"/>
  <c r="B9058" i="2"/>
  <c r="B9042" i="2"/>
  <c r="B9038" i="2"/>
  <c r="B9029" i="2"/>
  <c r="B9047" i="2"/>
  <c r="B9046" i="2"/>
  <c r="B9054" i="2"/>
  <c r="B9043" i="2"/>
  <c r="B9028" i="2"/>
  <c r="B9031" i="2"/>
  <c r="B9056" i="2"/>
  <c r="B9051" i="2"/>
  <c r="B9045" i="2"/>
  <c r="B9040" i="2"/>
  <c r="B9032" i="2"/>
  <c r="B9039" i="2"/>
  <c r="B9062" i="2"/>
  <c r="B9044" i="2"/>
  <c r="B9027" i="2"/>
  <c r="B9053" i="2"/>
  <c r="B9060" i="2"/>
  <c r="B9048" i="2"/>
  <c r="B9050" i="2"/>
  <c r="B9064" i="2"/>
  <c r="B9034" i="2"/>
  <c r="G212" i="1"/>
  <c r="K212" i="1" s="1"/>
  <c r="H213" i="1"/>
  <c r="L213" i="1" s="1"/>
  <c r="G213" i="1"/>
  <c r="K213" i="1" s="1"/>
  <c r="F212" i="1"/>
  <c r="I211" i="1"/>
  <c r="J211" i="1"/>
  <c r="M211" i="1" s="1"/>
  <c r="F213" i="1"/>
  <c r="A217" i="1"/>
  <c r="C9154" i="2" l="1"/>
  <c r="B9156" i="2" s="1"/>
  <c r="B9169" i="2" s="1"/>
  <c r="H214" i="1"/>
  <c r="L214" i="1" s="1"/>
  <c r="F214" i="1"/>
  <c r="J214" i="1" s="1"/>
  <c r="B9120" i="2"/>
  <c r="B9115" i="2"/>
  <c r="B9117" i="2"/>
  <c r="B9144" i="2"/>
  <c r="B9152" i="2"/>
  <c r="B9139" i="2"/>
  <c r="B9127" i="2"/>
  <c r="B9145" i="2"/>
  <c r="B9133" i="2"/>
  <c r="B9140" i="2"/>
  <c r="B9147" i="2"/>
  <c r="B9151" i="2"/>
  <c r="B9148" i="2"/>
  <c r="B9124" i="2"/>
  <c r="B9137" i="2"/>
  <c r="B9143" i="2"/>
  <c r="B9142" i="2"/>
  <c r="B9122" i="2"/>
  <c r="B9141" i="2"/>
  <c r="B9150" i="2"/>
  <c r="B9121" i="2"/>
  <c r="B9132" i="2"/>
  <c r="B9123" i="2"/>
  <c r="B9125" i="2"/>
  <c r="B9136" i="2"/>
  <c r="B9149" i="2"/>
  <c r="B9119" i="2"/>
  <c r="B9118" i="2"/>
  <c r="G9111" i="2"/>
  <c r="B9130" i="2"/>
  <c r="B9135" i="2"/>
  <c r="B9134" i="2"/>
  <c r="B9114" i="2"/>
  <c r="B9138" i="2"/>
  <c r="B9129" i="2"/>
  <c r="G214" i="1"/>
  <c r="K214" i="1" s="1"/>
  <c r="B9116" i="2"/>
  <c r="B9146" i="2"/>
  <c r="B9128" i="2"/>
  <c r="B9131" i="2"/>
  <c r="B9073" i="2"/>
  <c r="B9097" i="2"/>
  <c r="B9094" i="2"/>
  <c r="B9083" i="2"/>
  <c r="B9081" i="2"/>
  <c r="B9092" i="2"/>
  <c r="B9107" i="2"/>
  <c r="B9084" i="2"/>
  <c r="B9095" i="2"/>
  <c r="G9067" i="2"/>
  <c r="B9072" i="2"/>
  <c r="B9100" i="2"/>
  <c r="B9087" i="2"/>
  <c r="B9088" i="2"/>
  <c r="B9098" i="2"/>
  <c r="B9099" i="2"/>
  <c r="B9078" i="2"/>
  <c r="B9082" i="2"/>
  <c r="B9091" i="2"/>
  <c r="B9108" i="2"/>
  <c r="B9102" i="2"/>
  <c r="B9101" i="2"/>
  <c r="B9104" i="2"/>
  <c r="B9079" i="2"/>
  <c r="B9105" i="2"/>
  <c r="B9085" i="2"/>
  <c r="B9080" i="2"/>
  <c r="B9096" i="2"/>
  <c r="B9086" i="2"/>
  <c r="B9103" i="2"/>
  <c r="B9106" i="2"/>
  <c r="B9093" i="2"/>
  <c r="B9090" i="2"/>
  <c r="B9076" i="2"/>
  <c r="B9071" i="2"/>
  <c r="B9074" i="2"/>
  <c r="B9089" i="2"/>
  <c r="B9077" i="2"/>
  <c r="B9075" i="2"/>
  <c r="B9070" i="2"/>
  <c r="J212" i="1"/>
  <c r="M212" i="1" s="1"/>
  <c r="I212" i="1"/>
  <c r="J213" i="1"/>
  <c r="M213" i="1" s="1"/>
  <c r="I213" i="1"/>
  <c r="A218" i="1"/>
  <c r="A219" i="1"/>
  <c r="C9198" i="2" l="1"/>
  <c r="B9200" i="2" s="1"/>
  <c r="B9233" i="2" s="1"/>
  <c r="H215" i="1"/>
  <c r="L215" i="1" s="1"/>
  <c r="G215" i="1"/>
  <c r="K215" i="1" s="1"/>
  <c r="F215" i="1"/>
  <c r="J215" i="1" s="1"/>
  <c r="B9162" i="2"/>
  <c r="B9185" i="2"/>
  <c r="B9178" i="2"/>
  <c r="B9168" i="2"/>
  <c r="B9196" i="2"/>
  <c r="F216" i="1"/>
  <c r="J216" i="1" s="1"/>
  <c r="B9166" i="2"/>
  <c r="B9174" i="2"/>
  <c r="B9187" i="2"/>
  <c r="B9192" i="2"/>
  <c r="B9163" i="2"/>
  <c r="B9181" i="2"/>
  <c r="B9180" i="2"/>
  <c r="B9175" i="2"/>
  <c r="B9173" i="2"/>
  <c r="B9171" i="2"/>
  <c r="B9161" i="2"/>
  <c r="B9176" i="2"/>
  <c r="B9164" i="2"/>
  <c r="B9158" i="2"/>
  <c r="B9179" i="2"/>
  <c r="B9160" i="2"/>
  <c r="G9155" i="2"/>
  <c r="B9167" i="2"/>
  <c r="B9191" i="2"/>
  <c r="B9194" i="2"/>
  <c r="B9189" i="2"/>
  <c r="B9177" i="2"/>
  <c r="B9195" i="2"/>
  <c r="B9159" i="2"/>
  <c r="B9170" i="2"/>
  <c r="B9188" i="2"/>
  <c r="B9172" i="2"/>
  <c r="B9184" i="2"/>
  <c r="B9165" i="2"/>
  <c r="B9193" i="2"/>
  <c r="B9186" i="2"/>
  <c r="B9190" i="2"/>
  <c r="B9182" i="2"/>
  <c r="B9183" i="2"/>
  <c r="G216" i="1"/>
  <c r="K216" i="1" s="1"/>
  <c r="M214" i="1"/>
  <c r="H216" i="1"/>
  <c r="L216" i="1" s="1"/>
  <c r="I214" i="1"/>
  <c r="A220" i="1"/>
  <c r="B9221" i="2" l="1"/>
  <c r="B9232" i="2"/>
  <c r="B9206" i="2"/>
  <c r="B9231" i="2"/>
  <c r="B9215" i="2"/>
  <c r="B9240" i="2"/>
  <c r="B9207" i="2"/>
  <c r="B9204" i="2"/>
  <c r="B9217" i="2"/>
  <c r="B9230" i="2"/>
  <c r="B9211" i="2"/>
  <c r="B9239" i="2"/>
  <c r="B9223" i="2"/>
  <c r="F218" i="1" s="1"/>
  <c r="B9219" i="2"/>
  <c r="B9208" i="2"/>
  <c r="B9234" i="2"/>
  <c r="B9224" i="2"/>
  <c r="B9212" i="2"/>
  <c r="B9237" i="2"/>
  <c r="B9218" i="2"/>
  <c r="B9205" i="2"/>
  <c r="B9227" i="2"/>
  <c r="B9220" i="2"/>
  <c r="B9229" i="2"/>
  <c r="B9238" i="2"/>
  <c r="G9199" i="2"/>
  <c r="B9225" i="2"/>
  <c r="B9236" i="2"/>
  <c r="B9226" i="2"/>
  <c r="B9213" i="2"/>
  <c r="B9214" i="2"/>
  <c r="B9210" i="2"/>
  <c r="B9209" i="2"/>
  <c r="B9202" i="2"/>
  <c r="B9203" i="2"/>
  <c r="B9216" i="2"/>
  <c r="B9222" i="2"/>
  <c r="B9235" i="2"/>
  <c r="B9228" i="2"/>
  <c r="F217" i="1"/>
  <c r="J217" i="1" s="1"/>
  <c r="G217" i="1"/>
  <c r="K217" i="1" s="1"/>
  <c r="M215" i="1"/>
  <c r="H217" i="1"/>
  <c r="L217" i="1" s="1"/>
  <c r="I215" i="1"/>
  <c r="I216" i="1"/>
  <c r="M216" i="1"/>
  <c r="A221" i="1"/>
  <c r="M217" i="1" l="1"/>
  <c r="I217" i="1"/>
  <c r="J218" i="1"/>
  <c r="A222" i="1"/>
  <c r="F30" i="1" l="1"/>
  <c r="G30" i="1"/>
  <c r="K30" i="1" s="1"/>
  <c r="H30" i="1"/>
  <c r="L30" i="1" s="1"/>
  <c r="A223" i="1"/>
  <c r="J30" i="1" l="1"/>
  <c r="M30" i="1" s="1"/>
  <c r="I30" i="1"/>
  <c r="A224" i="1"/>
  <c r="A225" i="1"/>
  <c r="C9242" i="2" l="1"/>
  <c r="B9244" i="2" s="1"/>
  <c r="C9330" i="2"/>
  <c r="B9332" i="2" s="1"/>
  <c r="C9374" i="2"/>
  <c r="B9376" i="2" s="1"/>
  <c r="C9286" i="2"/>
  <c r="B9288" i="2" s="1"/>
  <c r="C9418" i="2"/>
  <c r="B9420" i="2" s="1"/>
  <c r="C9462" i="2"/>
  <c r="B9464" i="2" s="1"/>
  <c r="C9506" i="2"/>
  <c r="B9508" i="2" s="1"/>
  <c r="A226" i="1"/>
  <c r="C9550" i="2" l="1"/>
  <c r="B9552" i="2" s="1"/>
  <c r="B9515" i="2"/>
  <c r="B9513" i="2"/>
  <c r="B9532" i="2"/>
  <c r="B9511" i="2"/>
  <c r="B9523" i="2"/>
  <c r="B9546" i="2"/>
  <c r="G9507" i="2"/>
  <c r="B9512" i="2"/>
  <c r="B9518" i="2"/>
  <c r="B9533" i="2"/>
  <c r="B9521" i="2"/>
  <c r="B9536" i="2"/>
  <c r="B9527" i="2"/>
  <c r="B9510" i="2"/>
  <c r="B9538" i="2"/>
  <c r="B9535" i="2"/>
  <c r="B9547" i="2"/>
  <c r="B9517" i="2"/>
  <c r="B9537" i="2"/>
  <c r="B9540" i="2"/>
  <c r="B9529" i="2"/>
  <c r="B9539" i="2"/>
  <c r="B9544" i="2"/>
  <c r="B9542" i="2"/>
  <c r="B9545" i="2"/>
  <c r="B9548" i="2"/>
  <c r="B9531" i="2"/>
  <c r="B9543" i="2"/>
  <c r="B9520" i="2"/>
  <c r="B9516" i="2"/>
  <c r="B9526" i="2"/>
  <c r="B9541" i="2"/>
  <c r="B9534" i="2"/>
  <c r="B9528" i="2"/>
  <c r="B9524" i="2"/>
  <c r="B9530" i="2"/>
  <c r="B9514" i="2"/>
  <c r="B9522" i="2"/>
  <c r="B9519" i="2"/>
  <c r="B9525" i="2"/>
  <c r="B9495" i="2"/>
  <c r="B9483" i="2"/>
  <c r="B9478" i="2"/>
  <c r="B9466" i="2"/>
  <c r="B9487" i="2"/>
  <c r="B9477" i="2"/>
  <c r="B9491" i="2"/>
  <c r="B9479" i="2"/>
  <c r="B9492" i="2"/>
  <c r="B9474" i="2"/>
  <c r="B9484" i="2"/>
  <c r="B9488" i="2"/>
  <c r="B9489" i="2"/>
  <c r="B9497" i="2"/>
  <c r="B9471" i="2"/>
  <c r="B9480" i="2"/>
  <c r="B9476" i="2"/>
  <c r="B9481" i="2"/>
  <c r="B9482" i="2"/>
  <c r="B9486" i="2"/>
  <c r="B9468" i="2"/>
  <c r="B9467" i="2"/>
  <c r="B9490" i="2"/>
  <c r="B9499" i="2"/>
  <c r="B9498" i="2"/>
  <c r="B9504" i="2"/>
  <c r="B9473" i="2"/>
  <c r="B9485" i="2"/>
  <c r="B9472" i="2"/>
  <c r="G9463" i="2"/>
  <c r="B9494" i="2"/>
  <c r="B9500" i="2"/>
  <c r="B9493" i="2"/>
  <c r="B9475" i="2"/>
  <c r="B9470" i="2"/>
  <c r="B9496" i="2"/>
  <c r="B9469" i="2"/>
  <c r="B9501" i="2"/>
  <c r="B9503" i="2"/>
  <c r="B9502" i="2"/>
  <c r="B9445" i="2"/>
  <c r="B9443" i="2"/>
  <c r="B9423" i="2"/>
  <c r="B9432" i="2"/>
  <c r="B9442" i="2"/>
  <c r="B9441" i="2"/>
  <c r="B9444" i="2"/>
  <c r="B9456" i="2"/>
  <c r="B9434" i="2"/>
  <c r="B9431" i="2"/>
  <c r="B9424" i="2"/>
  <c r="B9455" i="2"/>
  <c r="B9430" i="2"/>
  <c r="B9440" i="2"/>
  <c r="B9451" i="2"/>
  <c r="B9457" i="2"/>
  <c r="B9425" i="2"/>
  <c r="B9429" i="2"/>
  <c r="B9439" i="2"/>
  <c r="B9428" i="2"/>
  <c r="G9419" i="2"/>
  <c r="B9438" i="2"/>
  <c r="B9449" i="2"/>
  <c r="B9436" i="2"/>
  <c r="B9452" i="2"/>
  <c r="B9433" i="2"/>
  <c r="B9437" i="2"/>
  <c r="B9446" i="2"/>
  <c r="B9426" i="2"/>
  <c r="B9422" i="2"/>
  <c r="B9427" i="2"/>
  <c r="B9454" i="2"/>
  <c r="B9435" i="2"/>
  <c r="B9453" i="2"/>
  <c r="B9450" i="2"/>
  <c r="B9448" i="2"/>
  <c r="B9459" i="2"/>
  <c r="B9447" i="2"/>
  <c r="B9458" i="2"/>
  <c r="B9460" i="2"/>
  <c r="B9326" i="2"/>
  <c r="B9314" i="2"/>
  <c r="B9309" i="2"/>
  <c r="B9306" i="2"/>
  <c r="B9299" i="2"/>
  <c r="B9291" i="2"/>
  <c r="B9290" i="2"/>
  <c r="B9293" i="2"/>
  <c r="B9294" i="2"/>
  <c r="B9328" i="2"/>
  <c r="B9308" i="2"/>
  <c r="B9320" i="2"/>
  <c r="B9292" i="2"/>
  <c r="B9325" i="2"/>
  <c r="B9313" i="2"/>
  <c r="B9323" i="2"/>
  <c r="B9315" i="2"/>
  <c r="B9307" i="2"/>
  <c r="B9321" i="2"/>
  <c r="B9302" i="2"/>
  <c r="B9312" i="2"/>
  <c r="B9311" i="2"/>
  <c r="B9305" i="2"/>
  <c r="B9304" i="2"/>
  <c r="B9317" i="2"/>
  <c r="B9310" i="2"/>
  <c r="B9316" i="2"/>
  <c r="B9300" i="2"/>
  <c r="B9301" i="2"/>
  <c r="B9319" i="2"/>
  <c r="B9295" i="2"/>
  <c r="B9296" i="2"/>
  <c r="B9327" i="2"/>
  <c r="G9287" i="2"/>
  <c r="B9318" i="2"/>
  <c r="B9324" i="2"/>
  <c r="B9322" i="2"/>
  <c r="B9297" i="2"/>
  <c r="B9298" i="2"/>
  <c r="B9303" i="2"/>
  <c r="B9387" i="2"/>
  <c r="B9388" i="2"/>
  <c r="B9406" i="2"/>
  <c r="B9393" i="2"/>
  <c r="B9397" i="2"/>
  <c r="B9382" i="2"/>
  <c r="B9412" i="2"/>
  <c r="B9395" i="2"/>
  <c r="B9381" i="2"/>
  <c r="B9386" i="2"/>
  <c r="B9396" i="2"/>
  <c r="B9410" i="2"/>
  <c r="B9400" i="2"/>
  <c r="B9409" i="2"/>
  <c r="B9380" i="2"/>
  <c r="B9383" i="2"/>
  <c r="B9398" i="2"/>
  <c r="B9414" i="2"/>
  <c r="B9408" i="2"/>
  <c r="B9405" i="2"/>
  <c r="B9413" i="2"/>
  <c r="B9384" i="2"/>
  <c r="B9411" i="2"/>
  <c r="B9402" i="2"/>
  <c r="B9403" i="2"/>
  <c r="B9391" i="2"/>
  <c r="B9404" i="2"/>
  <c r="B9416" i="2"/>
  <c r="B9385" i="2"/>
  <c r="B9394" i="2"/>
  <c r="B9401" i="2"/>
  <c r="B9378" i="2"/>
  <c r="B9389" i="2"/>
  <c r="B9392" i="2"/>
  <c r="B9407" i="2"/>
  <c r="G9375" i="2"/>
  <c r="B9399" i="2"/>
  <c r="B9390" i="2"/>
  <c r="B9415" i="2"/>
  <c r="B9379" i="2"/>
  <c r="B9350" i="2"/>
  <c r="B9335" i="2"/>
  <c r="B9353" i="2"/>
  <c r="B9358" i="2"/>
  <c r="B9371" i="2"/>
  <c r="B9339" i="2"/>
  <c r="B9362" i="2"/>
  <c r="B9356" i="2"/>
  <c r="B9369" i="2"/>
  <c r="B9342" i="2"/>
  <c r="B9351" i="2"/>
  <c r="B9360" i="2"/>
  <c r="B9355" i="2"/>
  <c r="B9343" i="2"/>
  <c r="B9337" i="2"/>
  <c r="B9366" i="2"/>
  <c r="G9331" i="2"/>
  <c r="B9361" i="2"/>
  <c r="B9349" i="2"/>
  <c r="B9348" i="2"/>
  <c r="B9368" i="2"/>
  <c r="B9340" i="2"/>
  <c r="B9367" i="2"/>
  <c r="B9372" i="2"/>
  <c r="B9365" i="2"/>
  <c r="B9341" i="2"/>
  <c r="B9334" i="2"/>
  <c r="B9354" i="2"/>
  <c r="B9370" i="2"/>
  <c r="B9359" i="2"/>
  <c r="B9346" i="2"/>
  <c r="B9352" i="2"/>
  <c r="B9347" i="2"/>
  <c r="B9336" i="2"/>
  <c r="B9357" i="2"/>
  <c r="B9345" i="2"/>
  <c r="B9364" i="2"/>
  <c r="B9363" i="2"/>
  <c r="B9338" i="2"/>
  <c r="B9344" i="2"/>
  <c r="B9262" i="2"/>
  <c r="B9261" i="2"/>
  <c r="B9248" i="2"/>
  <c r="B9265" i="2"/>
  <c r="B9246" i="2"/>
  <c r="B9247" i="2"/>
  <c r="B9258" i="2"/>
  <c r="B9266" i="2"/>
  <c r="B9263" i="2"/>
  <c r="B9259" i="2"/>
  <c r="B9252" i="2"/>
  <c r="B9284" i="2"/>
  <c r="B9269" i="2"/>
  <c r="B9249" i="2"/>
  <c r="B9264" i="2"/>
  <c r="B9276" i="2"/>
  <c r="B9256" i="2"/>
  <c r="B9278" i="2"/>
  <c r="B9279" i="2"/>
  <c r="B9250" i="2"/>
  <c r="B9274" i="2"/>
  <c r="B9251" i="2"/>
  <c r="B9255" i="2"/>
  <c r="B9277" i="2"/>
  <c r="B9271" i="2"/>
  <c r="B9268" i="2"/>
  <c r="B9275" i="2"/>
  <c r="B9270" i="2"/>
  <c r="B9254" i="2"/>
  <c r="B9253" i="2"/>
  <c r="B9257" i="2"/>
  <c r="G9243" i="2"/>
  <c r="B9280" i="2"/>
  <c r="B9260" i="2"/>
  <c r="B9267" i="2"/>
  <c r="B9273" i="2"/>
  <c r="B9281" i="2"/>
  <c r="B9272" i="2"/>
  <c r="B9282" i="2"/>
  <c r="B9283" i="2"/>
  <c r="A227" i="1"/>
  <c r="A228" i="1"/>
  <c r="C9594" i="2" l="1"/>
  <c r="B9596" i="2" s="1"/>
  <c r="C9638" i="2"/>
  <c r="B9640" i="2" s="1"/>
  <c r="B9571" i="2"/>
  <c r="B9583" i="2"/>
  <c r="B9560" i="2"/>
  <c r="B9584" i="2"/>
  <c r="B9567" i="2"/>
  <c r="B9566" i="2"/>
  <c r="B9578" i="2"/>
  <c r="B9554" i="2"/>
  <c r="B9557" i="2"/>
  <c r="B9579" i="2"/>
  <c r="B9576" i="2"/>
  <c r="B9556" i="2"/>
  <c r="B9588" i="2"/>
  <c r="B9590" i="2"/>
  <c r="B9565" i="2"/>
  <c r="B9589" i="2"/>
  <c r="B9580" i="2"/>
  <c r="B9572" i="2"/>
  <c r="B9591" i="2"/>
  <c r="B9558" i="2"/>
  <c r="B9564" i="2"/>
  <c r="B9581" i="2"/>
  <c r="B9568" i="2"/>
  <c r="B9569" i="2"/>
  <c r="B9559" i="2"/>
  <c r="B9563" i="2"/>
  <c r="B9582" i="2"/>
  <c r="B9587" i="2"/>
  <c r="B9586" i="2"/>
  <c r="B9574" i="2"/>
  <c r="B9575" i="2"/>
  <c r="B9573" i="2"/>
  <c r="B9592" i="2"/>
  <c r="B9570" i="2"/>
  <c r="B9555" i="2"/>
  <c r="B9561" i="2"/>
  <c r="B9585" i="2"/>
  <c r="B9562" i="2"/>
  <c r="B9577" i="2"/>
  <c r="G9551" i="2"/>
  <c r="H224" i="1"/>
  <c r="L224" i="1" s="1"/>
  <c r="H222" i="1"/>
  <c r="L222" i="1" s="1"/>
  <c r="G225" i="1"/>
  <c r="K225" i="1" s="1"/>
  <c r="G222" i="1"/>
  <c r="K222" i="1" s="1"/>
  <c r="F225" i="1"/>
  <c r="F223" i="1"/>
  <c r="F224" i="1"/>
  <c r="H225" i="1"/>
  <c r="L225" i="1" s="1"/>
  <c r="G224" i="1"/>
  <c r="K224" i="1" s="1"/>
  <c r="G223" i="1"/>
  <c r="K223" i="1" s="1"/>
  <c r="G218" i="1"/>
  <c r="F222" i="1"/>
  <c r="H218" i="1"/>
  <c r="F220" i="1"/>
  <c r="H219" i="1"/>
  <c r="L219" i="1" s="1"/>
  <c r="G221" i="1"/>
  <c r="K221" i="1" s="1"/>
  <c r="F219" i="1"/>
  <c r="F221" i="1"/>
  <c r="G220" i="1"/>
  <c r="K220" i="1" s="1"/>
  <c r="H221" i="1"/>
  <c r="L221" i="1" s="1"/>
  <c r="H223" i="1"/>
  <c r="L223" i="1" s="1"/>
  <c r="H220" i="1"/>
  <c r="L220" i="1" s="1"/>
  <c r="G219" i="1"/>
  <c r="K219" i="1" s="1"/>
  <c r="A229" i="1"/>
  <c r="C9682" i="2" l="1"/>
  <c r="B9684" i="2" s="1"/>
  <c r="B9705" i="2" s="1"/>
  <c r="H226" i="1"/>
  <c r="L226" i="1" s="1"/>
  <c r="F226" i="1"/>
  <c r="J226" i="1" s="1"/>
  <c r="B9657" i="2"/>
  <c r="B9647" i="2"/>
  <c r="B9679" i="2"/>
  <c r="B9651" i="2"/>
  <c r="B9678" i="2"/>
  <c r="B9672" i="2"/>
  <c r="B9675" i="2"/>
  <c r="B9642" i="2"/>
  <c r="B9662" i="2"/>
  <c r="B9659" i="2"/>
  <c r="B9649" i="2"/>
  <c r="B9665" i="2"/>
  <c r="B9656" i="2"/>
  <c r="B9648" i="2"/>
  <c r="B9644" i="2"/>
  <c r="B9666" i="2"/>
  <c r="B9660" i="2"/>
  <c r="B9643" i="2"/>
  <c r="B9669" i="2"/>
  <c r="G9639" i="2"/>
  <c r="B9652" i="2"/>
  <c r="B9670" i="2"/>
  <c r="B9677" i="2"/>
  <c r="B9663" i="2"/>
  <c r="B9658" i="2"/>
  <c r="B9668" i="2"/>
  <c r="B9650" i="2"/>
  <c r="B9654" i="2"/>
  <c r="B9676" i="2"/>
  <c r="B9646" i="2"/>
  <c r="B9680" i="2"/>
  <c r="B9661" i="2"/>
  <c r="B9667" i="2"/>
  <c r="B9645" i="2"/>
  <c r="B9653" i="2"/>
  <c r="B9673" i="2"/>
  <c r="B9664" i="2"/>
  <c r="B9671" i="2"/>
  <c r="B9655" i="2"/>
  <c r="B9674" i="2"/>
  <c r="G226" i="1"/>
  <c r="K226" i="1" s="1"/>
  <c r="B9599" i="2"/>
  <c r="B9598" i="2"/>
  <c r="B9624" i="2"/>
  <c r="B9600" i="2"/>
  <c r="B9612" i="2"/>
  <c r="B9614" i="2"/>
  <c r="B9617" i="2"/>
  <c r="B9636" i="2"/>
  <c r="G9595" i="2"/>
  <c r="B9613" i="2"/>
  <c r="B9629" i="2"/>
  <c r="B9633" i="2"/>
  <c r="B9610" i="2"/>
  <c r="B9626" i="2"/>
  <c r="B9621" i="2"/>
  <c r="B9619" i="2"/>
  <c r="B9615" i="2"/>
  <c r="B9606" i="2"/>
  <c r="B9609" i="2"/>
  <c r="B9607" i="2"/>
  <c r="B9603" i="2"/>
  <c r="B9601" i="2"/>
  <c r="B9611" i="2"/>
  <c r="B9634" i="2"/>
  <c r="B9604" i="2"/>
  <c r="B9627" i="2"/>
  <c r="B9620" i="2"/>
  <c r="B9616" i="2"/>
  <c r="B9618" i="2"/>
  <c r="B9622" i="2"/>
  <c r="B9628" i="2"/>
  <c r="B9632" i="2"/>
  <c r="B9635" i="2"/>
  <c r="B9631" i="2"/>
  <c r="B9608" i="2"/>
  <c r="B9625" i="2"/>
  <c r="B9630" i="2"/>
  <c r="B9605" i="2"/>
  <c r="B9623" i="2"/>
  <c r="B9602" i="2"/>
  <c r="K218" i="1"/>
  <c r="I218" i="1"/>
  <c r="J223" i="1"/>
  <c r="M223" i="1" s="1"/>
  <c r="I223" i="1"/>
  <c r="I221" i="1"/>
  <c r="J221" i="1"/>
  <c r="M221" i="1" s="1"/>
  <c r="J219" i="1"/>
  <c r="I219" i="1"/>
  <c r="L218" i="1"/>
  <c r="I222" i="1"/>
  <c r="J222" i="1"/>
  <c r="M222" i="1" s="1"/>
  <c r="I225" i="1"/>
  <c r="J225" i="1"/>
  <c r="M225" i="1" s="1"/>
  <c r="J220" i="1"/>
  <c r="M220" i="1" s="1"/>
  <c r="I220" i="1"/>
  <c r="J224" i="1"/>
  <c r="M224" i="1" s="1"/>
  <c r="I224" i="1"/>
  <c r="A230" i="1"/>
  <c r="A231" i="1"/>
  <c r="A232" i="1" s="1"/>
  <c r="C9726" i="2" l="1"/>
  <c r="B9728" i="2" s="1"/>
  <c r="B9752" i="2" s="1"/>
  <c r="F228" i="1"/>
  <c r="J228" i="1" s="1"/>
  <c r="B9695" i="2"/>
  <c r="B9718" i="2"/>
  <c r="B9712" i="2"/>
  <c r="B9715" i="2"/>
  <c r="B9714" i="2"/>
  <c r="G9683" i="2"/>
  <c r="B9691" i="2"/>
  <c r="B9692" i="2"/>
  <c r="B9719" i="2"/>
  <c r="B9708" i="2"/>
  <c r="B9707" i="2"/>
  <c r="B9710" i="2"/>
  <c r="B9699" i="2"/>
  <c r="B9696" i="2"/>
  <c r="B9704" i="2"/>
  <c r="B9701" i="2"/>
  <c r="B9687" i="2"/>
  <c r="B9694" i="2"/>
  <c r="B9690" i="2"/>
  <c r="B9716" i="2"/>
  <c r="B9724" i="2"/>
  <c r="B9689" i="2"/>
  <c r="B9711" i="2"/>
  <c r="B9698" i="2"/>
  <c r="B9722" i="2"/>
  <c r="B9686" i="2"/>
  <c r="B9713" i="2"/>
  <c r="B9706" i="2"/>
  <c r="B9721" i="2"/>
  <c r="B9688" i="2"/>
  <c r="B9709" i="2"/>
  <c r="B9702" i="2"/>
  <c r="B9717" i="2"/>
  <c r="B9700" i="2"/>
  <c r="B9697" i="2"/>
  <c r="B9693" i="2"/>
  <c r="B9720" i="2"/>
  <c r="B9703" i="2"/>
  <c r="B9723" i="2"/>
  <c r="M226" i="1"/>
  <c r="C9770" i="2"/>
  <c r="B9772" i="2" s="1"/>
  <c r="C9814" i="2"/>
  <c r="B9816" i="2" s="1"/>
  <c r="H228" i="1"/>
  <c r="L228" i="1" s="1"/>
  <c r="H227" i="1"/>
  <c r="G227" i="1"/>
  <c r="K227" i="1" s="1"/>
  <c r="F227" i="1"/>
  <c r="G228" i="1"/>
  <c r="K228" i="1" s="1"/>
  <c r="I226" i="1"/>
  <c r="M218" i="1"/>
  <c r="M219" i="1"/>
  <c r="A233" i="1"/>
  <c r="B9742" i="2" l="1"/>
  <c r="B9737" i="2"/>
  <c r="B9732" i="2"/>
  <c r="B9730" i="2"/>
  <c r="B9757" i="2"/>
  <c r="B9733" i="2"/>
  <c r="B9759" i="2"/>
  <c r="B9736" i="2"/>
  <c r="B9767" i="2"/>
  <c r="B9738" i="2"/>
  <c r="B9749" i="2"/>
  <c r="B9735" i="2"/>
  <c r="B9762" i="2"/>
  <c r="B9758" i="2"/>
  <c r="B9748" i="2"/>
  <c r="G9727" i="2"/>
  <c r="B9761" i="2"/>
  <c r="B9750" i="2"/>
  <c r="B9731" i="2"/>
  <c r="B9764" i="2"/>
  <c r="B9754" i="2"/>
  <c r="B9765" i="2"/>
  <c r="B9755" i="2"/>
  <c r="B9751" i="2"/>
  <c r="B9753" i="2"/>
  <c r="B9747" i="2"/>
  <c r="B9740" i="2"/>
  <c r="B9743" i="2"/>
  <c r="B9746" i="2"/>
  <c r="B9745" i="2"/>
  <c r="B9739" i="2"/>
  <c r="B9766" i="2"/>
  <c r="B9763" i="2"/>
  <c r="B9760" i="2"/>
  <c r="B9734" i="2"/>
  <c r="B9744" i="2"/>
  <c r="B9756" i="2"/>
  <c r="H230" i="1" s="1"/>
  <c r="L230" i="1" s="1"/>
  <c r="B9741" i="2"/>
  <c r="B9768" i="2"/>
  <c r="H229" i="1"/>
  <c r="L229" i="1" s="1"/>
  <c r="F229" i="1"/>
  <c r="J229" i="1" s="1"/>
  <c r="G229" i="1"/>
  <c r="K229" i="1" s="1"/>
  <c r="C9858" i="2"/>
  <c r="B9860" i="2" s="1"/>
  <c r="B9865" i="2" s="1"/>
  <c r="L227" i="1"/>
  <c r="B9821" i="2"/>
  <c r="B9853" i="2"/>
  <c r="B9822" i="2"/>
  <c r="B9856" i="2"/>
  <c r="B9834" i="2"/>
  <c r="B9823" i="2"/>
  <c r="B9831" i="2"/>
  <c r="B9847" i="2"/>
  <c r="B9832" i="2"/>
  <c r="B9855" i="2"/>
  <c r="B9841" i="2"/>
  <c r="B9836" i="2"/>
  <c r="B9852" i="2"/>
  <c r="B9820" i="2"/>
  <c r="B9846" i="2"/>
  <c r="G9815" i="2"/>
  <c r="B9827" i="2"/>
  <c r="B9845" i="2"/>
  <c r="B9824" i="2"/>
  <c r="B9850" i="2"/>
  <c r="B9838" i="2"/>
  <c r="B9854" i="2"/>
  <c r="B9825" i="2"/>
  <c r="B9835" i="2"/>
  <c r="B9844" i="2"/>
  <c r="B9837" i="2"/>
  <c r="B9828" i="2"/>
  <c r="B9848" i="2"/>
  <c r="B9818" i="2"/>
  <c r="B9829" i="2"/>
  <c r="B9849" i="2"/>
  <c r="B9851" i="2"/>
  <c r="B9833" i="2"/>
  <c r="B9843" i="2"/>
  <c r="B9839" i="2"/>
  <c r="B9819" i="2"/>
  <c r="B9842" i="2"/>
  <c r="B9826" i="2"/>
  <c r="B9840" i="2"/>
  <c r="B9830" i="2"/>
  <c r="B9779" i="2"/>
  <c r="B9812" i="2"/>
  <c r="B9810" i="2"/>
  <c r="B9798" i="2"/>
  <c r="B9780" i="2"/>
  <c r="B9787" i="2"/>
  <c r="B9794" i="2"/>
  <c r="B9783" i="2"/>
  <c r="B9807" i="2"/>
  <c r="B9789" i="2"/>
  <c r="B9785" i="2"/>
  <c r="B9803" i="2"/>
  <c r="B9801" i="2"/>
  <c r="B9782" i="2"/>
  <c r="B9795" i="2"/>
  <c r="B9791" i="2"/>
  <c r="G9771" i="2"/>
  <c r="B9804" i="2"/>
  <c r="B9788" i="2"/>
  <c r="B9775" i="2"/>
  <c r="B9778" i="2"/>
  <c r="B9802" i="2"/>
  <c r="B9799" i="2"/>
  <c r="B9784" i="2"/>
  <c r="B9790" i="2"/>
  <c r="B9786" i="2"/>
  <c r="B9808" i="2"/>
  <c r="B9811" i="2"/>
  <c r="B9781" i="2"/>
  <c r="B9774" i="2"/>
  <c r="B9809" i="2"/>
  <c r="B9792" i="2"/>
  <c r="B9797" i="2"/>
  <c r="B9805" i="2"/>
  <c r="B9793" i="2"/>
  <c r="B9796" i="2"/>
  <c r="B9800" i="2"/>
  <c r="B9777" i="2"/>
  <c r="B9806" i="2"/>
  <c r="B9776" i="2"/>
  <c r="J227" i="1"/>
  <c r="I227" i="1"/>
  <c r="I228" i="1"/>
  <c r="M228" i="1"/>
  <c r="A234" i="1"/>
  <c r="F230" i="1" l="1"/>
  <c r="J230" i="1" s="1"/>
  <c r="G230" i="1"/>
  <c r="K230" i="1" s="1"/>
  <c r="C9902" i="2"/>
  <c r="B9904" i="2" s="1"/>
  <c r="B9933" i="2" s="1"/>
  <c r="I229" i="1"/>
  <c r="M229" i="1"/>
  <c r="B9874" i="2"/>
  <c r="B9877" i="2"/>
  <c r="B9870" i="2"/>
  <c r="B9889" i="2"/>
  <c r="B9872" i="2"/>
  <c r="G9859" i="2"/>
  <c r="B9878" i="2"/>
  <c r="B9897" i="2"/>
  <c r="B9900" i="2"/>
  <c r="B9863" i="2"/>
  <c r="B9879" i="2"/>
  <c r="B9891" i="2"/>
  <c r="B9876" i="2"/>
  <c r="B9895" i="2"/>
  <c r="B9890" i="2"/>
  <c r="B9867" i="2"/>
  <c r="B9885" i="2"/>
  <c r="B9893" i="2"/>
  <c r="B9868" i="2"/>
  <c r="B9887" i="2"/>
  <c r="B9898" i="2"/>
  <c r="B9888" i="2"/>
  <c r="B9880" i="2"/>
  <c r="B9886" i="2"/>
  <c r="B9896" i="2"/>
  <c r="B9882" i="2"/>
  <c r="B9883" i="2"/>
  <c r="B9873" i="2"/>
  <c r="B9864" i="2"/>
  <c r="B9894" i="2"/>
  <c r="B9869" i="2"/>
  <c r="B9881" i="2"/>
  <c r="B9871" i="2"/>
  <c r="B9884" i="2"/>
  <c r="B9875" i="2"/>
  <c r="B9899" i="2"/>
  <c r="B9866" i="2"/>
  <c r="B9862" i="2"/>
  <c r="B9892" i="2"/>
  <c r="F231" i="1"/>
  <c r="J231" i="1" s="1"/>
  <c r="G231" i="1"/>
  <c r="K231" i="1" s="1"/>
  <c r="M227" i="1"/>
  <c r="F232" i="1"/>
  <c r="G232" i="1"/>
  <c r="K232" i="1" s="1"/>
  <c r="H232" i="1"/>
  <c r="L232" i="1" s="1"/>
  <c r="H231" i="1"/>
  <c r="A235" i="1"/>
  <c r="A236" i="1"/>
  <c r="A237" i="1" s="1"/>
  <c r="I230" i="1" l="1"/>
  <c r="M230" i="1"/>
  <c r="C9946" i="2"/>
  <c r="B9948" i="2" s="1"/>
  <c r="C9990" i="2"/>
  <c r="B9992" i="2" s="1"/>
  <c r="B10011" i="2" s="1"/>
  <c r="B9938" i="2"/>
  <c r="B9920" i="2"/>
  <c r="B9935" i="2"/>
  <c r="B9925" i="2"/>
  <c r="B9928" i="2"/>
  <c r="B9942" i="2"/>
  <c r="B9921" i="2"/>
  <c r="G9903" i="2"/>
  <c r="B9930" i="2"/>
  <c r="B9916" i="2"/>
  <c r="B9939" i="2"/>
  <c r="B9941" i="2"/>
  <c r="B9929" i="2"/>
  <c r="B9914" i="2"/>
  <c r="B9906" i="2"/>
  <c r="B9927" i="2"/>
  <c r="B9908" i="2"/>
  <c r="B9912" i="2"/>
  <c r="B9940" i="2"/>
  <c r="B9911" i="2"/>
  <c r="B9922" i="2"/>
  <c r="B9934" i="2"/>
  <c r="B9919" i="2"/>
  <c r="B9913" i="2"/>
  <c r="B9932" i="2"/>
  <c r="B9936" i="2"/>
  <c r="B9910" i="2"/>
  <c r="B9926" i="2"/>
  <c r="B9944" i="2"/>
  <c r="B9917" i="2"/>
  <c r="B9924" i="2"/>
  <c r="B9923" i="2"/>
  <c r="B9931" i="2"/>
  <c r="B9918" i="2"/>
  <c r="B9937" i="2"/>
  <c r="B9915" i="2"/>
  <c r="B9943" i="2"/>
  <c r="B9907" i="2"/>
  <c r="B9909" i="2"/>
  <c r="G233" i="1"/>
  <c r="K233" i="1" s="1"/>
  <c r="F233" i="1"/>
  <c r="J233" i="1" s="1"/>
  <c r="H233" i="1"/>
  <c r="L233" i="1" s="1"/>
  <c r="C10034" i="2"/>
  <c r="B10036" i="2" s="1"/>
  <c r="J232" i="1"/>
  <c r="M232" i="1" s="1"/>
  <c r="I232" i="1"/>
  <c r="I231" i="1"/>
  <c r="L231" i="1"/>
  <c r="A238" i="1"/>
  <c r="G234" i="1" l="1"/>
  <c r="K234" i="1" s="1"/>
  <c r="H234" i="1"/>
  <c r="L234" i="1" s="1"/>
  <c r="F234" i="1"/>
  <c r="J234" i="1" s="1"/>
  <c r="B10007" i="2"/>
  <c r="B10021" i="2"/>
  <c r="B10014" i="2"/>
  <c r="B10026" i="2"/>
  <c r="B10000" i="2"/>
  <c r="B9999" i="2"/>
  <c r="B10013" i="2"/>
  <c r="B10024" i="2"/>
  <c r="B10032" i="2"/>
  <c r="B10030" i="2"/>
  <c r="B10010" i="2"/>
  <c r="B10012" i="2"/>
  <c r="B10028" i="2"/>
  <c r="B10009" i="2"/>
  <c r="B10017" i="2"/>
  <c r="B10008" i="2"/>
  <c r="B10006" i="2"/>
  <c r="B10022" i="2"/>
  <c r="G9991" i="2"/>
  <c r="B9995" i="2"/>
  <c r="B10025" i="2"/>
  <c r="B10027" i="2"/>
  <c r="B9994" i="2"/>
  <c r="B10029" i="2"/>
  <c r="B10005" i="2"/>
  <c r="B10015" i="2"/>
  <c r="B10018" i="2"/>
  <c r="B10001" i="2"/>
  <c r="B10004" i="2"/>
  <c r="B10023" i="2"/>
  <c r="B10003" i="2"/>
  <c r="B9997" i="2"/>
  <c r="B9996" i="2"/>
  <c r="B10016" i="2"/>
  <c r="B9998" i="2"/>
  <c r="B10020" i="2"/>
  <c r="B10031" i="2"/>
  <c r="B10019" i="2"/>
  <c r="B10002" i="2"/>
  <c r="G9947" i="2"/>
  <c r="B9969" i="2"/>
  <c r="B9967" i="2"/>
  <c r="B9961" i="2"/>
  <c r="B9974" i="2"/>
  <c r="B9959" i="2"/>
  <c r="B9988" i="2"/>
  <c r="B9973" i="2"/>
  <c r="B9986" i="2"/>
  <c r="B9964" i="2"/>
  <c r="B9954" i="2"/>
  <c r="B9955" i="2"/>
  <c r="B9950" i="2"/>
  <c r="B9963" i="2"/>
  <c r="B9978" i="2"/>
  <c r="B9982" i="2"/>
  <c r="B9952" i="2"/>
  <c r="B9953" i="2"/>
  <c r="B9972" i="2"/>
  <c r="B9977" i="2"/>
  <c r="B9983" i="2"/>
  <c r="B9957" i="2"/>
  <c r="B9968" i="2"/>
  <c r="B9956" i="2"/>
  <c r="B9962" i="2"/>
  <c r="B9979" i="2"/>
  <c r="B9971" i="2"/>
  <c r="B9958" i="2"/>
  <c r="B9975" i="2"/>
  <c r="B9965" i="2"/>
  <c r="B9966" i="2"/>
  <c r="B9960" i="2"/>
  <c r="B9981" i="2"/>
  <c r="B9951" i="2"/>
  <c r="B9976" i="2"/>
  <c r="B9980" i="2"/>
  <c r="B9970" i="2"/>
  <c r="B9984" i="2"/>
  <c r="B9985" i="2"/>
  <c r="B9987" i="2"/>
  <c r="I233" i="1"/>
  <c r="M233" i="1"/>
  <c r="C10078" i="2"/>
  <c r="B10080" i="2" s="1"/>
  <c r="B10055" i="2"/>
  <c r="B10043" i="2"/>
  <c r="B10040" i="2"/>
  <c r="B10047" i="2"/>
  <c r="B10068" i="2"/>
  <c r="B10038" i="2"/>
  <c r="B10074" i="2"/>
  <c r="B10064" i="2"/>
  <c r="B10039" i="2"/>
  <c r="B10052" i="2"/>
  <c r="B10054" i="2"/>
  <c r="B10048" i="2"/>
  <c r="B10056" i="2"/>
  <c r="B10046" i="2"/>
  <c r="B10058" i="2"/>
  <c r="B10045" i="2"/>
  <c r="B10065" i="2"/>
  <c r="B10049" i="2"/>
  <c r="B10072" i="2"/>
  <c r="B10051" i="2"/>
  <c r="B10041" i="2"/>
  <c r="B10059" i="2"/>
  <c r="B10073" i="2"/>
  <c r="B10062" i="2"/>
  <c r="B10075" i="2"/>
  <c r="B10050" i="2"/>
  <c r="G10035" i="2"/>
  <c r="B10076" i="2"/>
  <c r="B10042" i="2"/>
  <c r="B10063" i="2"/>
  <c r="B10053" i="2"/>
  <c r="B10070" i="2"/>
  <c r="B10066" i="2"/>
  <c r="B10060" i="2"/>
  <c r="B10069" i="2"/>
  <c r="B10067" i="2"/>
  <c r="B10061" i="2"/>
  <c r="B10057" i="2"/>
  <c r="B10071" i="2"/>
  <c r="B10044" i="2"/>
  <c r="M231" i="1"/>
  <c r="A239" i="1"/>
  <c r="F38" i="1" l="1"/>
  <c r="J38" i="1" s="1"/>
  <c r="M38" i="1" s="1"/>
  <c r="G235" i="1"/>
  <c r="K235" i="1" s="1"/>
  <c r="M234" i="1"/>
  <c r="G38" i="1"/>
  <c r="K38" i="1" s="1"/>
  <c r="H235" i="1"/>
  <c r="L235" i="1" s="1"/>
  <c r="I234" i="1"/>
  <c r="H236" i="1"/>
  <c r="L236" i="1" s="1"/>
  <c r="H38" i="1"/>
  <c r="L38" i="1" s="1"/>
  <c r="F235" i="1"/>
  <c r="J235" i="1" s="1"/>
  <c r="F236" i="1"/>
  <c r="J236" i="1" s="1"/>
  <c r="G237" i="1"/>
  <c r="K237" i="1" s="1"/>
  <c r="H237" i="1"/>
  <c r="L237" i="1" s="1"/>
  <c r="C10122" i="2"/>
  <c r="B10124" i="2" s="1"/>
  <c r="F237" i="1"/>
  <c r="B10096" i="2"/>
  <c r="B10091" i="2"/>
  <c r="B10085" i="2"/>
  <c r="G10079" i="2"/>
  <c r="B10108" i="2"/>
  <c r="B10092" i="2"/>
  <c r="B10084" i="2"/>
  <c r="B10111" i="2"/>
  <c r="B10099" i="2"/>
  <c r="B10116" i="2"/>
  <c r="B10114" i="2"/>
  <c r="B10090" i="2"/>
  <c r="B10102" i="2"/>
  <c r="B10095" i="2"/>
  <c r="B10106" i="2"/>
  <c r="B10117" i="2"/>
  <c r="B10109" i="2"/>
  <c r="B10112" i="2"/>
  <c r="B10103" i="2"/>
  <c r="B10082" i="2"/>
  <c r="B10115" i="2"/>
  <c r="B10089" i="2"/>
  <c r="B10101" i="2"/>
  <c r="B10087" i="2"/>
  <c r="B10119" i="2"/>
  <c r="B10105" i="2"/>
  <c r="B10088" i="2"/>
  <c r="B10086" i="2"/>
  <c r="B10098" i="2"/>
  <c r="B10093" i="2"/>
  <c r="B10097" i="2"/>
  <c r="B10107" i="2"/>
  <c r="B10118" i="2"/>
  <c r="B10094" i="2"/>
  <c r="B10100" i="2"/>
  <c r="B10120" i="2"/>
  <c r="B10110" i="2"/>
  <c r="B10083" i="2"/>
  <c r="B10104" i="2"/>
  <c r="B10113" i="2"/>
  <c r="G236" i="1"/>
  <c r="A240" i="1"/>
  <c r="M235" i="1" l="1"/>
  <c r="I38" i="1"/>
  <c r="I235" i="1"/>
  <c r="C10166" i="2"/>
  <c r="B10168" i="2" s="1"/>
  <c r="H238" i="1"/>
  <c r="L238" i="1" s="1"/>
  <c r="F238" i="1"/>
  <c r="J238" i="1" s="1"/>
  <c r="G238" i="1"/>
  <c r="K238" i="1" s="1"/>
  <c r="B10154" i="2"/>
  <c r="B10164" i="2"/>
  <c r="B10138" i="2"/>
  <c r="B10158" i="2"/>
  <c r="B10148" i="2"/>
  <c r="G10123" i="2"/>
  <c r="B10159" i="2"/>
  <c r="B10141" i="2"/>
  <c r="B10152" i="2"/>
  <c r="B10157" i="2"/>
  <c r="B10131" i="2"/>
  <c r="B10135" i="2"/>
  <c r="B10145" i="2"/>
  <c r="B10161" i="2"/>
  <c r="B10140" i="2"/>
  <c r="B10162" i="2"/>
  <c r="B10139" i="2"/>
  <c r="B10132" i="2"/>
  <c r="B10143" i="2"/>
  <c r="B10160" i="2"/>
  <c r="B10137" i="2"/>
  <c r="B10163" i="2"/>
  <c r="B10147" i="2"/>
  <c r="B10129" i="2"/>
  <c r="B10149" i="2"/>
  <c r="B10134" i="2"/>
  <c r="B10155" i="2"/>
  <c r="B10126" i="2"/>
  <c r="B10150" i="2"/>
  <c r="B10130" i="2"/>
  <c r="B10136" i="2"/>
  <c r="B10144" i="2"/>
  <c r="B10142" i="2"/>
  <c r="B10133" i="2"/>
  <c r="B10153" i="2"/>
  <c r="B10128" i="2"/>
  <c r="B10156" i="2"/>
  <c r="B10127" i="2"/>
  <c r="B10146" i="2"/>
  <c r="B10151" i="2"/>
  <c r="I237" i="1"/>
  <c r="J237" i="1"/>
  <c r="M237" i="1" s="1"/>
  <c r="K236" i="1"/>
  <c r="M236" i="1" s="1"/>
  <c r="I236" i="1"/>
  <c r="A241" i="1"/>
  <c r="H239" i="1" l="1"/>
  <c r="L239" i="1" s="1"/>
  <c r="M238" i="1"/>
  <c r="I238" i="1"/>
  <c r="C10210" i="2"/>
  <c r="B10212" i="2" s="1"/>
  <c r="F239" i="1"/>
  <c r="G239" i="1"/>
  <c r="B10186" i="2"/>
  <c r="B10205" i="2"/>
  <c r="B10196" i="2"/>
  <c r="B10171" i="2"/>
  <c r="B10204" i="2"/>
  <c r="B10197" i="2"/>
  <c r="B10181" i="2"/>
  <c r="B10194" i="2"/>
  <c r="B10188" i="2"/>
  <c r="B10178" i="2"/>
  <c r="B10191" i="2"/>
  <c r="B10172" i="2"/>
  <c r="B10174" i="2"/>
  <c r="B10183" i="2"/>
  <c r="B10173" i="2"/>
  <c r="G10167" i="2"/>
  <c r="B10208" i="2"/>
  <c r="B10177" i="2"/>
  <c r="B10207" i="2"/>
  <c r="B10182" i="2"/>
  <c r="B10202" i="2"/>
  <c r="B10198" i="2"/>
  <c r="B10189" i="2"/>
  <c r="B10195" i="2"/>
  <c r="B10185" i="2"/>
  <c r="B10199" i="2"/>
  <c r="B10193" i="2"/>
  <c r="B10176" i="2"/>
  <c r="B10192" i="2"/>
  <c r="B10201" i="2"/>
  <c r="B10187" i="2"/>
  <c r="B10175" i="2"/>
  <c r="B10180" i="2"/>
  <c r="B10203" i="2"/>
  <c r="B10184" i="2"/>
  <c r="B10170" i="2"/>
  <c r="B10206" i="2"/>
  <c r="B10190" i="2"/>
  <c r="B10179" i="2"/>
  <c r="B10200" i="2"/>
  <c r="A242" i="1"/>
  <c r="A243" i="1"/>
  <c r="C10254" i="2" l="1"/>
  <c r="B10256" i="2" s="1"/>
  <c r="B10271" i="2" s="1"/>
  <c r="C10298" i="2"/>
  <c r="B10300" i="2" s="1"/>
  <c r="B10327" i="2" s="1"/>
  <c r="J239" i="1"/>
  <c r="I239" i="1"/>
  <c r="F240" i="1"/>
  <c r="K239" i="1"/>
  <c r="G240" i="1"/>
  <c r="K240" i="1" s="1"/>
  <c r="B10247" i="2"/>
  <c r="B10237" i="2"/>
  <c r="B10233" i="2"/>
  <c r="B10223" i="2"/>
  <c r="B10244" i="2"/>
  <c r="B10216" i="2"/>
  <c r="B10227" i="2"/>
  <c r="B10236" i="2"/>
  <c r="B10218" i="2"/>
  <c r="B10231" i="2"/>
  <c r="B10219" i="2"/>
  <c r="B10214" i="2"/>
  <c r="B10215" i="2"/>
  <c r="B10222" i="2"/>
  <c r="B10226" i="2"/>
  <c r="B10228" i="2"/>
  <c r="B10235" i="2"/>
  <c r="B10224" i="2"/>
  <c r="B10217" i="2"/>
  <c r="B10225" i="2"/>
  <c r="B10252" i="2"/>
  <c r="B10234" i="2"/>
  <c r="B10245" i="2"/>
  <c r="B10230" i="2"/>
  <c r="B10248" i="2"/>
  <c r="B10220" i="2"/>
  <c r="B10239" i="2"/>
  <c r="B10249" i="2"/>
  <c r="B10229" i="2"/>
  <c r="B10238" i="2"/>
  <c r="B10232" i="2"/>
  <c r="B10243" i="2"/>
  <c r="B10242" i="2"/>
  <c r="B10241" i="2"/>
  <c r="G10211" i="2"/>
  <c r="B10250" i="2"/>
  <c r="B10221" i="2"/>
  <c r="B10240" i="2"/>
  <c r="B10251" i="2"/>
  <c r="B10246" i="2"/>
  <c r="A244" i="1"/>
  <c r="B10293" i="2" l="1"/>
  <c r="B10283" i="2"/>
  <c r="B10282" i="2"/>
  <c r="B10292" i="2"/>
  <c r="B10287" i="2"/>
  <c r="B10284" i="2"/>
  <c r="B10286" i="2"/>
  <c r="B10260" i="2"/>
  <c r="B10295" i="2"/>
  <c r="B10291" i="2"/>
  <c r="B10280" i="2"/>
  <c r="B10279" i="2"/>
  <c r="B10272" i="2"/>
  <c r="B10263" i="2"/>
  <c r="B10261" i="2"/>
  <c r="B10276" i="2"/>
  <c r="B10278" i="2"/>
  <c r="B10268" i="2"/>
  <c r="B10270" i="2"/>
  <c r="B10266" i="2"/>
  <c r="B10285" i="2"/>
  <c r="B10259" i="2"/>
  <c r="B10294" i="2"/>
  <c r="B10264" i="2"/>
  <c r="B10281" i="2"/>
  <c r="B10274" i="2"/>
  <c r="B10262" i="2"/>
  <c r="B10290" i="2"/>
  <c r="B10258" i="2"/>
  <c r="B10273" i="2"/>
  <c r="G10255" i="2"/>
  <c r="B10288" i="2"/>
  <c r="B10267" i="2"/>
  <c r="B10277" i="2"/>
  <c r="B10265" i="2"/>
  <c r="B10296" i="2"/>
  <c r="B10289" i="2"/>
  <c r="B10275" i="2"/>
  <c r="B10269" i="2"/>
  <c r="B10339" i="2"/>
  <c r="B10322" i="2"/>
  <c r="B10323" i="2"/>
  <c r="B10306" i="2"/>
  <c r="B10337" i="2"/>
  <c r="B10335" i="2"/>
  <c r="B10329" i="2"/>
  <c r="B10331" i="2"/>
  <c r="B10326" i="2"/>
  <c r="B10324" i="2"/>
  <c r="B10320" i="2"/>
  <c r="B10333" i="2"/>
  <c r="B10338" i="2"/>
  <c r="B10303" i="2"/>
  <c r="B10313" i="2"/>
  <c r="B10310" i="2"/>
  <c r="B10305" i="2"/>
  <c r="B10334" i="2"/>
  <c r="B10307" i="2"/>
  <c r="B10340" i="2"/>
  <c r="H240" i="1" s="1"/>
  <c r="L240" i="1" s="1"/>
  <c r="B10314" i="2"/>
  <c r="B10321" i="2"/>
  <c r="B10318" i="2"/>
  <c r="B10330" i="2"/>
  <c r="B10304" i="2"/>
  <c r="B10302" i="2"/>
  <c r="B10315" i="2"/>
  <c r="B10311" i="2"/>
  <c r="B10325" i="2"/>
  <c r="B10332" i="2"/>
  <c r="G10299" i="2"/>
  <c r="B10312" i="2"/>
  <c r="B10336" i="2"/>
  <c r="B10319" i="2"/>
  <c r="B10316" i="2"/>
  <c r="B10308" i="2"/>
  <c r="B10328" i="2"/>
  <c r="B10317" i="2"/>
  <c r="B10309" i="2"/>
  <c r="C10342" i="2"/>
  <c r="B10344" i="2" s="1"/>
  <c r="G241" i="1"/>
  <c r="K241" i="1" s="1"/>
  <c r="H241" i="1"/>
  <c r="L241" i="1" s="1"/>
  <c r="G242" i="1"/>
  <c r="K242" i="1" s="1"/>
  <c r="J240" i="1"/>
  <c r="H242" i="1"/>
  <c r="L242" i="1" s="1"/>
  <c r="F241" i="1"/>
  <c r="M239" i="1"/>
  <c r="A245" i="1"/>
  <c r="F242" i="1" l="1"/>
  <c r="I242" i="1" s="1"/>
  <c r="G243" i="1"/>
  <c r="K243" i="1" s="1"/>
  <c r="F243" i="1"/>
  <c r="J243" i="1" s="1"/>
  <c r="H243" i="1"/>
  <c r="L243" i="1" s="1"/>
  <c r="I240" i="1"/>
  <c r="C10386" i="2"/>
  <c r="B10388" i="2" s="1"/>
  <c r="B10384" i="2"/>
  <c r="B10380" i="2"/>
  <c r="B10362" i="2"/>
  <c r="B10360" i="2"/>
  <c r="B10346" i="2"/>
  <c r="B10373" i="2"/>
  <c r="B10376" i="2"/>
  <c r="B10354" i="2"/>
  <c r="B10352" i="2"/>
  <c r="G10343" i="2"/>
  <c r="B10377" i="2"/>
  <c r="B10364" i="2"/>
  <c r="B10370" i="2"/>
  <c r="B10382" i="2"/>
  <c r="B10348" i="2"/>
  <c r="B10365" i="2"/>
  <c r="B10356" i="2"/>
  <c r="B10363" i="2"/>
  <c r="B10375" i="2"/>
  <c r="B10378" i="2"/>
  <c r="B10357" i="2"/>
  <c r="B10379" i="2"/>
  <c r="B10355" i="2"/>
  <c r="B10372" i="2"/>
  <c r="B10371" i="2"/>
  <c r="B10349" i="2"/>
  <c r="B10367" i="2"/>
  <c r="B10347" i="2"/>
  <c r="B10368" i="2"/>
  <c r="B10366" i="2"/>
  <c r="B10374" i="2"/>
  <c r="B10359" i="2"/>
  <c r="B10381" i="2"/>
  <c r="B10361" i="2"/>
  <c r="B10358" i="2"/>
  <c r="B10351" i="2"/>
  <c r="B10383" i="2"/>
  <c r="B10369" i="2"/>
  <c r="B10353" i="2"/>
  <c r="B10350" i="2"/>
  <c r="J241" i="1"/>
  <c r="I241" i="1"/>
  <c r="M240" i="1"/>
  <c r="A246" i="1"/>
  <c r="J242" i="1" l="1"/>
  <c r="M242" i="1" s="1"/>
  <c r="M243" i="1"/>
  <c r="I243" i="1"/>
  <c r="C10430" i="2"/>
  <c r="B10432" i="2" s="1"/>
  <c r="G244" i="1"/>
  <c r="H244" i="1"/>
  <c r="F244" i="1"/>
  <c r="B10417" i="2"/>
  <c r="B10399" i="2"/>
  <c r="B10423" i="2"/>
  <c r="B10405" i="2"/>
  <c r="B10402" i="2"/>
  <c r="B10408" i="2"/>
  <c r="B10391" i="2"/>
  <c r="B10411" i="2"/>
  <c r="B10397" i="2"/>
  <c r="B10390" i="2"/>
  <c r="B10421" i="2"/>
  <c r="B10400" i="2"/>
  <c r="B10425" i="2"/>
  <c r="B10403" i="2"/>
  <c r="B10404" i="2"/>
  <c r="B10409" i="2"/>
  <c r="B10427" i="2"/>
  <c r="B10418" i="2"/>
  <c r="B10395" i="2"/>
  <c r="B10396" i="2"/>
  <c r="B10401" i="2"/>
  <c r="B10424" i="2"/>
  <c r="B10413" i="2"/>
  <c r="B10426" i="2"/>
  <c r="B10392" i="2"/>
  <c r="B10393" i="2"/>
  <c r="B10420" i="2"/>
  <c r="B10406" i="2"/>
  <c r="B10419" i="2"/>
  <c r="B10422" i="2"/>
  <c r="G10387" i="2"/>
  <c r="B10414" i="2"/>
  <c r="B10398" i="2"/>
  <c r="B10416" i="2"/>
  <c r="B10415" i="2"/>
  <c r="B10428" i="2"/>
  <c r="B10407" i="2"/>
  <c r="B10394" i="2"/>
  <c r="B10412" i="2"/>
  <c r="B10410" i="2"/>
  <c r="M241" i="1"/>
  <c r="A247" i="1"/>
  <c r="C10474" i="2" l="1"/>
  <c r="B10476" i="2" s="1"/>
  <c r="H245" i="1"/>
  <c r="L245" i="1" s="1"/>
  <c r="B10461" i="2"/>
  <c r="B10458" i="2"/>
  <c r="B10438" i="2"/>
  <c r="B10448" i="2"/>
  <c r="B10434" i="2"/>
  <c r="B10452" i="2"/>
  <c r="B10451" i="2"/>
  <c r="B10447" i="2"/>
  <c r="B10440" i="2"/>
  <c r="B10469" i="2"/>
  <c r="B10465" i="2"/>
  <c r="B10444" i="2"/>
  <c r="B10443" i="2"/>
  <c r="B10470" i="2"/>
  <c r="B10436" i="2"/>
  <c r="B10453" i="2"/>
  <c r="G10431" i="2"/>
  <c r="B10435" i="2"/>
  <c r="B10463" i="2"/>
  <c r="B10455" i="2"/>
  <c r="B10445" i="2"/>
  <c r="B10439" i="2"/>
  <c r="B10467" i="2"/>
  <c r="B10460" i="2"/>
  <c r="B10466" i="2"/>
  <c r="B10437" i="2"/>
  <c r="B10471" i="2"/>
  <c r="B10457" i="2"/>
  <c r="B10456" i="2"/>
  <c r="B10459" i="2"/>
  <c r="B10462" i="2"/>
  <c r="B10468" i="2"/>
  <c r="B10450" i="2"/>
  <c r="B10449" i="2"/>
  <c r="B10454" i="2"/>
  <c r="B10472" i="2"/>
  <c r="B10464" i="2"/>
  <c r="B10442" i="2"/>
  <c r="B10441" i="2"/>
  <c r="B10446" i="2"/>
  <c r="J244" i="1"/>
  <c r="I244" i="1"/>
  <c r="L244" i="1"/>
  <c r="F245" i="1"/>
  <c r="K244" i="1"/>
  <c r="G245" i="1"/>
  <c r="K245" i="1" s="1"/>
  <c r="A248" i="1"/>
  <c r="M244" i="1" l="1"/>
  <c r="G246" i="1"/>
  <c r="K246" i="1" s="1"/>
  <c r="F246" i="1"/>
  <c r="H246" i="1"/>
  <c r="J245" i="1"/>
  <c r="M245" i="1" s="1"/>
  <c r="I245" i="1"/>
  <c r="B10496" i="2"/>
  <c r="B10487" i="2"/>
  <c r="B10500" i="2"/>
  <c r="B10506" i="2"/>
  <c r="B10482" i="2"/>
  <c r="B10488" i="2"/>
  <c r="B10479" i="2"/>
  <c r="B10493" i="2"/>
  <c r="B10499" i="2"/>
  <c r="B10478" i="2"/>
  <c r="B10509" i="2"/>
  <c r="G10475" i="2"/>
  <c r="B10501" i="2"/>
  <c r="B10485" i="2"/>
  <c r="B10491" i="2"/>
  <c r="B10497" i="2"/>
  <c r="B10515" i="2"/>
  <c r="B10494" i="2"/>
  <c r="B10492" i="2"/>
  <c r="B10483" i="2"/>
  <c r="B10489" i="2"/>
  <c r="B10512" i="2"/>
  <c r="B10486" i="2"/>
  <c r="B10484" i="2"/>
  <c r="B10510" i="2"/>
  <c r="B10481" i="2"/>
  <c r="B10508" i="2"/>
  <c r="B10514" i="2"/>
  <c r="B10480" i="2"/>
  <c r="B10503" i="2"/>
  <c r="B10516" i="2"/>
  <c r="B10502" i="2"/>
  <c r="B10507" i="2"/>
  <c r="B10513" i="2"/>
  <c r="B10498" i="2"/>
  <c r="B10505" i="2"/>
  <c r="B10495" i="2"/>
  <c r="B10504" i="2"/>
  <c r="B10511" i="2"/>
  <c r="B10490" i="2"/>
  <c r="A249" i="1"/>
  <c r="G247" i="1" l="1"/>
  <c r="H247" i="1"/>
  <c r="L247" i="1" s="1"/>
  <c r="F247" i="1"/>
  <c r="L246" i="1"/>
  <c r="I246" i="1"/>
  <c r="J246" i="1"/>
  <c r="A250" i="1"/>
  <c r="M246" i="1" l="1"/>
  <c r="I247" i="1"/>
  <c r="J247" i="1"/>
  <c r="K247" i="1"/>
  <c r="A251" i="1"/>
  <c r="M247" i="1" l="1"/>
  <c r="A252" i="1"/>
  <c r="A253" i="1"/>
  <c r="A254" i="1"/>
  <c r="C10738" i="2" l="1"/>
  <c r="B10740" i="2" s="1"/>
  <c r="C10606" i="2"/>
  <c r="B10608" i="2" s="1"/>
  <c r="C10782" i="2"/>
  <c r="B10784" i="2" s="1"/>
  <c r="C10562" i="2"/>
  <c r="B10564" i="2" s="1"/>
  <c r="C10518" i="2"/>
  <c r="B10520" i="2" s="1"/>
  <c r="C10650" i="2"/>
  <c r="B10652" i="2" s="1"/>
  <c r="C10694" i="2"/>
  <c r="B10696" i="2" s="1"/>
  <c r="A255" i="1"/>
  <c r="A256" i="1"/>
  <c r="A257" i="1" s="1"/>
  <c r="A258" i="1" s="1"/>
  <c r="A259" i="1" s="1"/>
  <c r="A260" i="1" s="1"/>
  <c r="A261" i="1" s="1"/>
  <c r="A262" i="1" s="1"/>
  <c r="A263" i="1" s="1"/>
  <c r="A264" i="1" s="1"/>
  <c r="C11222" i="2" l="1"/>
  <c r="B11224" i="2" s="1"/>
  <c r="B11230" i="2" s="1"/>
  <c r="C11046" i="2"/>
  <c r="B11048" i="2" s="1"/>
  <c r="B11062" i="2" s="1"/>
  <c r="C10826" i="2"/>
  <c r="B10828" i="2" s="1"/>
  <c r="B10830" i="2" s="1"/>
  <c r="C11134" i="2"/>
  <c r="B11136" i="2" s="1"/>
  <c r="B11175" i="2" s="1"/>
  <c r="C11090" i="2"/>
  <c r="B11092" i="2" s="1"/>
  <c r="B11100" i="2" s="1"/>
  <c r="C10958" i="2"/>
  <c r="B10960" i="2" s="1"/>
  <c r="B10999" i="2" s="1"/>
  <c r="C10870" i="2"/>
  <c r="B10872" i="2" s="1"/>
  <c r="B10908" i="2" s="1"/>
  <c r="C11178" i="2"/>
  <c r="B11180" i="2" s="1"/>
  <c r="B11186" i="2" s="1"/>
  <c r="C11002" i="2"/>
  <c r="B11004" i="2" s="1"/>
  <c r="B11040" i="2" s="1"/>
  <c r="C10914" i="2"/>
  <c r="B10916" i="2" s="1"/>
  <c r="B10927" i="2" s="1"/>
  <c r="B10593" i="2"/>
  <c r="B10583" i="2"/>
  <c r="B10592" i="2"/>
  <c r="B10599" i="2"/>
  <c r="B10578" i="2"/>
  <c r="B10584" i="2"/>
  <c r="B10575" i="2"/>
  <c r="B10588" i="2"/>
  <c r="B10594" i="2"/>
  <c r="B10566" i="2"/>
  <c r="B10597" i="2"/>
  <c r="B10576" i="2"/>
  <c r="B10589" i="2"/>
  <c r="B10581" i="2"/>
  <c r="B10587" i="2"/>
  <c r="B10585" i="2"/>
  <c r="G10563" i="2"/>
  <c r="B10582" i="2"/>
  <c r="B10573" i="2"/>
  <c r="B10579" i="2"/>
  <c r="B10577" i="2"/>
  <c r="B10603" i="2"/>
  <c r="B10574" i="2"/>
  <c r="B10580" i="2"/>
  <c r="B10571" i="2"/>
  <c r="B10569" i="2"/>
  <c r="B10600" i="2"/>
  <c r="B10570" i="2"/>
  <c r="B10572" i="2"/>
  <c r="B10598" i="2"/>
  <c r="B10567" i="2"/>
  <c r="B10596" i="2"/>
  <c r="B10602" i="2"/>
  <c r="B10568" i="2"/>
  <c r="B10591" i="2"/>
  <c r="B10604" i="2"/>
  <c r="B10590" i="2"/>
  <c r="B10595" i="2"/>
  <c r="B10601" i="2"/>
  <c r="B10586" i="2"/>
  <c r="B10814" i="2"/>
  <c r="B10803" i="2"/>
  <c r="B10808" i="2"/>
  <c r="B10807" i="2"/>
  <c r="B10786" i="2"/>
  <c r="B10802" i="2"/>
  <c r="B10791" i="2"/>
  <c r="B10824" i="2"/>
  <c r="B10798" i="2"/>
  <c r="B10817" i="2"/>
  <c r="B10793" i="2"/>
  <c r="B10810" i="2"/>
  <c r="B10822" i="2"/>
  <c r="B10813" i="2"/>
  <c r="G10783" i="2"/>
  <c r="B10799" i="2"/>
  <c r="B10806" i="2"/>
  <c r="B10788" i="2"/>
  <c r="B10809" i="2"/>
  <c r="B10815" i="2"/>
  <c r="B10789" i="2"/>
  <c r="B10811" i="2"/>
  <c r="B10801" i="2"/>
  <c r="B10797" i="2"/>
  <c r="B10816" i="2"/>
  <c r="B10804" i="2"/>
  <c r="B10821" i="2"/>
  <c r="B10820" i="2"/>
  <c r="B10790" i="2"/>
  <c r="B10795" i="2"/>
  <c r="B10796" i="2"/>
  <c r="B10805" i="2"/>
  <c r="B10794" i="2"/>
  <c r="B10792" i="2"/>
  <c r="B10812" i="2"/>
  <c r="B10787" i="2"/>
  <c r="B10823" i="2"/>
  <c r="B10800" i="2"/>
  <c r="B10818" i="2"/>
  <c r="B10819" i="2"/>
  <c r="B10708" i="2"/>
  <c r="B10730" i="2"/>
  <c r="B10726" i="2"/>
  <c r="B10703" i="2"/>
  <c r="B10704" i="2"/>
  <c r="B10699" i="2"/>
  <c r="B10709" i="2"/>
  <c r="B10712" i="2"/>
  <c r="B10728" i="2"/>
  <c r="B10698" i="2"/>
  <c r="B10716" i="2"/>
  <c r="B10724" i="2"/>
  <c r="B10735" i="2"/>
  <c r="B10702" i="2"/>
  <c r="B10706" i="2"/>
  <c r="B10707" i="2"/>
  <c r="B10731" i="2"/>
  <c r="B10721" i="2"/>
  <c r="B10701" i="2"/>
  <c r="B10733" i="2"/>
  <c r="B10727" i="2"/>
  <c r="B10717" i="2"/>
  <c r="B10713" i="2"/>
  <c r="B10732" i="2"/>
  <c r="B10710" i="2"/>
  <c r="B10700" i="2"/>
  <c r="G10695" i="2"/>
  <c r="B10723" i="2"/>
  <c r="B10714" i="2"/>
  <c r="B10725" i="2"/>
  <c r="B10711" i="2"/>
  <c r="B10719" i="2"/>
  <c r="B10736" i="2"/>
  <c r="B10705" i="2"/>
  <c r="B10715" i="2"/>
  <c r="B10729" i="2"/>
  <c r="B10720" i="2"/>
  <c r="B10722" i="2"/>
  <c r="B10718" i="2"/>
  <c r="B10734" i="2"/>
  <c r="B11108" i="2"/>
  <c r="B10672" i="2"/>
  <c r="B10663" i="2"/>
  <c r="B10680" i="2"/>
  <c r="B10687" i="2"/>
  <c r="B10666" i="2"/>
  <c r="B10664" i="2"/>
  <c r="B10659" i="2"/>
  <c r="B10676" i="2"/>
  <c r="B10682" i="2"/>
  <c r="B10658" i="2"/>
  <c r="B10685" i="2"/>
  <c r="B10656" i="2"/>
  <c r="B10677" i="2"/>
  <c r="B10669" i="2"/>
  <c r="B10675" i="2"/>
  <c r="B10673" i="2"/>
  <c r="B10691" i="2"/>
  <c r="B10670" i="2"/>
  <c r="B10657" i="2"/>
  <c r="B10667" i="2"/>
  <c r="B10665" i="2"/>
  <c r="B10688" i="2"/>
  <c r="B10662" i="2"/>
  <c r="B10668" i="2"/>
  <c r="B10655" i="2"/>
  <c r="B10661" i="2"/>
  <c r="B10684" i="2"/>
  <c r="B10654" i="2"/>
  <c r="B10660" i="2"/>
  <c r="B10686" i="2"/>
  <c r="B10692" i="2"/>
  <c r="B10678" i="2"/>
  <c r="B10690" i="2"/>
  <c r="G10651" i="2"/>
  <c r="B10679" i="2"/>
  <c r="B10681" i="2"/>
  <c r="B10671" i="2"/>
  <c r="B10683" i="2"/>
  <c r="B10689" i="2"/>
  <c r="B10674" i="2"/>
  <c r="B10620" i="2"/>
  <c r="B10638" i="2"/>
  <c r="B10633" i="2"/>
  <c r="B10637" i="2"/>
  <c r="B10645" i="2"/>
  <c r="B10619" i="2"/>
  <c r="B10621" i="2"/>
  <c r="B10625" i="2"/>
  <c r="B10634" i="2"/>
  <c r="B10622" i="2"/>
  <c r="B10628" i="2"/>
  <c r="B10639" i="2"/>
  <c r="B10615" i="2"/>
  <c r="B10635" i="2"/>
  <c r="B10643" i="2"/>
  <c r="B10627" i="2"/>
  <c r="B10612" i="2"/>
  <c r="B10631" i="2"/>
  <c r="B10623" i="2"/>
  <c r="B10624" i="2"/>
  <c r="B10646" i="2"/>
  <c r="B10629" i="2"/>
  <c r="B10632" i="2"/>
  <c r="B10644" i="2"/>
  <c r="B10614" i="2"/>
  <c r="B10616" i="2"/>
  <c r="G10607" i="2"/>
  <c r="B10642" i="2"/>
  <c r="B10626" i="2"/>
  <c r="B10648" i="2"/>
  <c r="B10610" i="2"/>
  <c r="B10611" i="2"/>
  <c r="B10613" i="2"/>
  <c r="B10617" i="2"/>
  <c r="B10640" i="2"/>
  <c r="B10641" i="2"/>
  <c r="B10636" i="2"/>
  <c r="B10647" i="2"/>
  <c r="B10630" i="2"/>
  <c r="B10618" i="2"/>
  <c r="B10549" i="2"/>
  <c r="B10546" i="2"/>
  <c r="B10550" i="2"/>
  <c r="B10528" i="2"/>
  <c r="B10522" i="2"/>
  <c r="B10540" i="2"/>
  <c r="B10539" i="2"/>
  <c r="B10558" i="2"/>
  <c r="B10524" i="2"/>
  <c r="B10535" i="2"/>
  <c r="B10553" i="2"/>
  <c r="B10532" i="2"/>
  <c r="B10531" i="2"/>
  <c r="B10551" i="2"/>
  <c r="B10557" i="2"/>
  <c r="B10541" i="2"/>
  <c r="G10519" i="2"/>
  <c r="B10523" i="2"/>
  <c r="B10548" i="2"/>
  <c r="B10554" i="2"/>
  <c r="B10533" i="2"/>
  <c r="B10543" i="2"/>
  <c r="B10555" i="2"/>
  <c r="B10544" i="2"/>
  <c r="B10547" i="2"/>
  <c r="B10525" i="2"/>
  <c r="B10559" i="2"/>
  <c r="B10545" i="2"/>
  <c r="B10537" i="2"/>
  <c r="B10542" i="2"/>
  <c r="B10527" i="2"/>
  <c r="B10556" i="2"/>
  <c r="B10538" i="2"/>
  <c r="B10529" i="2"/>
  <c r="B10534" i="2"/>
  <c r="B10560" i="2"/>
  <c r="B10552" i="2"/>
  <c r="B10530" i="2"/>
  <c r="B10536" i="2"/>
  <c r="B10526" i="2"/>
  <c r="B10752" i="2"/>
  <c r="B10777" i="2"/>
  <c r="B10758" i="2"/>
  <c r="B10759" i="2"/>
  <c r="B10763" i="2"/>
  <c r="B10743" i="2"/>
  <c r="B10753" i="2"/>
  <c r="B10757" i="2"/>
  <c r="B10742" i="2"/>
  <c r="B10756" i="2"/>
  <c r="B10760" i="2"/>
  <c r="B10771" i="2"/>
  <c r="B10779" i="2"/>
  <c r="B10767" i="2"/>
  <c r="B10780" i="2"/>
  <c r="B10751" i="2"/>
  <c r="B10744" i="2"/>
  <c r="B10765" i="2"/>
  <c r="B10755" i="2"/>
  <c r="B10766" i="2"/>
  <c r="B10778" i="2"/>
  <c r="B10761" i="2"/>
  <c r="B10764" i="2"/>
  <c r="B10772" i="2"/>
  <c r="B10746" i="2"/>
  <c r="B10748" i="2"/>
  <c r="G10739" i="2"/>
  <c r="B10774" i="2"/>
  <c r="B10750" i="2"/>
  <c r="B10747" i="2"/>
  <c r="B10775" i="2"/>
  <c r="B10770" i="2"/>
  <c r="B10745" i="2"/>
  <c r="B10749" i="2"/>
  <c r="B10754" i="2"/>
  <c r="B10773" i="2"/>
  <c r="B10768" i="2"/>
  <c r="B10776" i="2"/>
  <c r="B10762" i="2"/>
  <c r="B10769" i="2"/>
  <c r="A265" i="1"/>
  <c r="A266" i="1"/>
  <c r="A267" i="1" s="1"/>
  <c r="A268" i="1" s="1"/>
  <c r="A269" i="1" s="1"/>
  <c r="A270" i="1" s="1"/>
  <c r="B11246" i="2" l="1"/>
  <c r="B11249" i="2"/>
  <c r="B11244" i="2"/>
  <c r="B11252" i="2"/>
  <c r="B11238" i="2"/>
  <c r="B11233" i="2"/>
  <c r="B11251" i="2"/>
  <c r="B11257" i="2"/>
  <c r="B11262" i="2"/>
  <c r="B11228" i="2"/>
  <c r="B11263" i="2"/>
  <c r="B11102" i="2"/>
  <c r="B11127" i="2"/>
  <c r="B11139" i="2"/>
  <c r="G11135" i="2"/>
  <c r="B11247" i="2"/>
  <c r="B11241" i="2"/>
  <c r="B11122" i="2"/>
  <c r="B11236" i="2"/>
  <c r="B11264" i="2"/>
  <c r="B11132" i="2"/>
  <c r="B11231" i="2"/>
  <c r="B11250" i="2"/>
  <c r="B11103" i="2"/>
  <c r="B11119" i="2"/>
  <c r="B11234" i="2"/>
  <c r="B11232" i="2"/>
  <c r="B11101" i="2"/>
  <c r="B11248" i="2"/>
  <c r="B11237" i="2"/>
  <c r="B11243" i="2"/>
  <c r="B11260" i="2"/>
  <c r="B11110" i="2"/>
  <c r="B11235" i="2"/>
  <c r="G11223" i="2"/>
  <c r="B11253" i="2"/>
  <c r="B11124" i="2"/>
  <c r="G11091" i="2"/>
  <c r="B11141" i="2"/>
  <c r="B11111" i="2"/>
  <c r="B11129" i="2"/>
  <c r="B11104" i="2"/>
  <c r="B11097" i="2"/>
  <c r="B11150" i="2"/>
  <c r="B11172" i="2"/>
  <c r="B11154" i="2"/>
  <c r="B11174" i="2"/>
  <c r="B11166" i="2"/>
  <c r="B11152" i="2"/>
  <c r="B11167" i="2"/>
  <c r="B11155" i="2"/>
  <c r="B11151" i="2"/>
  <c r="B11142" i="2"/>
  <c r="B11254" i="2"/>
  <c r="B11240" i="2"/>
  <c r="B11227" i="2"/>
  <c r="B11256" i="2"/>
  <c r="B11160" i="2"/>
  <c r="B11156" i="2"/>
  <c r="B11161" i="2"/>
  <c r="B11169" i="2"/>
  <c r="B11138" i="2"/>
  <c r="B11143" i="2"/>
  <c r="B11158" i="2"/>
  <c r="B11149" i="2"/>
  <c r="B11163" i="2"/>
  <c r="B11165" i="2"/>
  <c r="B11171" i="2"/>
  <c r="B11153" i="2"/>
  <c r="B11148" i="2"/>
  <c r="B11145" i="2"/>
  <c r="B11146" i="2"/>
  <c r="B11164" i="2"/>
  <c r="B11157" i="2"/>
  <c r="B11159" i="2"/>
  <c r="B11216" i="2"/>
  <c r="B11185" i="2"/>
  <c r="B11261" i="2"/>
  <c r="B11258" i="2"/>
  <c r="B11245" i="2"/>
  <c r="B11255" i="2"/>
  <c r="B11229" i="2"/>
  <c r="B11170" i="2"/>
  <c r="B11144" i="2"/>
  <c r="B11162" i="2"/>
  <c r="B11140" i="2"/>
  <c r="B11128" i="2"/>
  <c r="B11130" i="2"/>
  <c r="B11214" i="2"/>
  <c r="B11191" i="2"/>
  <c r="B11196" i="2"/>
  <c r="B11205" i="2"/>
  <c r="B11201" i="2"/>
  <c r="B11217" i="2"/>
  <c r="B11194" i="2"/>
  <c r="B11200" i="2"/>
  <c r="B11215" i="2"/>
  <c r="B11204" i="2"/>
  <c r="B11211" i="2"/>
  <c r="B11226" i="2"/>
  <c r="B11242" i="2"/>
  <c r="B11239" i="2"/>
  <c r="B11259" i="2"/>
  <c r="B11109" i="2"/>
  <c r="B11123" i="2"/>
  <c r="B11115" i="2"/>
  <c r="B11202" i="2"/>
  <c r="G11179" i="2"/>
  <c r="B11168" i="2"/>
  <c r="B11176" i="2"/>
  <c r="B11147" i="2"/>
  <c r="B11173" i="2"/>
  <c r="B11099" i="2"/>
  <c r="B11096" i="2"/>
  <c r="B11126" i="2"/>
  <c r="B11203" i="2"/>
  <c r="B11219" i="2"/>
  <c r="B11209" i="2"/>
  <c r="B11212" i="2"/>
  <c r="B11193" i="2"/>
  <c r="B11207" i="2"/>
  <c r="B11210" i="2"/>
  <c r="B11218" i="2"/>
  <c r="B11187" i="2"/>
  <c r="B11188" i="2"/>
  <c r="B11184" i="2"/>
  <c r="B11199" i="2"/>
  <c r="B11220" i="2"/>
  <c r="B11198" i="2"/>
  <c r="B11195" i="2"/>
  <c r="B11206" i="2"/>
  <c r="B11208" i="2"/>
  <c r="B11197" i="2"/>
  <c r="B11182" i="2"/>
  <c r="B11183" i="2"/>
  <c r="B11192" i="2"/>
  <c r="B11190" i="2"/>
  <c r="B11189" i="2"/>
  <c r="B11213" i="2"/>
  <c r="B11028" i="2"/>
  <c r="B11035" i="2"/>
  <c r="B11069" i="2"/>
  <c r="B10863" i="2"/>
  <c r="B10949" i="2"/>
  <c r="B10997" i="2"/>
  <c r="B11026" i="2"/>
  <c r="B11009" i="2"/>
  <c r="B11057" i="2"/>
  <c r="B10852" i="2"/>
  <c r="B10936" i="2"/>
  <c r="B11105" i="2"/>
  <c r="B11094" i="2"/>
  <c r="B11118" i="2"/>
  <c r="B11117" i="2"/>
  <c r="B10965" i="2"/>
  <c r="B11025" i="2"/>
  <c r="B10846" i="2"/>
  <c r="B10966" i="2"/>
  <c r="B11039" i="2"/>
  <c r="B11052" i="2"/>
  <c r="B11023" i="2"/>
  <c r="B11058" i="2"/>
  <c r="B11053" i="2"/>
  <c r="B10840" i="2"/>
  <c r="B10946" i="2"/>
  <c r="B10904" i="2"/>
  <c r="B11020" i="2"/>
  <c r="B11087" i="2"/>
  <c r="B10857" i="2"/>
  <c r="B10836" i="2"/>
  <c r="B10950" i="2"/>
  <c r="B10910" i="2"/>
  <c r="B11076" i="2"/>
  <c r="B10952" i="2"/>
  <c r="B10930" i="2"/>
  <c r="B10877" i="2"/>
  <c r="B10837" i="2"/>
  <c r="B10919" i="2"/>
  <c r="B10985" i="2"/>
  <c r="B11066" i="2"/>
  <c r="B10849" i="2"/>
  <c r="B10942" i="2"/>
  <c r="B10883" i="2"/>
  <c r="B11038" i="2"/>
  <c r="B11064" i="2"/>
  <c r="G11003" i="2"/>
  <c r="B11083" i="2"/>
  <c r="B10866" i="2"/>
  <c r="B10845" i="2"/>
  <c r="B10926" i="2"/>
  <c r="B11116" i="2"/>
  <c r="B11098" i="2"/>
  <c r="B11112" i="2"/>
  <c r="B10963" i="2"/>
  <c r="B10907" i="2"/>
  <c r="B11044" i="2"/>
  <c r="B11027" i="2"/>
  <c r="B11022" i="2"/>
  <c r="B11019" i="2"/>
  <c r="B11030" i="2"/>
  <c r="B11082" i="2"/>
  <c r="B11050" i="2"/>
  <c r="B11051" i="2"/>
  <c r="B11056" i="2"/>
  <c r="B11084" i="2"/>
  <c r="B10862" i="2"/>
  <c r="B10861" i="2"/>
  <c r="B10855" i="2"/>
  <c r="B10842" i="2"/>
  <c r="B10867" i="2"/>
  <c r="B10941" i="2"/>
  <c r="B10956" i="2"/>
  <c r="B10955" i="2"/>
  <c r="B10948" i="2"/>
  <c r="B10953" i="2"/>
  <c r="B10988" i="2"/>
  <c r="B10971" i="2"/>
  <c r="B10996" i="2"/>
  <c r="B10973" i="2"/>
  <c r="B10992" i="2"/>
  <c r="B10897" i="2"/>
  <c r="B10874" i="2"/>
  <c r="B10896" i="2"/>
  <c r="B10906" i="2"/>
  <c r="B10898" i="2"/>
  <c r="B11032" i="2"/>
  <c r="B11036" i="2"/>
  <c r="B11043" i="2"/>
  <c r="B11021" i="2"/>
  <c r="B11033" i="2"/>
  <c r="B11073" i="2"/>
  <c r="B11068" i="2"/>
  <c r="G11047" i="2"/>
  <c r="B11086" i="2"/>
  <c r="B11088" i="2"/>
  <c r="B10843" i="2"/>
  <c r="B10834" i="2"/>
  <c r="B10853" i="2"/>
  <c r="B10865" i="2"/>
  <c r="B10851" i="2"/>
  <c r="B10947" i="2"/>
  <c r="G10915" i="2"/>
  <c r="B10944" i="2"/>
  <c r="B10925" i="2"/>
  <c r="B10928" i="2"/>
  <c r="B11121" i="2"/>
  <c r="B11131" i="2"/>
  <c r="B11113" i="2"/>
  <c r="B11120" i="2"/>
  <c r="B11125" i="2"/>
  <c r="B10989" i="2"/>
  <c r="B10982" i="2"/>
  <c r="B10987" i="2"/>
  <c r="B10964" i="2"/>
  <c r="B11000" i="2"/>
  <c r="B10892" i="2"/>
  <c r="B10881" i="2"/>
  <c r="G10871" i="2"/>
  <c r="B10888" i="2"/>
  <c r="B10901" i="2"/>
  <c r="B10995" i="2"/>
  <c r="B10998" i="2"/>
  <c r="B10893" i="2"/>
  <c r="B10903" i="2"/>
  <c r="B11017" i="2"/>
  <c r="B11065" i="2"/>
  <c r="B11067" i="2"/>
  <c r="B10860" i="2"/>
  <c r="B10833" i="2"/>
  <c r="B10847" i="2"/>
  <c r="B10921" i="2"/>
  <c r="B10951" i="2"/>
  <c r="B10983" i="2"/>
  <c r="B10984" i="2"/>
  <c r="B10891" i="2"/>
  <c r="B10899" i="2"/>
  <c r="B11042" i="2"/>
  <c r="B11008" i="2"/>
  <c r="B11077" i="2"/>
  <c r="B11060" i="2"/>
  <c r="B10844" i="2"/>
  <c r="B10838" i="2"/>
  <c r="B10850" i="2"/>
  <c r="B10924" i="2"/>
  <c r="B10920" i="2"/>
  <c r="B10939" i="2"/>
  <c r="B10962" i="2"/>
  <c r="B10972" i="2"/>
  <c r="B10968" i="2"/>
  <c r="B10900" i="2"/>
  <c r="B10880" i="2"/>
  <c r="B11041" i="2"/>
  <c r="B11054" i="2"/>
  <c r="B10832" i="2"/>
  <c r="G10827" i="2"/>
  <c r="B10864" i="2"/>
  <c r="B10935" i="2"/>
  <c r="B10934" i="2"/>
  <c r="B10937" i="2"/>
  <c r="B10918" i="2"/>
  <c r="B10938" i="2"/>
  <c r="B10991" i="2"/>
  <c r="B10969" i="2"/>
  <c r="B10967" i="2"/>
  <c r="B10993" i="2"/>
  <c r="B10978" i="2"/>
  <c r="B10912" i="2"/>
  <c r="B10878" i="2"/>
  <c r="B10876" i="2"/>
  <c r="B10885" i="2"/>
  <c r="B10882" i="2"/>
  <c r="B10933" i="2"/>
  <c r="B10975" i="2"/>
  <c r="B10977" i="2"/>
  <c r="G10959" i="2"/>
  <c r="B10895" i="2"/>
  <c r="B10894" i="2"/>
  <c r="B10884" i="2"/>
  <c r="B11006" i="2"/>
  <c r="B11034" i="2"/>
  <c r="B11007" i="2"/>
  <c r="B11031" i="2"/>
  <c r="B11055" i="2"/>
  <c r="B11061" i="2"/>
  <c r="B11078" i="2"/>
  <c r="B10848" i="2"/>
  <c r="B10859" i="2"/>
  <c r="B10954" i="2"/>
  <c r="B10932" i="2"/>
  <c r="B10922" i="2"/>
  <c r="B10979" i="2"/>
  <c r="B10981" i="2"/>
  <c r="B10994" i="2"/>
  <c r="B10902" i="2"/>
  <c r="B10879" i="2"/>
  <c r="B10890" i="2"/>
  <c r="B11016" i="2"/>
  <c r="B11011" i="2"/>
  <c r="B11012" i="2"/>
  <c r="B11074" i="2"/>
  <c r="B11085" i="2"/>
  <c r="B11072" i="2"/>
  <c r="B10841" i="2"/>
  <c r="B10835" i="2"/>
  <c r="B10940" i="2"/>
  <c r="B10943" i="2"/>
  <c r="B10970" i="2"/>
  <c r="B10980" i="2"/>
  <c r="B10875" i="2"/>
  <c r="B10905" i="2"/>
  <c r="B10911" i="2"/>
  <c r="B11010" i="2"/>
  <c r="B11013" i="2"/>
  <c r="B11037" i="2"/>
  <c r="B11014" i="2"/>
  <c r="B11071" i="2"/>
  <c r="B11079" i="2"/>
  <c r="B11081" i="2"/>
  <c r="B11070" i="2"/>
  <c r="B10856" i="2"/>
  <c r="B10831" i="2"/>
  <c r="B11015" i="2"/>
  <c r="B11024" i="2"/>
  <c r="B11029" i="2"/>
  <c r="B11018" i="2"/>
  <c r="B11080" i="2"/>
  <c r="B11075" i="2"/>
  <c r="B11059" i="2"/>
  <c r="B11063" i="2"/>
  <c r="B10839" i="2"/>
  <c r="B10868" i="2"/>
  <c r="B10854" i="2"/>
  <c r="B10858" i="2"/>
  <c r="B10931" i="2"/>
  <c r="B10929" i="2"/>
  <c r="B10945" i="2"/>
  <c r="B10923" i="2"/>
  <c r="B11114" i="2"/>
  <c r="B11107" i="2"/>
  <c r="B11095" i="2"/>
  <c r="B11106" i="2"/>
  <c r="B10990" i="2"/>
  <c r="B10986" i="2"/>
  <c r="B10976" i="2"/>
  <c r="B10974" i="2"/>
  <c r="B10909" i="2"/>
  <c r="B10889" i="2"/>
  <c r="B10887" i="2"/>
  <c r="B10886" i="2"/>
  <c r="C11398" i="2"/>
  <c r="B11400" i="2" s="1"/>
  <c r="C11354" i="2"/>
  <c r="B11356" i="2" s="1"/>
  <c r="C11442" i="2"/>
  <c r="B11444" i="2" s="1"/>
  <c r="C11266" i="2"/>
  <c r="B11268" i="2" s="1"/>
  <c r="C11310" i="2"/>
  <c r="B11312" i="2" s="1"/>
  <c r="C11486" i="2"/>
  <c r="B11488" i="2" s="1"/>
  <c r="G250" i="1"/>
  <c r="K250" i="1" s="1"/>
  <c r="H251" i="1"/>
  <c r="L251" i="1" s="1"/>
  <c r="H252" i="1"/>
  <c r="L252" i="1" s="1"/>
  <c r="H253" i="1"/>
  <c r="L253" i="1" s="1"/>
  <c r="F254" i="1"/>
  <c r="H254" i="1"/>
  <c r="L254" i="1" s="1"/>
  <c r="F248" i="1"/>
  <c r="G254" i="1"/>
  <c r="K254" i="1" s="1"/>
  <c r="G253" i="1"/>
  <c r="K253" i="1" s="1"/>
  <c r="F251" i="1"/>
  <c r="H250" i="1"/>
  <c r="L250" i="1" s="1"/>
  <c r="H249" i="1"/>
  <c r="L249" i="1" s="1"/>
  <c r="F253" i="1"/>
  <c r="G248" i="1"/>
  <c r="G251" i="1"/>
  <c r="K251" i="1" s="1"/>
  <c r="H248" i="1"/>
  <c r="F249" i="1"/>
  <c r="F252" i="1"/>
  <c r="F250" i="1"/>
  <c r="G249" i="1"/>
  <c r="K249" i="1" s="1"/>
  <c r="G252" i="1"/>
  <c r="K252" i="1" s="1"/>
  <c r="A271" i="1"/>
  <c r="G261" i="1" l="1"/>
  <c r="K261" i="1" s="1"/>
  <c r="G258" i="1"/>
  <c r="K258" i="1" s="1"/>
  <c r="F256" i="1"/>
  <c r="J256" i="1" s="1"/>
  <c r="G259" i="1"/>
  <c r="K259" i="1" s="1"/>
  <c r="F261" i="1"/>
  <c r="J261" i="1" s="1"/>
  <c r="G263" i="1"/>
  <c r="K263" i="1" s="1"/>
  <c r="F262" i="1"/>
  <c r="F259" i="1"/>
  <c r="J259" i="1" s="1"/>
  <c r="G260" i="1"/>
  <c r="K260" i="1" s="1"/>
  <c r="F258" i="1"/>
  <c r="J258" i="1" s="1"/>
  <c r="F264" i="1"/>
  <c r="J264" i="1" s="1"/>
  <c r="F263" i="1"/>
  <c r="J263" i="1" s="1"/>
  <c r="G255" i="1"/>
  <c r="K255" i="1" s="1"/>
  <c r="G262" i="1"/>
  <c r="K262" i="1" s="1"/>
  <c r="H255" i="1"/>
  <c r="L255" i="1" s="1"/>
  <c r="F260" i="1"/>
  <c r="J260" i="1" s="1"/>
  <c r="F255" i="1"/>
  <c r="J255" i="1" s="1"/>
  <c r="F257" i="1"/>
  <c r="J257" i="1" s="1"/>
  <c r="H261" i="1"/>
  <c r="L261" i="1" s="1"/>
  <c r="H262" i="1"/>
  <c r="L262" i="1" s="1"/>
  <c r="H257" i="1"/>
  <c r="L257" i="1" s="1"/>
  <c r="G256" i="1"/>
  <c r="K256" i="1" s="1"/>
  <c r="H264" i="1"/>
  <c r="L264" i="1" s="1"/>
  <c r="H258" i="1"/>
  <c r="L258" i="1" s="1"/>
  <c r="G264" i="1"/>
  <c r="K264" i="1" s="1"/>
  <c r="H259" i="1"/>
  <c r="L259" i="1" s="1"/>
  <c r="H256" i="1"/>
  <c r="L256" i="1" s="1"/>
  <c r="H263" i="1"/>
  <c r="L263" i="1" s="1"/>
  <c r="H260" i="1"/>
  <c r="L260" i="1" s="1"/>
  <c r="G257" i="1"/>
  <c r="K257" i="1" s="1"/>
  <c r="C11530" i="2"/>
  <c r="B11532" i="2" s="1"/>
  <c r="B11330" i="2"/>
  <c r="B11332" i="2"/>
  <c r="B11343" i="2"/>
  <c r="B11351" i="2"/>
  <c r="B11319" i="2"/>
  <c r="B11321" i="2"/>
  <c r="B11317" i="2"/>
  <c r="B11331" i="2"/>
  <c r="G11311" i="2"/>
  <c r="B11315" i="2"/>
  <c r="B11348" i="2"/>
  <c r="B11334" i="2"/>
  <c r="B11314" i="2"/>
  <c r="B11333" i="2"/>
  <c r="B11336" i="2"/>
  <c r="B11337" i="2"/>
  <c r="B11341" i="2"/>
  <c r="B11328" i="2"/>
  <c r="B11335" i="2"/>
  <c r="B11346" i="2"/>
  <c r="B11329" i="2"/>
  <c r="B11338" i="2"/>
  <c r="B11318" i="2"/>
  <c r="B11323" i="2"/>
  <c r="B11350" i="2"/>
  <c r="B11339" i="2"/>
  <c r="B11322" i="2"/>
  <c r="B11345" i="2"/>
  <c r="B11340" i="2"/>
  <c r="B11320" i="2"/>
  <c r="B11352" i="2"/>
  <c r="B11349" i="2"/>
  <c r="B11316" i="2"/>
  <c r="B11347" i="2"/>
  <c r="B11327" i="2"/>
  <c r="B11344" i="2"/>
  <c r="B11326" i="2"/>
  <c r="B11342" i="2"/>
  <c r="B11325" i="2"/>
  <c r="B11324" i="2"/>
  <c r="B11425" i="2"/>
  <c r="B11420" i="2"/>
  <c r="B11438" i="2"/>
  <c r="B11439" i="2"/>
  <c r="B11404" i="2"/>
  <c r="B11405" i="2"/>
  <c r="B11417" i="2"/>
  <c r="B11419" i="2"/>
  <c r="B11435" i="2"/>
  <c r="B11423" i="2"/>
  <c r="B11436" i="2"/>
  <c r="B11422" i="2"/>
  <c r="B11406" i="2"/>
  <c r="B11421" i="2"/>
  <c r="B11428" i="2"/>
  <c r="B11407" i="2"/>
  <c r="B11429" i="2"/>
  <c r="B11416" i="2"/>
  <c r="G11399" i="2"/>
  <c r="B11434" i="2"/>
  <c r="B11424" i="2"/>
  <c r="B11426" i="2"/>
  <c r="B11410" i="2"/>
  <c r="B11430" i="2"/>
  <c r="B11402" i="2"/>
  <c r="B11427" i="2"/>
  <c r="B11418" i="2"/>
  <c r="B11433" i="2"/>
  <c r="B11431" i="2"/>
  <c r="B11412" i="2"/>
  <c r="B11440" i="2"/>
  <c r="B11409" i="2"/>
  <c r="B11408" i="2"/>
  <c r="B11415" i="2"/>
  <c r="B11411" i="2"/>
  <c r="B11432" i="2"/>
  <c r="B11414" i="2"/>
  <c r="B11403" i="2"/>
  <c r="B11413" i="2"/>
  <c r="B11437" i="2"/>
  <c r="B11506" i="2"/>
  <c r="B11517" i="2"/>
  <c r="B11519" i="2"/>
  <c r="B11503" i="2"/>
  <c r="B11490" i="2"/>
  <c r="B11493" i="2"/>
  <c r="B11497" i="2"/>
  <c r="B11514" i="2"/>
  <c r="B11525" i="2"/>
  <c r="B11511" i="2"/>
  <c r="B11527" i="2"/>
  <c r="B11510" i="2"/>
  <c r="B11518" i="2"/>
  <c r="B11509" i="2"/>
  <c r="B11512" i="2"/>
  <c r="B11513" i="2"/>
  <c r="B11528" i="2"/>
  <c r="B11496" i="2"/>
  <c r="G11487" i="2"/>
  <c r="B11522" i="2"/>
  <c r="B11505" i="2"/>
  <c r="B11520" i="2"/>
  <c r="B11494" i="2"/>
  <c r="B11491" i="2"/>
  <c r="B11508" i="2"/>
  <c r="B11515" i="2"/>
  <c r="B11498" i="2"/>
  <c r="B11521" i="2"/>
  <c r="B11516" i="2"/>
  <c r="B11507" i="2"/>
  <c r="B11523" i="2"/>
  <c r="B11504" i="2"/>
  <c r="B11500" i="2"/>
  <c r="B11495" i="2"/>
  <c r="B11526" i="2"/>
  <c r="B11524" i="2"/>
  <c r="B11502" i="2"/>
  <c r="B11499" i="2"/>
  <c r="B11501" i="2"/>
  <c r="B11492" i="2"/>
  <c r="B11270" i="2"/>
  <c r="B11297" i="2"/>
  <c r="B11296" i="2"/>
  <c r="B11307" i="2"/>
  <c r="B11283" i="2"/>
  <c r="B11277" i="2"/>
  <c r="B11303" i="2"/>
  <c r="B11287" i="2"/>
  <c r="B11305" i="2"/>
  <c r="B11286" i="2"/>
  <c r="B11304" i="2"/>
  <c r="B11290" i="2"/>
  <c r="B11306" i="2"/>
  <c r="B11289" i="2"/>
  <c r="B11285" i="2"/>
  <c r="B11278" i="2"/>
  <c r="B11308" i="2"/>
  <c r="B11276" i="2"/>
  <c r="B11272" i="2"/>
  <c r="B11302" i="2"/>
  <c r="B11273" i="2"/>
  <c r="B11294" i="2"/>
  <c r="B11274" i="2"/>
  <c r="B11293" i="2"/>
  <c r="B11288" i="2"/>
  <c r="B11295" i="2"/>
  <c r="B11279" i="2"/>
  <c r="B11301" i="2"/>
  <c r="B11292" i="2"/>
  <c r="B11275" i="2"/>
  <c r="B11298" i="2"/>
  <c r="B11284" i="2"/>
  <c r="B11280" i="2"/>
  <c r="B11271" i="2"/>
  <c r="B11299" i="2"/>
  <c r="B11300" i="2"/>
  <c r="B11282" i="2"/>
  <c r="B11291" i="2"/>
  <c r="B11281" i="2"/>
  <c r="G11267" i="2"/>
  <c r="B11459" i="2"/>
  <c r="B11456" i="2"/>
  <c r="B11468" i="2"/>
  <c r="B11480" i="2"/>
  <c r="B11448" i="2"/>
  <c r="B11484" i="2"/>
  <c r="B11479" i="2"/>
  <c r="B11455" i="2"/>
  <c r="G11443" i="2"/>
  <c r="B11454" i="2"/>
  <c r="B11476" i="2"/>
  <c r="B11466" i="2"/>
  <c r="B11475" i="2"/>
  <c r="B11465" i="2"/>
  <c r="B11453" i="2"/>
  <c r="B11446" i="2"/>
  <c r="B11464" i="2"/>
  <c r="B11460" i="2"/>
  <c r="B11483" i="2"/>
  <c r="B11478" i="2"/>
  <c r="B11449" i="2"/>
  <c r="B11463" i="2"/>
  <c r="B11450" i="2"/>
  <c r="B11462" i="2"/>
  <c r="B11474" i="2"/>
  <c r="B11471" i="2"/>
  <c r="B11482" i="2"/>
  <c r="B11477" i="2"/>
  <c r="B11461" i="2"/>
  <c r="B11472" i="2"/>
  <c r="B11473" i="2"/>
  <c r="B11447" i="2"/>
  <c r="B11451" i="2"/>
  <c r="B11481" i="2"/>
  <c r="B11452" i="2"/>
  <c r="B11470" i="2"/>
  <c r="B11458" i="2"/>
  <c r="B11469" i="2"/>
  <c r="B11457" i="2"/>
  <c r="B11467" i="2"/>
  <c r="B11381" i="2"/>
  <c r="B11376" i="2"/>
  <c r="B11394" i="2"/>
  <c r="B11386" i="2"/>
  <c r="B11358" i="2"/>
  <c r="B11361" i="2"/>
  <c r="B11373" i="2"/>
  <c r="B11388" i="2"/>
  <c r="B11360" i="2"/>
  <c r="B11359" i="2"/>
  <c r="B11363" i="2"/>
  <c r="B11380" i="2"/>
  <c r="B11392" i="2"/>
  <c r="B11366" i="2"/>
  <c r="B11367" i="2"/>
  <c r="B11368" i="2"/>
  <c r="B11383" i="2"/>
  <c r="B11374" i="2"/>
  <c r="B11389" i="2"/>
  <c r="B11387" i="2"/>
  <c r="B11382" i="2"/>
  <c r="B11396" i="2"/>
  <c r="B11365" i="2"/>
  <c r="B11364" i="2"/>
  <c r="B11393" i="2"/>
  <c r="B11371" i="2"/>
  <c r="B11395" i="2"/>
  <c r="B11370" i="2"/>
  <c r="B11375" i="2"/>
  <c r="B11369" i="2"/>
  <c r="B11372" i="2"/>
  <c r="G11355" i="2"/>
  <c r="B11384" i="2"/>
  <c r="B11379" i="2"/>
  <c r="B11390" i="2"/>
  <c r="B11378" i="2"/>
  <c r="B11385" i="2"/>
  <c r="B11362" i="2"/>
  <c r="B11391" i="2"/>
  <c r="B11377" i="2"/>
  <c r="I248" i="1"/>
  <c r="J248" i="1"/>
  <c r="F304" i="1"/>
  <c r="J250" i="1"/>
  <c r="M250" i="1" s="1"/>
  <c r="I250" i="1"/>
  <c r="L248" i="1"/>
  <c r="L304" i="1" s="1"/>
  <c r="H304" i="1"/>
  <c r="K248" i="1"/>
  <c r="K304" i="1" s="1"/>
  <c r="G304" i="1"/>
  <c r="I251" i="1"/>
  <c r="J251" i="1"/>
  <c r="M251" i="1" s="1"/>
  <c r="I252" i="1"/>
  <c r="J252" i="1"/>
  <c r="M252" i="1" s="1"/>
  <c r="I254" i="1"/>
  <c r="J254" i="1"/>
  <c r="M254" i="1" s="1"/>
  <c r="J253" i="1"/>
  <c r="M253" i="1" s="1"/>
  <c r="I253" i="1"/>
  <c r="J249" i="1"/>
  <c r="M249" i="1" s="1"/>
  <c r="I249" i="1"/>
  <c r="A272" i="1"/>
  <c r="I256" i="1" l="1"/>
  <c r="M258" i="1"/>
  <c r="I259" i="1"/>
  <c r="I262" i="1"/>
  <c r="I264" i="1"/>
  <c r="M263" i="1"/>
  <c r="I263" i="1"/>
  <c r="M261" i="1"/>
  <c r="I255" i="1"/>
  <c r="M257" i="1"/>
  <c r="J262" i="1"/>
  <c r="M262" i="1" s="1"/>
  <c r="M260" i="1"/>
  <c r="I261" i="1"/>
  <c r="M255" i="1"/>
  <c r="I260" i="1"/>
  <c r="M256" i="1"/>
  <c r="I257" i="1"/>
  <c r="I258" i="1"/>
  <c r="M259" i="1"/>
  <c r="M264" i="1"/>
  <c r="C11574" i="2"/>
  <c r="B11576" i="2" s="1"/>
  <c r="B11544" i="2"/>
  <c r="B11535" i="2"/>
  <c r="B11557" i="2"/>
  <c r="B11560" i="2"/>
  <c r="B11534" i="2"/>
  <c r="B11565" i="2"/>
  <c r="G11531" i="2"/>
  <c r="B11569" i="2"/>
  <c r="B11550" i="2"/>
  <c r="B11556" i="2"/>
  <c r="B11553" i="2"/>
  <c r="B11571" i="2"/>
  <c r="B11567" i="2"/>
  <c r="B11542" i="2"/>
  <c r="B11549" i="2"/>
  <c r="B11545" i="2"/>
  <c r="B11568" i="2"/>
  <c r="B11562" i="2"/>
  <c r="B11548" i="2"/>
  <c r="B11541" i="2"/>
  <c r="B11537" i="2"/>
  <c r="B11564" i="2"/>
  <c r="B11555" i="2"/>
  <c r="B11540" i="2"/>
  <c r="B11566" i="2"/>
  <c r="B11572" i="2"/>
  <c r="B11558" i="2"/>
  <c r="B11547" i="2"/>
  <c r="B11536" i="2"/>
  <c r="B11554" i="2"/>
  <c r="B11561" i="2"/>
  <c r="B11551" i="2"/>
  <c r="B11539" i="2"/>
  <c r="B11570" i="2"/>
  <c r="B11546" i="2"/>
  <c r="B11552" i="2"/>
  <c r="B11543" i="2"/>
  <c r="B11559" i="2"/>
  <c r="B11563" i="2"/>
  <c r="B11538" i="2"/>
  <c r="G267" i="1"/>
  <c r="K267" i="1" s="1"/>
  <c r="F270" i="1"/>
  <c r="G269" i="1"/>
  <c r="K269" i="1" s="1"/>
  <c r="F269" i="1"/>
  <c r="G266" i="1"/>
  <c r="K266" i="1" s="1"/>
  <c r="H265" i="1"/>
  <c r="L265" i="1" s="1"/>
  <c r="H269" i="1"/>
  <c r="L269" i="1" s="1"/>
  <c r="F267" i="1"/>
  <c r="F268" i="1"/>
  <c r="H266" i="1"/>
  <c r="L266" i="1" s="1"/>
  <c r="G268" i="1"/>
  <c r="K268" i="1" s="1"/>
  <c r="G270" i="1"/>
  <c r="K270" i="1" s="1"/>
  <c r="H270" i="1"/>
  <c r="L270" i="1" s="1"/>
  <c r="F265" i="1"/>
  <c r="G265" i="1"/>
  <c r="K265" i="1" s="1"/>
  <c r="F266" i="1"/>
  <c r="H268" i="1"/>
  <c r="L268" i="1" s="1"/>
  <c r="H267" i="1"/>
  <c r="L267" i="1" s="1"/>
  <c r="I304" i="1"/>
  <c r="M248" i="1"/>
  <c r="M305" i="1" s="1"/>
  <c r="J304" i="1"/>
  <c r="A273" i="1"/>
  <c r="F271" i="1" l="1"/>
  <c r="J271" i="1" s="1"/>
  <c r="H271" i="1"/>
  <c r="L271" i="1" s="1"/>
  <c r="G271" i="1"/>
  <c r="K271" i="1" s="1"/>
  <c r="C11618" i="2"/>
  <c r="B11620" i="2" s="1"/>
  <c r="J266" i="1"/>
  <c r="M266" i="1" s="1"/>
  <c r="I266" i="1"/>
  <c r="I269" i="1"/>
  <c r="J269" i="1"/>
  <c r="M269" i="1" s="1"/>
  <c r="B11593" i="2"/>
  <c r="B11596" i="2"/>
  <c r="B11591" i="2"/>
  <c r="B11579" i="2"/>
  <c r="B11578" i="2"/>
  <c r="B11609" i="2"/>
  <c r="B11585" i="2"/>
  <c r="B11588" i="2"/>
  <c r="B11583" i="2"/>
  <c r="B11601" i="2"/>
  <c r="B11597" i="2"/>
  <c r="B11610" i="2"/>
  <c r="G11575" i="2"/>
  <c r="B11615" i="2"/>
  <c r="B11594" i="2"/>
  <c r="B11589" i="2"/>
  <c r="B11598" i="2"/>
  <c r="B11604" i="2"/>
  <c r="B11612" i="2"/>
  <c r="B11586" i="2"/>
  <c r="B11581" i="2"/>
  <c r="B11590" i="2"/>
  <c r="B11613" i="2"/>
  <c r="B11608" i="2"/>
  <c r="B11592" i="2"/>
  <c r="B11614" i="2"/>
  <c r="B11582" i="2"/>
  <c r="B11611" i="2"/>
  <c r="B11602" i="2"/>
  <c r="B11584" i="2"/>
  <c r="B11607" i="2"/>
  <c r="B11616" i="2"/>
  <c r="B11606" i="2"/>
  <c r="B11595" i="2"/>
  <c r="B11580" i="2"/>
  <c r="B11600" i="2"/>
  <c r="B11605" i="2"/>
  <c r="B11599" i="2"/>
  <c r="B11587" i="2"/>
  <c r="B11603" i="2"/>
  <c r="J265" i="1"/>
  <c r="M265" i="1" s="1"/>
  <c r="I265" i="1"/>
  <c r="I268" i="1"/>
  <c r="J268" i="1"/>
  <c r="M268" i="1" s="1"/>
  <c r="J270" i="1"/>
  <c r="M270" i="1" s="1"/>
  <c r="I270" i="1"/>
  <c r="I267" i="1"/>
  <c r="J267" i="1"/>
  <c r="M267" i="1" s="1"/>
  <c r="A274" i="1"/>
  <c r="M271" i="1" l="1"/>
  <c r="I271" i="1"/>
  <c r="B11649" i="2"/>
  <c r="B11656" i="2"/>
  <c r="B11638" i="2"/>
  <c r="B11637" i="2"/>
  <c r="B11634" i="2"/>
  <c r="B11653" i="2"/>
  <c r="B11640" i="2"/>
  <c r="B11652" i="2"/>
  <c r="B11630" i="2"/>
  <c r="B11629" i="2"/>
  <c r="B11641" i="2"/>
  <c r="B11632" i="2"/>
  <c r="B11646" i="2"/>
  <c r="B11623" i="2"/>
  <c r="B11636" i="2"/>
  <c r="B11633" i="2"/>
  <c r="B11624" i="2"/>
  <c r="B11639" i="2"/>
  <c r="B11642" i="2"/>
  <c r="B11628" i="2"/>
  <c r="B11625" i="2"/>
  <c r="B11622" i="2"/>
  <c r="B11631" i="2"/>
  <c r="B11658" i="2"/>
  <c r="G11619" i="2"/>
  <c r="B11627" i="2"/>
  <c r="B11635" i="2"/>
  <c r="B11643" i="2"/>
  <c r="B11651" i="2"/>
  <c r="B11657" i="2"/>
  <c r="B11654" i="2"/>
  <c r="B11647" i="2"/>
  <c r="B11626" i="2"/>
  <c r="B11648" i="2"/>
  <c r="B11655" i="2"/>
  <c r="B11660" i="2"/>
  <c r="B11659" i="2"/>
  <c r="B11645" i="2"/>
  <c r="B11644" i="2"/>
  <c r="B11650" i="2"/>
  <c r="H272" i="1"/>
  <c r="L272" i="1" s="1"/>
  <c r="F272" i="1"/>
  <c r="G272" i="1"/>
  <c r="K272" i="1" s="1"/>
  <c r="A275" i="1"/>
  <c r="H273" i="1" l="1"/>
  <c r="L273" i="1" s="1"/>
  <c r="G273" i="1"/>
  <c r="K273" i="1" s="1"/>
  <c r="F273" i="1"/>
  <c r="J273" i="1" s="1"/>
  <c r="J272" i="1"/>
  <c r="M272" i="1" s="1"/>
  <c r="I272" i="1"/>
  <c r="A276" i="1"/>
  <c r="M273" i="1" l="1"/>
  <c r="I273" i="1"/>
  <c r="A277" i="1"/>
  <c r="A278" i="1"/>
  <c r="A279" i="1"/>
  <c r="A280" i="1" s="1"/>
  <c r="A281" i="1"/>
  <c r="A282" i="1"/>
  <c r="A283" i="1" s="1"/>
  <c r="A284" i="1"/>
  <c r="A285" i="1"/>
  <c r="A286" i="1"/>
  <c r="A287" i="1"/>
  <c r="A288" i="1"/>
  <c r="A289" i="1"/>
  <c r="A290" i="1"/>
  <c r="A291" i="1"/>
  <c r="A292" i="1"/>
  <c r="A293" i="1"/>
  <c r="A294" i="1"/>
  <c r="C12454" i="2" l="1"/>
  <c r="B12456" i="2" s="1"/>
  <c r="C12190" i="2"/>
  <c r="B12192" i="2" s="1"/>
  <c r="C11794" i="2"/>
  <c r="B11796" i="2" s="1"/>
  <c r="C12542" i="2"/>
  <c r="B12544" i="2" s="1"/>
  <c r="C11706" i="2"/>
  <c r="B11708" i="2" s="1"/>
  <c r="C12014" i="2"/>
  <c r="B12016" i="2" s="1"/>
  <c r="C12058" i="2"/>
  <c r="B12060" i="2" s="1"/>
  <c r="C12366" i="2"/>
  <c r="B12368" i="2" s="1"/>
  <c r="C11970" i="2"/>
  <c r="B11972" i="2" s="1"/>
  <c r="C11926" i="2"/>
  <c r="B11928" i="2" s="1"/>
  <c r="C11882" i="2"/>
  <c r="B11884" i="2" s="1"/>
  <c r="C11750" i="2"/>
  <c r="B11752" i="2" s="1"/>
  <c r="C12102" i="2"/>
  <c r="B12104" i="2" s="1"/>
  <c r="C11838" i="2"/>
  <c r="B11840" i="2" s="1"/>
  <c r="C11662" i="2"/>
  <c r="B11664" i="2" s="1"/>
  <c r="C12234" i="2"/>
  <c r="B12236" i="2" s="1"/>
  <c r="C12410" i="2"/>
  <c r="B12412" i="2" s="1"/>
  <c r="C12322" i="2"/>
  <c r="B12324" i="2" s="1"/>
  <c r="C12498" i="2"/>
  <c r="B12500" i="2" s="1"/>
  <c r="C12278" i="2"/>
  <c r="B12280" i="2" s="1"/>
  <c r="C12146" i="2"/>
  <c r="B12148" i="2" s="1"/>
  <c r="B12269" i="2" l="1"/>
  <c r="B12240" i="2"/>
  <c r="B12239" i="2"/>
  <c r="B12253" i="2"/>
  <c r="B12251" i="2"/>
  <c r="B12241" i="2"/>
  <c r="B12272" i="2"/>
  <c r="B12246" i="2"/>
  <c r="B12244" i="2"/>
  <c r="B12263" i="2"/>
  <c r="B12249" i="2"/>
  <c r="B12262" i="2"/>
  <c r="B12260" i="2"/>
  <c r="B12270" i="2"/>
  <c r="B12276" i="2"/>
  <c r="B12255" i="2"/>
  <c r="B12245" i="2"/>
  <c r="B12258" i="2"/>
  <c r="B12265" i="2"/>
  <c r="B12247" i="2"/>
  <c r="B12252" i="2"/>
  <c r="B12250" i="2"/>
  <c r="G12235" i="2"/>
  <c r="B12274" i="2"/>
  <c r="B12266" i="2"/>
  <c r="B12275" i="2"/>
  <c r="B12267" i="2"/>
  <c r="B12259" i="2"/>
  <c r="B12264" i="2"/>
  <c r="B12273" i="2"/>
  <c r="B12257" i="2"/>
  <c r="B12271" i="2"/>
  <c r="B12256" i="2"/>
  <c r="B12243" i="2"/>
  <c r="B12248" i="2"/>
  <c r="B12242" i="2"/>
  <c r="B12268" i="2"/>
  <c r="B12238" i="2"/>
  <c r="B12261" i="2"/>
  <c r="B12254" i="2"/>
  <c r="B12408" i="2"/>
  <c r="B12399" i="2"/>
  <c r="B12394" i="2"/>
  <c r="B12402" i="2"/>
  <c r="B12373" i="2"/>
  <c r="B12386" i="2"/>
  <c r="B12385" i="2"/>
  <c r="B12398" i="2"/>
  <c r="B12382" i="2"/>
  <c r="B12388" i="2"/>
  <c r="B12374" i="2"/>
  <c r="B12372" i="2"/>
  <c r="B12390" i="2"/>
  <c r="G12367" i="2"/>
  <c r="B12387" i="2"/>
  <c r="B12405" i="2"/>
  <c r="B12370" i="2"/>
  <c r="B12400" i="2"/>
  <c r="B12406" i="2"/>
  <c r="B12403" i="2"/>
  <c r="B12401" i="2"/>
  <c r="B12371" i="2"/>
  <c r="B12407" i="2"/>
  <c r="B12377" i="2"/>
  <c r="B12375" i="2"/>
  <c r="B12404" i="2"/>
  <c r="B12393" i="2"/>
  <c r="B12384" i="2"/>
  <c r="B12379" i="2"/>
  <c r="B12397" i="2"/>
  <c r="B12389" i="2"/>
  <c r="B12378" i="2"/>
  <c r="B12381" i="2"/>
  <c r="B12396" i="2"/>
  <c r="B12380" i="2"/>
  <c r="B12392" i="2"/>
  <c r="B12376" i="2"/>
  <c r="B12391" i="2"/>
  <c r="B12383" i="2"/>
  <c r="B12395" i="2"/>
  <c r="B11673" i="2"/>
  <c r="B11670" i="2"/>
  <c r="B11703" i="2"/>
  <c r="B11701" i="2"/>
  <c r="B11682" i="2"/>
  <c r="B11666" i="2"/>
  <c r="B11704" i="2"/>
  <c r="B11700" i="2"/>
  <c r="B11694" i="2"/>
  <c r="B11674" i="2"/>
  <c r="B11702" i="2"/>
  <c r="B11693" i="2"/>
  <c r="B11696" i="2"/>
  <c r="B11687" i="2"/>
  <c r="B11680" i="2"/>
  <c r="B11697" i="2"/>
  <c r="B11684" i="2"/>
  <c r="B11669" i="2"/>
  <c r="B11686" i="2"/>
  <c r="B11685" i="2"/>
  <c r="B11676" i="2"/>
  <c r="G11663" i="2"/>
  <c r="B11677" i="2"/>
  <c r="B11668" i="2"/>
  <c r="B11675" i="2"/>
  <c r="B11695" i="2"/>
  <c r="B11699" i="2"/>
  <c r="B11698" i="2"/>
  <c r="B11692" i="2"/>
  <c r="B11679" i="2"/>
  <c r="B11691" i="2"/>
  <c r="B11688" i="2"/>
  <c r="B11690" i="2"/>
  <c r="B11678" i="2"/>
  <c r="B11681" i="2"/>
  <c r="B11683" i="2"/>
  <c r="B11689" i="2"/>
  <c r="B11667" i="2"/>
  <c r="B11671" i="2"/>
  <c r="B11672" i="2"/>
  <c r="B12093" i="2"/>
  <c r="B12072" i="2"/>
  <c r="B12079" i="2"/>
  <c r="B12098" i="2"/>
  <c r="B12094" i="2"/>
  <c r="B12065" i="2"/>
  <c r="B12087" i="2"/>
  <c r="B12082" i="2"/>
  <c r="B12084" i="2"/>
  <c r="B12090" i="2"/>
  <c r="B12073" i="2"/>
  <c r="B12096" i="2"/>
  <c r="B12066" i="2"/>
  <c r="B12095" i="2"/>
  <c r="B12074" i="2"/>
  <c r="B12092" i="2"/>
  <c r="B12091" i="2"/>
  <c r="B12083" i="2"/>
  <c r="B12100" i="2"/>
  <c r="B12086" i="2"/>
  <c r="B12088" i="2"/>
  <c r="B12075" i="2"/>
  <c r="B12064" i="2"/>
  <c r="B12085" i="2"/>
  <c r="B12076" i="2"/>
  <c r="G12059" i="2"/>
  <c r="B12078" i="2"/>
  <c r="B12068" i="2"/>
  <c r="B12089" i="2"/>
  <c r="B12097" i="2"/>
  <c r="B12080" i="2"/>
  <c r="B12067" i="2"/>
  <c r="B12099" i="2"/>
  <c r="B12062" i="2"/>
  <c r="B12071" i="2"/>
  <c r="B12063" i="2"/>
  <c r="B12070" i="2"/>
  <c r="B12077" i="2"/>
  <c r="B12081" i="2"/>
  <c r="B12069" i="2"/>
  <c r="B11857" i="2"/>
  <c r="B11861" i="2"/>
  <c r="B11859" i="2"/>
  <c r="B11854" i="2"/>
  <c r="B11880" i="2"/>
  <c r="B11867" i="2"/>
  <c r="B11852" i="2"/>
  <c r="B11846" i="2"/>
  <c r="B11862" i="2"/>
  <c r="B11879" i="2"/>
  <c r="B11873" i="2"/>
  <c r="B11866" i="2"/>
  <c r="B11847" i="2"/>
  <c r="B11855" i="2"/>
  <c r="B11850" i="2"/>
  <c r="B11872" i="2"/>
  <c r="B11848" i="2"/>
  <c r="B11871" i="2"/>
  <c r="B11865" i="2"/>
  <c r="B11870" i="2"/>
  <c r="B11856" i="2"/>
  <c r="B11849" i="2"/>
  <c r="B11845" i="2"/>
  <c r="B11844" i="2"/>
  <c r="B11868" i="2"/>
  <c r="G11839" i="2"/>
  <c r="B11864" i="2"/>
  <c r="B11869" i="2"/>
  <c r="B11858" i="2"/>
  <c r="B11851" i="2"/>
  <c r="B11877" i="2"/>
  <c r="B11876" i="2"/>
  <c r="B11875" i="2"/>
  <c r="B11878" i="2"/>
  <c r="B11842" i="2"/>
  <c r="B11874" i="2"/>
  <c r="B11863" i="2"/>
  <c r="B11860" i="2"/>
  <c r="B11853" i="2"/>
  <c r="B11843" i="2"/>
  <c r="B12049" i="2"/>
  <c r="B12028" i="2"/>
  <c r="B12027" i="2"/>
  <c r="B12047" i="2"/>
  <c r="B12050" i="2"/>
  <c r="B12021" i="2"/>
  <c r="B12055" i="2"/>
  <c r="B12041" i="2"/>
  <c r="B12033" i="2"/>
  <c r="B12030" i="2"/>
  <c r="B12056" i="2"/>
  <c r="B12035" i="2"/>
  <c r="B12040" i="2"/>
  <c r="B12018" i="2"/>
  <c r="B12045" i="2"/>
  <c r="B12019" i="2"/>
  <c r="B12025" i="2"/>
  <c r="B12032" i="2"/>
  <c r="B12036" i="2"/>
  <c r="B12051" i="2"/>
  <c r="B12046" i="2"/>
  <c r="B12039" i="2"/>
  <c r="B12037" i="2"/>
  <c r="B12052" i="2"/>
  <c r="B12023" i="2"/>
  <c r="B12043" i="2"/>
  <c r="B12029" i="2"/>
  <c r="B12048" i="2"/>
  <c r="B12054" i="2"/>
  <c r="B12038" i="2"/>
  <c r="B12026" i="2"/>
  <c r="B12044" i="2"/>
  <c r="B12024" i="2"/>
  <c r="B12053" i="2"/>
  <c r="B12031" i="2"/>
  <c r="B12020" i="2"/>
  <c r="B12022" i="2"/>
  <c r="G12015" i="2"/>
  <c r="B12042" i="2"/>
  <c r="B12034" i="2"/>
  <c r="B12181" i="2"/>
  <c r="B12152" i="2"/>
  <c r="B12151" i="2"/>
  <c r="B12165" i="2"/>
  <c r="B12163" i="2"/>
  <c r="B12153" i="2"/>
  <c r="B12184" i="2"/>
  <c r="B12158" i="2"/>
  <c r="B12156" i="2"/>
  <c r="B12175" i="2"/>
  <c r="B12160" i="2"/>
  <c r="B12166" i="2"/>
  <c r="B12183" i="2"/>
  <c r="B12150" i="2"/>
  <c r="G12147" i="2"/>
  <c r="B12186" i="2"/>
  <c r="B12178" i="2"/>
  <c r="B12187" i="2"/>
  <c r="B12179" i="2"/>
  <c r="B12171" i="2"/>
  <c r="B12188" i="2"/>
  <c r="B12167" i="2"/>
  <c r="B12157" i="2"/>
  <c r="B12170" i="2"/>
  <c r="B12177" i="2"/>
  <c r="B12159" i="2"/>
  <c r="B12164" i="2"/>
  <c r="B12162" i="2"/>
  <c r="B12169" i="2"/>
  <c r="B12185" i="2"/>
  <c r="B12161" i="2"/>
  <c r="B12155" i="2"/>
  <c r="B12168" i="2"/>
  <c r="B12182" i="2"/>
  <c r="B12180" i="2"/>
  <c r="B12154" i="2"/>
  <c r="B12174" i="2"/>
  <c r="B12173" i="2"/>
  <c r="B12176" i="2"/>
  <c r="B12172" i="2"/>
  <c r="B12137" i="2"/>
  <c r="B12116" i="2"/>
  <c r="B12123" i="2"/>
  <c r="B12135" i="2"/>
  <c r="B12138" i="2"/>
  <c r="B12109" i="2"/>
  <c r="B12111" i="2"/>
  <c r="B12134" i="2"/>
  <c r="B12121" i="2"/>
  <c r="B12118" i="2"/>
  <c r="G12103" i="2"/>
  <c r="B12122" i="2"/>
  <c r="B12141" i="2"/>
  <c r="B12125" i="2"/>
  <c r="B12143" i="2"/>
  <c r="B12114" i="2"/>
  <c r="B12131" i="2"/>
  <c r="B12117" i="2"/>
  <c r="B12140" i="2"/>
  <c r="B12142" i="2"/>
  <c r="B12126" i="2"/>
  <c r="B12133" i="2"/>
  <c r="B12115" i="2"/>
  <c r="B12113" i="2"/>
  <c r="B12120" i="2"/>
  <c r="B12124" i="2"/>
  <c r="B12107" i="2"/>
  <c r="B12139" i="2"/>
  <c r="B12119" i="2"/>
  <c r="B12130" i="2"/>
  <c r="B12129" i="2"/>
  <c r="B12132" i="2"/>
  <c r="B12128" i="2"/>
  <c r="B12127" i="2"/>
  <c r="B12112" i="2"/>
  <c r="B12144" i="2"/>
  <c r="B12110" i="2"/>
  <c r="B12108" i="2"/>
  <c r="B12106" i="2"/>
  <c r="B12136" i="2"/>
  <c r="B11713" i="2"/>
  <c r="B11738" i="2"/>
  <c r="B11723" i="2"/>
  <c r="B11732" i="2"/>
  <c r="B11735" i="2"/>
  <c r="B11743" i="2"/>
  <c r="B11747" i="2"/>
  <c r="B11733" i="2"/>
  <c r="B11725" i="2"/>
  <c r="B11730" i="2"/>
  <c r="B11748" i="2"/>
  <c r="B11744" i="2"/>
  <c r="B11726" i="2"/>
  <c r="B11717" i="2"/>
  <c r="B11722" i="2"/>
  <c r="B11729" i="2"/>
  <c r="B11734" i="2"/>
  <c r="B11736" i="2"/>
  <c r="B11721" i="2"/>
  <c r="B11727" i="2"/>
  <c r="B11715" i="2"/>
  <c r="B11737" i="2"/>
  <c r="B11719" i="2"/>
  <c r="B11724" i="2"/>
  <c r="B11728" i="2"/>
  <c r="B11711" i="2"/>
  <c r="B11716" i="2"/>
  <c r="B11720" i="2"/>
  <c r="B11718" i="2"/>
  <c r="B11745" i="2"/>
  <c r="B11712" i="2"/>
  <c r="B11731" i="2"/>
  <c r="B11742" i="2"/>
  <c r="G11707" i="2"/>
  <c r="B11746" i="2"/>
  <c r="B11714" i="2"/>
  <c r="B11741" i="2"/>
  <c r="B11740" i="2"/>
  <c r="B11739" i="2"/>
  <c r="B11710" i="2"/>
  <c r="B12300" i="2"/>
  <c r="B12318" i="2"/>
  <c r="B12289" i="2"/>
  <c r="B12316" i="2"/>
  <c r="B12297" i="2"/>
  <c r="B12288" i="2"/>
  <c r="B12301" i="2"/>
  <c r="B12283" i="2"/>
  <c r="B12307" i="2"/>
  <c r="B12299" i="2"/>
  <c r="B12290" i="2"/>
  <c r="B12314" i="2"/>
  <c r="B12298" i="2"/>
  <c r="B12291" i="2"/>
  <c r="B12284" i="2"/>
  <c r="B12306" i="2"/>
  <c r="B12302" i="2"/>
  <c r="B12310" i="2"/>
  <c r="B12287" i="2"/>
  <c r="B12285" i="2"/>
  <c r="B12309" i="2"/>
  <c r="B12292" i="2"/>
  <c r="B12293" i="2"/>
  <c r="B12320" i="2"/>
  <c r="B12286" i="2"/>
  <c r="B12315" i="2"/>
  <c r="B12319" i="2"/>
  <c r="B12303" i="2"/>
  <c r="B12294" i="2"/>
  <c r="B12313" i="2"/>
  <c r="B12282" i="2"/>
  <c r="G12279" i="2"/>
  <c r="B12296" i="2"/>
  <c r="B12311" i="2"/>
  <c r="B12317" i="2"/>
  <c r="B12308" i="2"/>
  <c r="B12305" i="2"/>
  <c r="B12304" i="2"/>
  <c r="B12295" i="2"/>
  <c r="B12312" i="2"/>
  <c r="B11760" i="2"/>
  <c r="B11791" i="2"/>
  <c r="B11789" i="2"/>
  <c r="B11762" i="2"/>
  <c r="B11781" i="2"/>
  <c r="B11766" i="2"/>
  <c r="B11775" i="2"/>
  <c r="B11759" i="2"/>
  <c r="B11757" i="2"/>
  <c r="B11763" i="2"/>
  <c r="B11785" i="2"/>
  <c r="B11776" i="2"/>
  <c r="B11784" i="2"/>
  <c r="B11786" i="2"/>
  <c r="B11790" i="2"/>
  <c r="B11783" i="2"/>
  <c r="B11788" i="2"/>
  <c r="B11792" i="2"/>
  <c r="B11764" i="2"/>
  <c r="B11777" i="2"/>
  <c r="B11771" i="2"/>
  <c r="G11751" i="2"/>
  <c r="B11769" i="2"/>
  <c r="B11755" i="2"/>
  <c r="B11780" i="2"/>
  <c r="B11770" i="2"/>
  <c r="B11787" i="2"/>
  <c r="B11756" i="2"/>
  <c r="B11761" i="2"/>
  <c r="B11779" i="2"/>
  <c r="B11773" i="2"/>
  <c r="B11782" i="2"/>
  <c r="B11767" i="2"/>
  <c r="B11772" i="2"/>
  <c r="B11768" i="2"/>
  <c r="B11754" i="2"/>
  <c r="B11774" i="2"/>
  <c r="B11758" i="2"/>
  <c r="B11765" i="2"/>
  <c r="B11778" i="2"/>
  <c r="B12577" i="2"/>
  <c r="G12543" i="2"/>
  <c r="B12569" i="2"/>
  <c r="B12561" i="2"/>
  <c r="B12567" i="2"/>
  <c r="B12565" i="2"/>
  <c r="B12549" i="2"/>
  <c r="B12576" i="2"/>
  <c r="B12550" i="2"/>
  <c r="B12552" i="2"/>
  <c r="B12578" i="2"/>
  <c r="B12573" i="2"/>
  <c r="B12547" i="2"/>
  <c r="B12560" i="2"/>
  <c r="B12566" i="2"/>
  <c r="B12564" i="2"/>
  <c r="B12562" i="2"/>
  <c r="B12548" i="2"/>
  <c r="B12558" i="2"/>
  <c r="B12556" i="2"/>
  <c r="B12554" i="2"/>
  <c r="B12581" i="2"/>
  <c r="B12546" i="2"/>
  <c r="B12570" i="2"/>
  <c r="B12572" i="2"/>
  <c r="B12559" i="2"/>
  <c r="B12557" i="2"/>
  <c r="B12563" i="2"/>
  <c r="B12568" i="2"/>
  <c r="B12551" i="2"/>
  <c r="B12582" i="2"/>
  <c r="B12575" i="2"/>
  <c r="B12553" i="2"/>
  <c r="B12579" i="2"/>
  <c r="B12584" i="2"/>
  <c r="B12574" i="2"/>
  <c r="B12583" i="2"/>
  <c r="B12571" i="2"/>
  <c r="B12580" i="2"/>
  <c r="B12555" i="2"/>
  <c r="B12533" i="2"/>
  <c r="B12520" i="2"/>
  <c r="B12519" i="2"/>
  <c r="B12538" i="2"/>
  <c r="B12504" i="2"/>
  <c r="B12505" i="2"/>
  <c r="B12507" i="2"/>
  <c r="B12523" i="2"/>
  <c r="B12524" i="2"/>
  <c r="B12527" i="2"/>
  <c r="B12529" i="2"/>
  <c r="B12503" i="2"/>
  <c r="B12509" i="2"/>
  <c r="B12515" i="2"/>
  <c r="B12512" i="2"/>
  <c r="B12525" i="2"/>
  <c r="B12530" i="2"/>
  <c r="G12499" i="2"/>
  <c r="B12518" i="2"/>
  <c r="B12508" i="2"/>
  <c r="B12516" i="2"/>
  <c r="B12532" i="2"/>
  <c r="B12531" i="2"/>
  <c r="B12522" i="2"/>
  <c r="B12535" i="2"/>
  <c r="B12526" i="2"/>
  <c r="B12528" i="2"/>
  <c r="B12514" i="2"/>
  <c r="B12540" i="2"/>
  <c r="B12534" i="2"/>
  <c r="B12539" i="2"/>
  <c r="B12502" i="2"/>
  <c r="B12536" i="2"/>
  <c r="B12511" i="2"/>
  <c r="B12510" i="2"/>
  <c r="B12506" i="2"/>
  <c r="B12521" i="2"/>
  <c r="B12517" i="2"/>
  <c r="B12513" i="2"/>
  <c r="B12537" i="2"/>
  <c r="B11917" i="2"/>
  <c r="B11924" i="2"/>
  <c r="B11920" i="2"/>
  <c r="B11902" i="2"/>
  <c r="B11901" i="2"/>
  <c r="B11889" i="2"/>
  <c r="B11896" i="2"/>
  <c r="B11903" i="2"/>
  <c r="B11919" i="2"/>
  <c r="B11918" i="2"/>
  <c r="B11897" i="2"/>
  <c r="B11914" i="2"/>
  <c r="B11909" i="2"/>
  <c r="B11899" i="2"/>
  <c r="B11886" i="2"/>
  <c r="B11891" i="2"/>
  <c r="B11894" i="2"/>
  <c r="B11911" i="2"/>
  <c r="B11900" i="2"/>
  <c r="B11923" i="2"/>
  <c r="B11887" i="2"/>
  <c r="B11906" i="2"/>
  <c r="B11916" i="2"/>
  <c r="B11908" i="2"/>
  <c r="B11910" i="2"/>
  <c r="B11893" i="2"/>
  <c r="B11905" i="2"/>
  <c r="B11895" i="2"/>
  <c r="B11898" i="2"/>
  <c r="B11921" i="2"/>
  <c r="G11883" i="2"/>
  <c r="B11890" i="2"/>
  <c r="B11888" i="2"/>
  <c r="B11907" i="2"/>
  <c r="B11913" i="2"/>
  <c r="B11922" i="2"/>
  <c r="B11904" i="2"/>
  <c r="B11915" i="2"/>
  <c r="B11892" i="2"/>
  <c r="B11912" i="2"/>
  <c r="B11801" i="2"/>
  <c r="B11832" i="2"/>
  <c r="B11806" i="2"/>
  <c r="B11804" i="2"/>
  <c r="B11823" i="2"/>
  <c r="B11836" i="2"/>
  <c r="B11828" i="2"/>
  <c r="B11834" i="2"/>
  <c r="B11833" i="2"/>
  <c r="B11818" i="2"/>
  <c r="B11825" i="2"/>
  <c r="B11822" i="2"/>
  <c r="B11827" i="2"/>
  <c r="B11831" i="2"/>
  <c r="B11810" i="2"/>
  <c r="B11816" i="2"/>
  <c r="B11821" i="2"/>
  <c r="B11819" i="2"/>
  <c r="B11808" i="2"/>
  <c r="B11814" i="2"/>
  <c r="B11811" i="2"/>
  <c r="B11800" i="2"/>
  <c r="B11824" i="2"/>
  <c r="B11803" i="2"/>
  <c r="G11795" i="2"/>
  <c r="B11820" i="2"/>
  <c r="B11830" i="2"/>
  <c r="B11835" i="2"/>
  <c r="B11813" i="2"/>
  <c r="B11802" i="2"/>
  <c r="B11829" i="2"/>
  <c r="B11815" i="2"/>
  <c r="B11805" i="2"/>
  <c r="B11798" i="2"/>
  <c r="B11817" i="2"/>
  <c r="B11807" i="2"/>
  <c r="B11812" i="2"/>
  <c r="B11809" i="2"/>
  <c r="B11799" i="2"/>
  <c r="B11826" i="2"/>
  <c r="B12336" i="2"/>
  <c r="B12329" i="2"/>
  <c r="B12346" i="2"/>
  <c r="B12356" i="2"/>
  <c r="B12361" i="2"/>
  <c r="B12347" i="2"/>
  <c r="B12363" i="2"/>
  <c r="B12326" i="2"/>
  <c r="B12358" i="2"/>
  <c r="B12344" i="2"/>
  <c r="B12342" i="2"/>
  <c r="B12360" i="2"/>
  <c r="B12364" i="2"/>
  <c r="B12338" i="2"/>
  <c r="B12339" i="2"/>
  <c r="B12332" i="2"/>
  <c r="B12350" i="2"/>
  <c r="B12345" i="2"/>
  <c r="B12327" i="2"/>
  <c r="B12355" i="2"/>
  <c r="B12330" i="2"/>
  <c r="B12335" i="2"/>
  <c r="B12362" i="2"/>
  <c r="B12331" i="2"/>
  <c r="B12357" i="2"/>
  <c r="B12352" i="2"/>
  <c r="G12323" i="2"/>
  <c r="B12348" i="2"/>
  <c r="B12337" i="2"/>
  <c r="B12343" i="2"/>
  <c r="B12333" i="2"/>
  <c r="B12349" i="2"/>
  <c r="B12359" i="2"/>
  <c r="B12341" i="2"/>
  <c r="B12351" i="2"/>
  <c r="B12328" i="2"/>
  <c r="B12353" i="2"/>
  <c r="B12334" i="2"/>
  <c r="B12354" i="2"/>
  <c r="B12340" i="2"/>
  <c r="B11940" i="2"/>
  <c r="B11955" i="2"/>
  <c r="B11949" i="2"/>
  <c r="B11941" i="2"/>
  <c r="B11957" i="2"/>
  <c r="B11936" i="2"/>
  <c r="B11944" i="2"/>
  <c r="B11956" i="2"/>
  <c r="B11968" i="2"/>
  <c r="B11943" i="2"/>
  <c r="B11945" i="2"/>
  <c r="B11963" i="2"/>
  <c r="B11942" i="2"/>
  <c r="B11947" i="2"/>
  <c r="B11961" i="2"/>
  <c r="B11951" i="2"/>
  <c r="B11960" i="2"/>
  <c r="B11966" i="2"/>
  <c r="B11959" i="2"/>
  <c r="B11952" i="2"/>
  <c r="B11938" i="2"/>
  <c r="B11939" i="2"/>
  <c r="B11958" i="2"/>
  <c r="B11962" i="2"/>
  <c r="B11954" i="2"/>
  <c r="B11935" i="2"/>
  <c r="B11950" i="2"/>
  <c r="B11965" i="2"/>
  <c r="B11932" i="2"/>
  <c r="B11933" i="2"/>
  <c r="B11967" i="2"/>
  <c r="B11964" i="2"/>
  <c r="B11953" i="2"/>
  <c r="B11946" i="2"/>
  <c r="B11930" i="2"/>
  <c r="B11937" i="2"/>
  <c r="G11927" i="2"/>
  <c r="B11934" i="2"/>
  <c r="B11931" i="2"/>
  <c r="B11948" i="2"/>
  <c r="B12225" i="2"/>
  <c r="B12204" i="2"/>
  <c r="B12211" i="2"/>
  <c r="B12223" i="2"/>
  <c r="B12229" i="2"/>
  <c r="B12197" i="2"/>
  <c r="B12215" i="2"/>
  <c r="B12217" i="2"/>
  <c r="B12209" i="2"/>
  <c r="B12214" i="2"/>
  <c r="B12232" i="2"/>
  <c r="B12218" i="2"/>
  <c r="B12216" i="2"/>
  <c r="B12198" i="2"/>
  <c r="B12221" i="2"/>
  <c r="B12203" i="2"/>
  <c r="B12201" i="2"/>
  <c r="B12194" i="2"/>
  <c r="B12212" i="2"/>
  <c r="B12195" i="2"/>
  <c r="B12227" i="2"/>
  <c r="B12207" i="2"/>
  <c r="B12213" i="2"/>
  <c r="B12231" i="2"/>
  <c r="B12222" i="2"/>
  <c r="B12226" i="2"/>
  <c r="B12205" i="2"/>
  <c r="B12228" i="2"/>
  <c r="B12230" i="2"/>
  <c r="B12219" i="2"/>
  <c r="G12191" i="2"/>
  <c r="B12224" i="2"/>
  <c r="B12210" i="2"/>
  <c r="B12202" i="2"/>
  <c r="B12220" i="2"/>
  <c r="B12208" i="2"/>
  <c r="B12199" i="2"/>
  <c r="B12200" i="2"/>
  <c r="B12196" i="2"/>
  <c r="B12206" i="2"/>
  <c r="B12445" i="2"/>
  <c r="B12416" i="2"/>
  <c r="B12430" i="2"/>
  <c r="B12421" i="2"/>
  <c r="B12427" i="2"/>
  <c r="B12452" i="2"/>
  <c r="B12444" i="2"/>
  <c r="B12450" i="2"/>
  <c r="G12411" i="2"/>
  <c r="B12446" i="2"/>
  <c r="B12425" i="2"/>
  <c r="B12431" i="2"/>
  <c r="B12429" i="2"/>
  <c r="B12415" i="2"/>
  <c r="B12441" i="2"/>
  <c r="B12423" i="2"/>
  <c r="B12417" i="2"/>
  <c r="B12439" i="2"/>
  <c r="B12432" i="2"/>
  <c r="B12437" i="2"/>
  <c r="B12428" i="2"/>
  <c r="B12434" i="2"/>
  <c r="B12451" i="2"/>
  <c r="B12443" i="2"/>
  <c r="B12442" i="2"/>
  <c r="B12448" i="2"/>
  <c r="B12440" i="2"/>
  <c r="B12435" i="2"/>
  <c r="B12438" i="2"/>
  <c r="B12422" i="2"/>
  <c r="B12418" i="2"/>
  <c r="B12414" i="2"/>
  <c r="B12436" i="2"/>
  <c r="B12449" i="2"/>
  <c r="B12433" i="2"/>
  <c r="B12447" i="2"/>
  <c r="B12424" i="2"/>
  <c r="B12419" i="2"/>
  <c r="B12420" i="2"/>
  <c r="B12426" i="2"/>
  <c r="B11992" i="2"/>
  <c r="B12003" i="2"/>
  <c r="B12000" i="2"/>
  <c r="B11985" i="2"/>
  <c r="B11987" i="2"/>
  <c r="B12009" i="2"/>
  <c r="B12008" i="2"/>
  <c r="B11996" i="2"/>
  <c r="B12011" i="2"/>
  <c r="B12002" i="2"/>
  <c r="B11983" i="2"/>
  <c r="G11971" i="2"/>
  <c r="B11994" i="2"/>
  <c r="B11982" i="2"/>
  <c r="B11979" i="2"/>
  <c r="B11989" i="2"/>
  <c r="B11986" i="2"/>
  <c r="B11999" i="2"/>
  <c r="B11990" i="2"/>
  <c r="B11978" i="2"/>
  <c r="B11988" i="2"/>
  <c r="B11976" i="2"/>
  <c r="B11995" i="2"/>
  <c r="B11980" i="2"/>
  <c r="B12005" i="2"/>
  <c r="B11975" i="2"/>
  <c r="B11977" i="2"/>
  <c r="B11974" i="2"/>
  <c r="B12012" i="2"/>
  <c r="B12007" i="2"/>
  <c r="B11993" i="2"/>
  <c r="B12006" i="2"/>
  <c r="B11981" i="2"/>
  <c r="B12004" i="2"/>
  <c r="B11991" i="2"/>
  <c r="B11997" i="2"/>
  <c r="B12010" i="2"/>
  <c r="B12001" i="2"/>
  <c r="B11984" i="2"/>
  <c r="B11998" i="2"/>
  <c r="B12489" i="2"/>
  <c r="B12495" i="2"/>
  <c r="B12474" i="2"/>
  <c r="B12461" i="2"/>
  <c r="B12479" i="2"/>
  <c r="B12465" i="2"/>
  <c r="B12482" i="2"/>
  <c r="B12494" i="2"/>
  <c r="B12464" i="2"/>
  <c r="B12490" i="2"/>
  <c r="B12488" i="2"/>
  <c r="B12484" i="2"/>
  <c r="B12486" i="2"/>
  <c r="B12477" i="2"/>
  <c r="B12475" i="2"/>
  <c r="B12480" i="2"/>
  <c r="B12471" i="2"/>
  <c r="B12469" i="2"/>
  <c r="B12467" i="2"/>
  <c r="B12473" i="2"/>
  <c r="B12459" i="2"/>
  <c r="B12476" i="2"/>
  <c r="B12470" i="2"/>
  <c r="G12455" i="2"/>
  <c r="B12466" i="2"/>
  <c r="B12460" i="2"/>
  <c r="B12458" i="2"/>
  <c r="B12493" i="2"/>
  <c r="B12462" i="2"/>
  <c r="B12472" i="2"/>
  <c r="B12468" i="2"/>
  <c r="B12496" i="2"/>
  <c r="B12491" i="2"/>
  <c r="B12485" i="2"/>
  <c r="B12483" i="2"/>
  <c r="B12492" i="2"/>
  <c r="B12478" i="2"/>
  <c r="B12463" i="2"/>
  <c r="B12481" i="2"/>
  <c r="B12487" i="2"/>
  <c r="G274" i="1" l="1"/>
  <c r="K274" i="1" s="1"/>
  <c r="H274" i="1"/>
  <c r="L274" i="1" s="1"/>
  <c r="G279" i="1"/>
  <c r="K279" i="1" s="1"/>
  <c r="H283" i="1"/>
  <c r="L283" i="1" s="1"/>
  <c r="F283" i="1"/>
  <c r="J283" i="1" s="1"/>
  <c r="F288" i="1"/>
  <c r="J288" i="1" s="1"/>
  <c r="F276" i="1"/>
  <c r="J276" i="1" s="1"/>
  <c r="H294" i="1"/>
  <c r="L294" i="1" s="1"/>
  <c r="G286" i="1"/>
  <c r="K286" i="1" s="1"/>
  <c r="F274" i="1"/>
  <c r="H275" i="1"/>
  <c r="L275" i="1" s="1"/>
  <c r="G281" i="1"/>
  <c r="K281" i="1" s="1"/>
  <c r="H277" i="1"/>
  <c r="L277" i="1" s="1"/>
  <c r="H290" i="1"/>
  <c r="L290" i="1" s="1"/>
  <c r="F291" i="1"/>
  <c r="F285" i="1"/>
  <c r="F284" i="1"/>
  <c r="H279" i="1"/>
  <c r="L279" i="1" s="1"/>
  <c r="G293" i="1"/>
  <c r="K293" i="1" s="1"/>
  <c r="F280" i="1"/>
  <c r="F281" i="1"/>
  <c r="H278" i="1"/>
  <c r="L278" i="1" s="1"/>
  <c r="G291" i="1"/>
  <c r="K291" i="1" s="1"/>
  <c r="H286" i="1"/>
  <c r="L286" i="1" s="1"/>
  <c r="G277" i="1"/>
  <c r="K277" i="1" s="1"/>
  <c r="G280" i="1"/>
  <c r="K280" i="1" s="1"/>
  <c r="H293" i="1"/>
  <c r="L293" i="1" s="1"/>
  <c r="G294" i="1"/>
  <c r="K294" i="1" s="1"/>
  <c r="G284" i="1"/>
  <c r="K284" i="1" s="1"/>
  <c r="G282" i="1"/>
  <c r="K282" i="1" s="1"/>
  <c r="H289" i="1"/>
  <c r="L289" i="1" s="1"/>
  <c r="H276" i="1"/>
  <c r="L276" i="1" s="1"/>
  <c r="F293" i="1"/>
  <c r="H291" i="1"/>
  <c r="L291" i="1" s="1"/>
  <c r="G283" i="1"/>
  <c r="K283" i="1" s="1"/>
  <c r="H288" i="1"/>
  <c r="L288" i="1" s="1"/>
  <c r="H280" i="1"/>
  <c r="L280" i="1" s="1"/>
  <c r="F278" i="1"/>
  <c r="G287" i="1"/>
  <c r="K287" i="1" s="1"/>
  <c r="G276" i="1"/>
  <c r="K276" i="1" s="1"/>
  <c r="F292" i="1"/>
  <c r="F279" i="1"/>
  <c r="H282" i="1"/>
  <c r="L282" i="1" s="1"/>
  <c r="G278" i="1"/>
  <c r="K278" i="1" s="1"/>
  <c r="H284" i="1"/>
  <c r="L284" i="1" s="1"/>
  <c r="G285" i="1"/>
  <c r="K285" i="1" s="1"/>
  <c r="F289" i="1"/>
  <c r="G290" i="1"/>
  <c r="K290" i="1" s="1"/>
  <c r="F282" i="1"/>
  <c r="H287" i="1"/>
  <c r="L287" i="1" s="1"/>
  <c r="F275" i="1"/>
  <c r="F286" i="1"/>
  <c r="F290" i="1"/>
  <c r="H285" i="1"/>
  <c r="L285" i="1" s="1"/>
  <c r="F294" i="1"/>
  <c r="H292" i="1"/>
  <c r="L292" i="1" s="1"/>
  <c r="G289" i="1"/>
  <c r="K289" i="1" s="1"/>
  <c r="F287" i="1"/>
  <c r="G292" i="1"/>
  <c r="K292" i="1" s="1"/>
  <c r="F277" i="1"/>
  <c r="G288" i="1"/>
  <c r="K288" i="1" s="1"/>
  <c r="G275" i="1"/>
  <c r="K275" i="1" s="1"/>
  <c r="H281" i="1"/>
  <c r="L281" i="1" s="1"/>
  <c r="I288" i="1" l="1"/>
  <c r="M288" i="1"/>
  <c r="J289" i="1"/>
  <c r="M289" i="1" s="1"/>
  <c r="I289" i="1"/>
  <c r="M283" i="1"/>
  <c r="I290" i="1"/>
  <c r="J290" i="1"/>
  <c r="M290" i="1" s="1"/>
  <c r="I283" i="1"/>
  <c r="I280" i="1"/>
  <c r="J280" i="1"/>
  <c r="M280" i="1" s="1"/>
  <c r="J277" i="1"/>
  <c r="M277" i="1" s="1"/>
  <c r="I277" i="1"/>
  <c r="I286" i="1"/>
  <c r="J286" i="1"/>
  <c r="M286" i="1" s="1"/>
  <c r="I278" i="1"/>
  <c r="J278" i="1"/>
  <c r="M278" i="1" s="1"/>
  <c r="I282" i="1"/>
  <c r="J282" i="1"/>
  <c r="M282" i="1" s="1"/>
  <c r="I292" i="1"/>
  <c r="J292" i="1"/>
  <c r="M292" i="1" s="1"/>
  <c r="I285" i="1"/>
  <c r="J285" i="1"/>
  <c r="M285" i="1" s="1"/>
  <c r="I294" i="1"/>
  <c r="J294" i="1"/>
  <c r="M294" i="1" s="1"/>
  <c r="I293" i="1"/>
  <c r="J293" i="1"/>
  <c r="M293" i="1" s="1"/>
  <c r="I275" i="1"/>
  <c r="J275" i="1"/>
  <c r="M275" i="1" s="1"/>
  <c r="I274" i="1"/>
  <c r="J274" i="1"/>
  <c r="M274" i="1" s="1"/>
  <c r="I287" i="1"/>
  <c r="J287" i="1"/>
  <c r="M287" i="1" s="1"/>
  <c r="J279" i="1"/>
  <c r="M279" i="1" s="1"/>
  <c r="I279" i="1"/>
  <c r="I284" i="1"/>
  <c r="J284" i="1"/>
  <c r="M284" i="1" s="1"/>
  <c r="J291" i="1"/>
  <c r="M291" i="1" s="1"/>
  <c r="I291" i="1"/>
  <c r="M276" i="1"/>
  <c r="J281" i="1"/>
  <c r="M281" i="1" s="1"/>
  <c r="I281" i="1"/>
  <c r="I276" i="1"/>
</calcChain>
</file>

<file path=xl/sharedStrings.xml><?xml version="1.0" encoding="utf-8"?>
<sst xmlns="http://schemas.openxmlformats.org/spreadsheetml/2006/main" count="23937" uniqueCount="1844">
  <si>
    <t>I.- CANTIDAD DE MATERIALES</t>
  </si>
  <si>
    <t>Descripción</t>
  </si>
  <si>
    <t>Unidad</t>
  </si>
  <si>
    <t>Precio-Unitario</t>
  </si>
  <si>
    <t>Cantidad</t>
  </si>
  <si>
    <t>Valor Unitario</t>
  </si>
  <si>
    <t>Tubo metálico ø3/4" EMT</t>
  </si>
  <si>
    <t>ml</t>
  </si>
  <si>
    <t>Unión metálica ø3/4" EMT</t>
  </si>
  <si>
    <t>un</t>
  </si>
  <si>
    <t xml:space="preserve">Terminal metálico ø3/4" EMT </t>
  </si>
  <si>
    <t xml:space="preserve">Soporte Metálico Uniestruc Tubería ø3/4" </t>
  </si>
  <si>
    <t>Alambre de cobre desnudo #12 AWG-ED</t>
  </si>
  <si>
    <t>Alambre de cobre aislado #12 AWG-THHN/THWN Color negro</t>
  </si>
  <si>
    <t>Conector de resorte rojo "R" 18-10 AWG</t>
  </si>
  <si>
    <t xml:space="preserve">Caja galvanizada ref. 2400 + suplemento (Cal. 20) </t>
  </si>
  <si>
    <t>Marquillas para circuito</t>
  </si>
  <si>
    <t/>
  </si>
  <si>
    <t>Sub Total Materiales</t>
  </si>
  <si>
    <t>II. - HERRAMIENTAS Y EQUIPOS</t>
  </si>
  <si>
    <t>Tarifa/Hora</t>
  </si>
  <si>
    <t>Rend.</t>
  </si>
  <si>
    <t>HERRAMIENTAS MENORES ELECTRICAS</t>
  </si>
  <si>
    <t>HERRAMIENTAS MENORES CIVIL</t>
  </si>
  <si>
    <t>CAMIONETA</t>
  </si>
  <si>
    <t>ANDAMIOS</t>
  </si>
  <si>
    <t>Sub Total Herramienta y Equipos</t>
  </si>
  <si>
    <t>III.- MANO DE OBRA</t>
  </si>
  <si>
    <t>Tarifa/día</t>
  </si>
  <si>
    <t>CUADRILLA ELECTRICISTAS</t>
  </si>
  <si>
    <t>CUADRILLA CIVIL</t>
  </si>
  <si>
    <t>Sub Total Mano de Obra:</t>
  </si>
  <si>
    <t>Toma doble 20A-127V polo a tierra tipo GFCI  LX - Kora</t>
  </si>
  <si>
    <t>Toma Incrustar bifásica 2 x 20A - 250V.</t>
  </si>
  <si>
    <t>Alambre de cobre aislado #10 AWG-THHN/THWN Color negro</t>
  </si>
  <si>
    <t>Toma Incrustar Trifásica 3 x 50A - 250V.</t>
  </si>
  <si>
    <t>Tablero TWP-18B ctos 200A  3F-6H.  CPCH</t>
  </si>
  <si>
    <t>Tablero TWC-18MB ctos 200A  3F-6H.  CPCH. Espacio para totalizador</t>
  </si>
  <si>
    <t>Totalizador industrial 3x30 amperios</t>
  </si>
  <si>
    <t>caja moldeada para industrial</t>
  </si>
  <si>
    <t xml:space="preserve">Automático enchufable.  Safic DSE 1x15 -30A. 10KA </t>
  </si>
  <si>
    <t xml:space="preserve">Automático enchufable.  Safic DSE 2x15 -30A. 10KA </t>
  </si>
  <si>
    <t xml:space="preserve">Automático enchufable.  Safic DSE 3x15 -30A. 10KA </t>
  </si>
  <si>
    <t>Caja plastica 20x20</t>
  </si>
  <si>
    <t>Dps 3P 1000Vdc Projoy Tipo 2 Tuv</t>
  </si>
  <si>
    <t>Cinta Band - It  ø3/8"</t>
  </si>
  <si>
    <t>Hebilla para cinta Band - It ø3/8"</t>
  </si>
  <si>
    <t>Servicio de grúa en el sitio</t>
  </si>
  <si>
    <t>hr</t>
  </si>
  <si>
    <t>Tubo metálico galv. ø4" IMC</t>
  </si>
  <si>
    <t xml:space="preserve">Unión Conduit galv. ø4" </t>
  </si>
  <si>
    <t>Capacete en aluminio fundido ø4"</t>
  </si>
  <si>
    <t>Curva PVC ø4" para ducto DB</t>
  </si>
  <si>
    <t>Ducto telef. Y Electric. pesado DB ø2" PVC</t>
  </si>
  <si>
    <t>Campana terminal ducto ø2" PVC</t>
  </si>
  <si>
    <t>Soldadura liquida PVC 1/4 de galón</t>
  </si>
  <si>
    <t xml:space="preserve">Tubo metálico galv. Ø2" IMC </t>
  </si>
  <si>
    <t>Curva Conduit  ø2" RIGID</t>
  </si>
  <si>
    <t xml:space="preserve">Boquilla + contratuerca ø2" </t>
  </si>
  <si>
    <t>Accesorios de anclaje y fijacion.</t>
  </si>
  <si>
    <t xml:space="preserve">Unión Conduit galv. ø2" </t>
  </si>
  <si>
    <t>Coraza metálica plastificada ø3/4" LT - Americana</t>
  </si>
  <si>
    <t>Conector recto coraza plastificada ø3/4" LT</t>
  </si>
  <si>
    <t>Ladrillo tolete recocido</t>
  </si>
  <si>
    <t>Cemento gris</t>
  </si>
  <si>
    <t>bt</t>
  </si>
  <si>
    <t xml:space="preserve">Arena de peña </t>
  </si>
  <si>
    <t>m3</t>
  </si>
  <si>
    <t>Arena lavada + Gravilla = Mixto</t>
  </si>
  <si>
    <t>Marco + tapa de inspección cámara tipo CS -274</t>
  </si>
  <si>
    <t>jg</t>
  </si>
  <si>
    <t>Fungibles (Madera para formaleta, puntillas y accesorios).</t>
  </si>
  <si>
    <t>Marco + tapa de inspección cámara tipo CS -275</t>
  </si>
  <si>
    <t>Cable de Aluminio aislado #350 mcm - THHN/THWN</t>
  </si>
  <si>
    <t>Cable de Aluminio aislado #4/0 AWG - THHN/THWN</t>
  </si>
  <si>
    <t>Borna bimetálica de ojo tipo pala #4/0 AWG</t>
  </si>
  <si>
    <t>Borna bimetálica de ojo tipo pala #350 MCM</t>
  </si>
  <si>
    <t>Cable de Aluminio aislado #1/0 AWG - THHN/THWN</t>
  </si>
  <si>
    <t>Borna bimetálica de ojo tipo pala #1/0 AWG</t>
  </si>
  <si>
    <t>Cable de cobre aislado #8 AWG-THHN/THWN Color negro</t>
  </si>
  <si>
    <t>Cable de cobre aislado #10 AWG-THHN/THWN Color negro</t>
  </si>
  <si>
    <t>Borna terminal estañada de ojo tipo pala #8 AWG</t>
  </si>
  <si>
    <t>Cable de Aluminio aislado #2 AWG - THHN/THWN</t>
  </si>
  <si>
    <t>Cable de Aluminio aislado #6 AWG - THHN/THWN</t>
  </si>
  <si>
    <t>Borna bimetálica de ojo tipo pala #2 AWG</t>
  </si>
  <si>
    <t>Borna bimetálica de ojo tipo pala #6 AWG</t>
  </si>
  <si>
    <t>Cable de Aluminio aislado #4 AWG - THHN/THWN</t>
  </si>
  <si>
    <t>Borna bimetálica de ojo tipo pala #4 AWG</t>
  </si>
  <si>
    <t>Cable de cobre aislado #12 AWG-THHN/THWN Color negro</t>
  </si>
  <si>
    <t xml:space="preserve">Cable de cobre desnudo #2/0 AWG </t>
  </si>
  <si>
    <t>Varilla de cobre ø5/8" X 2.40 mts - tierras</t>
  </si>
  <si>
    <t>Favigel (bulto de 25 Kgs)</t>
  </si>
  <si>
    <t>Kg.</t>
  </si>
  <si>
    <t>Soldadura Cadweld 115 gr.</t>
  </si>
  <si>
    <t>Molde estandar en grafito + pinza  para soldadura</t>
  </si>
  <si>
    <t>Accesorios de limpieza (Cepillo de alambre - Chispero)</t>
  </si>
  <si>
    <t>Borna terminal estañada  de ojo tipo pala #2/0 AWG</t>
  </si>
  <si>
    <t>Pozo + tapa metalica de inspección 30x30 cms - Tierras SPT</t>
  </si>
  <si>
    <t>barraje equipontencial de 50x10 mm</t>
  </si>
  <si>
    <t xml:space="preserve">Cable de Aluminio desnudo ACSR #2 AWG </t>
  </si>
  <si>
    <t>Aislador de pin ANSI 55-5  15 KV</t>
  </si>
  <si>
    <t>Pararrayos 12KV-10KA. ZnO</t>
  </si>
  <si>
    <t>Conector compresión aluminio 4-4/0</t>
  </si>
  <si>
    <t>Abrazadera una salida tipo 200</t>
  </si>
  <si>
    <t>Abrazadera en U ø5/8" tipo 2</t>
  </si>
  <si>
    <t>Poste de concreto 12 mts 750 Kgf</t>
  </si>
  <si>
    <t>Transporte al sitio de la obra</t>
  </si>
  <si>
    <t>DIAGONAL EN VARILLA DE 5/8" X 0,77 MTS. NO. 1 E.E.B.</t>
  </si>
  <si>
    <t>Conector Terminal de Compresión tipo vastago, tipo 4</t>
  </si>
  <si>
    <t>ESPARRAGO DE 5/8" X 6" - 4 T</t>
  </si>
  <si>
    <t xml:space="preserve">ESPARRAGO DE 5/8" X 8" - 4T, </t>
  </si>
  <si>
    <t>CRUCETA DE 2-1/2" X 1/4" X 2,50 MTS</t>
  </si>
  <si>
    <t>Cortacircuito tipo expulsión 15KV -20KA 100Amps</t>
  </si>
  <si>
    <t>Soporte Luminaria</t>
  </si>
  <si>
    <t>Brazo galv. Ø3/4" x 1,50 mts. Lum. 70-150W + abrazaderas</t>
  </si>
  <si>
    <t>Lámpara Alumbrado Publico 50W con Fotocelda</t>
  </si>
  <si>
    <t>Poste de concreto 12 mts 510 Kgf</t>
  </si>
  <si>
    <t>Poste de concreto 12 mts 1050 Kgf</t>
  </si>
  <si>
    <t>Caja de borneras para acometida BT. ET-925 hermética</t>
  </si>
  <si>
    <t xml:space="preserve">Transformador 3ø 15KV / 600V 75KVA aceite </t>
  </si>
  <si>
    <t>panel led 60x60</t>
  </si>
  <si>
    <t>Cable flexible encauchetado ST-C 3x16 AWG</t>
  </si>
  <si>
    <t>Sylvania panel led 18w</t>
  </si>
  <si>
    <t>Sylvania lampara hermetica</t>
  </si>
  <si>
    <t>Lámpara LED Alumbrado Público 100W Syl-Street Sylvania</t>
  </si>
  <si>
    <t>Lámpara de emergencia tipo micky mouse</t>
  </si>
  <si>
    <t>Un</t>
  </si>
  <si>
    <t>Aislador Polimerico 24KV</t>
  </si>
  <si>
    <t>Cruceta metalica 2.5m</t>
  </si>
  <si>
    <t>GRAPA RETENCIÓN ALUMINIO TIPO RECTO 6 - 4/0 (HOMOLOGADA IMPORTADA)</t>
  </si>
  <si>
    <t>Cinta Band - It  ø5/8"</t>
  </si>
  <si>
    <t>Hebilla para cinta Band - It ø5/8"</t>
  </si>
  <si>
    <t>Cortacircuito tipo cuchilla 15KV -20KA 400Amps</t>
  </si>
  <si>
    <t>Perno de ojo galv. Ø5/8" x 28"</t>
  </si>
  <si>
    <t>DPS Pararayo 12KV 10KA</t>
  </si>
  <si>
    <t>Conector tipo cuña P=95 D=70mm² o 4/0-2/0AWG</t>
  </si>
  <si>
    <t xml:space="preserve">ESPARRAGO DE 5/8" X 12" - 4T, </t>
  </si>
  <si>
    <t>PERNO CARRIAJE DE 5/8" X 1-1/2"  1 TUERCA</t>
  </si>
  <si>
    <t xml:space="preserve">Boquilla + contratuerca ø4" </t>
  </si>
  <si>
    <t>Terminales Premoldeadas para 15 KV - Uso Exterior para Calibres de Cable entre 250 - 500 - Juego x 3 Unidades</t>
  </si>
  <si>
    <t>Abrazadera de una salida para sujeción de cables al poste</t>
  </si>
  <si>
    <t>Abrazadera de dos salidas tipo 4, 200 mm</t>
  </si>
  <si>
    <t>Cable de Al. XLPE 100% 15KV. 185 mm. NC</t>
  </si>
  <si>
    <t>Borna terminal estañada  de ojo tipo pala #4/0 AWG</t>
  </si>
  <si>
    <t>Cinta aislante Super #33 x 20 mts</t>
  </si>
  <si>
    <t>rl</t>
  </si>
  <si>
    <t>Ducto telef. Y Electric. Corrugado TDP ø6" PVC</t>
  </si>
  <si>
    <t>Campana terminal ducto ø6" PVC</t>
  </si>
  <si>
    <t>Cinta roja Ø3" señalizacion canalizacion</t>
  </si>
  <si>
    <t>Relleno con material de la excavacion</t>
  </si>
  <si>
    <t>m2</t>
  </si>
  <si>
    <t>Transformador 3ø 15/1,2 KV 500KVA Seco Clase F en Resina</t>
  </si>
  <si>
    <t>Celda para transformador de 500/800 KVA</t>
  </si>
  <si>
    <t>Celda de Seccionamiento en SF6 en 15kV</t>
  </si>
  <si>
    <t>Celda de protección trafo + fusibles HH 40 Amps</t>
  </si>
  <si>
    <t>Celda de Entrada SF6 en 15kV</t>
  </si>
  <si>
    <t>Celda de Salida SF6 en 15kV</t>
  </si>
  <si>
    <t>Celda remonte en SF6 15KV</t>
  </si>
  <si>
    <t>Vigueta en concreto y acero</t>
  </si>
  <si>
    <t>Marco + tapas de inspección cámara tipo CS -276</t>
  </si>
  <si>
    <t>Aro + tapa de inspección CS-280 Vehicular homologada CODENSA S.A.</t>
  </si>
  <si>
    <t>Obra civil para subestacion electrica</t>
  </si>
  <si>
    <t>gb</t>
  </si>
  <si>
    <t xml:space="preserve">Caja en Aluminio Fundido Tipo RAWELD ref. 2400 Con 2 Salidas Ø3/4" </t>
  </si>
  <si>
    <t>Cable flexible encauchetado ST-C 2x14 AWG</t>
  </si>
  <si>
    <t>Clavija de caucho polo a tierra 15A, 125V, F+N+T</t>
  </si>
  <si>
    <t>Prensaestopa de 10 a 14 mm ø1/2"</t>
  </si>
  <si>
    <t>Toma doble tierra aislada 15A 125V Nema 5-15R ref. 5262-IG Color Naranja, LEVITON + Tapa.</t>
  </si>
  <si>
    <t>Toma GFCI LX - Ambia  Refresh</t>
  </si>
  <si>
    <t>Tubo metálico ø1/2" EMT</t>
  </si>
  <si>
    <t>Unión metálica ø1/2" EMT</t>
  </si>
  <si>
    <t xml:space="preserve">Terminal metálico ø1/2" EMT </t>
  </si>
  <si>
    <t xml:space="preserve">Soporte Metálico Uniestruc Tubería ø1/2" </t>
  </si>
  <si>
    <t>Cable de cobre aislado #10 AWG-THHN/THWN Color verde</t>
  </si>
  <si>
    <t>Sylvania panel led 9w</t>
  </si>
  <si>
    <t>Sylvania lampara hermetica 2x18</t>
  </si>
  <si>
    <t>Sylvania panel led 12w</t>
  </si>
  <si>
    <t xml:space="preserve">Panel led 120x30 40W Sylvania </t>
  </si>
  <si>
    <t>aplique para pared</t>
  </si>
  <si>
    <t>Aplique Tortuga Led 960 Lúmenes 12w Luz Blanca Ip65</t>
  </si>
  <si>
    <t>LED WALLPACK TP-WP02 38W NW</t>
  </si>
  <si>
    <t>LED REFLECTOR JETA 100W DL</t>
  </si>
  <si>
    <t xml:space="preserve">Sylvania LED EMERG AVISO DOBLE SPOT </t>
  </si>
  <si>
    <t>Sylvania LED EMERG DOWNLIGHT 4.5W 6K ASYM</t>
  </si>
  <si>
    <t>Sylvania LED EMERG APLIQUE 4W</t>
  </si>
  <si>
    <t>Cable de cobre aislado #350 MCM-THHN/THWN Color negro</t>
  </si>
  <si>
    <t>Borna terminal estañada  de ojo tipo pala #350 MCM</t>
  </si>
  <si>
    <t>Termoencogible</t>
  </si>
  <si>
    <t xml:space="preserve">Cable de cobre desnudo #4 AWG </t>
  </si>
  <si>
    <t>Borna terminal estañada de ojo tipo pala #4 AWG</t>
  </si>
  <si>
    <t>Cable de cobre aislado #4/0 AWG-THHN/THWN Color negro</t>
  </si>
  <si>
    <t>Cable de cobre aislado #2 AWG-THHN/THWN Color negro</t>
  </si>
  <si>
    <t>Borna terminal estañada de ojo tipo pala #2 AWG</t>
  </si>
  <si>
    <t>Cable de cobre aislado #2/0 AWG-THHN/THWN Color negro</t>
  </si>
  <si>
    <t>Cable de cobre aislado #6 AWG-THHN/THWN Color negro</t>
  </si>
  <si>
    <t>Borna terminal estañada de ojo tipo pala #6 AWG</t>
  </si>
  <si>
    <t>Borna terminal estañada de ojo tipo pala #10 AWG</t>
  </si>
  <si>
    <t>Cable de cobre aislado #1/0 AWG-THHN/THWN Color negro</t>
  </si>
  <si>
    <t>Borna terminal estañada  de ojo tipo pala #1/0 AWG</t>
  </si>
  <si>
    <t>Tablero según requerimiento</t>
  </si>
  <si>
    <t>Bandeja tipo malla electrozincada 54x600mm. Tramo de 3,00 mts</t>
  </si>
  <si>
    <t>Bandeja tipo malla electrozincada 54x400mm. Tramo de 3,00 mts</t>
  </si>
  <si>
    <t>Bandeja tipo malla electrozincada 54x200mm. Tramo de 3,00 mts</t>
  </si>
  <si>
    <t>Canaleta de 60 x 40 mm x 2 mts.</t>
  </si>
  <si>
    <t>Ducto telef. Y Electric. Corrugado TDP ø4" PVC</t>
  </si>
  <si>
    <t>Campana terminal ducto ø4" PVC</t>
  </si>
  <si>
    <t>Caja de paso metálica 30 x 30 x 15 cm</t>
  </si>
  <si>
    <t>Caja de paso metálica 60 x 60 x 20 cm</t>
  </si>
  <si>
    <t>Tapa en concreto y acero 80x80</t>
  </si>
  <si>
    <t>Tapa de concreto 1x1</t>
  </si>
  <si>
    <t>Transformador 3ø 15/1,2 KV 60KVA</t>
  </si>
  <si>
    <t>Grupo electrógeno de mínimo 150KVA servicio StandBy efectivos a una altura de Bogotá, 480/277V, incluye tablero de control y breaker y cabina insonorisada</t>
  </si>
  <si>
    <t>Ups 15kva / 15kw Torre American Power Trifasica 208 / 120vac</t>
  </si>
  <si>
    <t>Alambron de aluminio 8mm</t>
  </si>
  <si>
    <t>Soporte para alambron de aluminio</t>
  </si>
  <si>
    <t>Grapa de empalme alambron alambron</t>
  </si>
  <si>
    <t>Kit de punta captadora de rayo ø5/8" 0,60m + base</t>
  </si>
  <si>
    <t>Fleje de cobre blando 0,7x50 mm</t>
  </si>
  <si>
    <t>1BB45430</t>
  </si>
  <si>
    <t>2A06DB8F</t>
  </si>
  <si>
    <t>150E9AA</t>
  </si>
  <si>
    <t>20F90221</t>
  </si>
  <si>
    <t>16B903F2</t>
  </si>
  <si>
    <t>291C1644</t>
  </si>
  <si>
    <t>2D3540C6</t>
  </si>
  <si>
    <t>1497F35F</t>
  </si>
  <si>
    <t>237FFCE7</t>
  </si>
  <si>
    <t>30EC912</t>
  </si>
  <si>
    <t>1E03BDFC</t>
  </si>
  <si>
    <t>FB79DA4</t>
  </si>
  <si>
    <t>1DFC72E4</t>
  </si>
  <si>
    <t>48F2C5B</t>
  </si>
  <si>
    <t>25D786DE</t>
  </si>
  <si>
    <t>16E250B9</t>
  </si>
  <si>
    <t>33C6228E</t>
  </si>
  <si>
    <t>C46F10B</t>
  </si>
  <si>
    <t>256D3A96</t>
  </si>
  <si>
    <t>2F449257</t>
  </si>
  <si>
    <t>144B8C6D</t>
  </si>
  <si>
    <t>25A6908F</t>
  </si>
  <si>
    <t>275F5DBF</t>
  </si>
  <si>
    <t>DBAEB89</t>
  </si>
  <si>
    <t>30A6CCC4</t>
  </si>
  <si>
    <t>1F9357ED</t>
  </si>
  <si>
    <t>20ADAA76</t>
  </si>
  <si>
    <t>68FA0C0</t>
  </si>
  <si>
    <t>1A22BCB0</t>
  </si>
  <si>
    <t>E78D3AD</t>
  </si>
  <si>
    <t>187E1AAD</t>
  </si>
  <si>
    <t>282B45F9</t>
  </si>
  <si>
    <t>2AB6DBED</t>
  </si>
  <si>
    <t>5C12700</t>
  </si>
  <si>
    <t>28CFC825</t>
  </si>
  <si>
    <t>28CE813E</t>
  </si>
  <si>
    <t>259E1678</t>
  </si>
  <si>
    <t>14DBDA14</t>
  </si>
  <si>
    <t>1603325D</t>
  </si>
  <si>
    <t>33EFDBD6</t>
  </si>
  <si>
    <t>2FA16F46</t>
  </si>
  <si>
    <t>3920E868</t>
  </si>
  <si>
    <t>3382DE68</t>
  </si>
  <si>
    <t>17A43BBE</t>
  </si>
  <si>
    <t>35A97132</t>
  </si>
  <si>
    <t>AC7FD7F</t>
  </si>
  <si>
    <t>37CE9509</t>
  </si>
  <si>
    <t>2A6BDCF4</t>
  </si>
  <si>
    <t>2E2E0D86</t>
  </si>
  <si>
    <t>3699F1F1</t>
  </si>
  <si>
    <t>36AE6D0B</t>
  </si>
  <si>
    <t>29E6E92</t>
  </si>
  <si>
    <t>1FBC25BE</t>
  </si>
  <si>
    <t>1895F5FD</t>
  </si>
  <si>
    <t>117C33DD</t>
  </si>
  <si>
    <t>2097E976</t>
  </si>
  <si>
    <t>120CCC4E</t>
  </si>
  <si>
    <t>2E39E991</t>
  </si>
  <si>
    <t>3257DF9D</t>
  </si>
  <si>
    <t>2A5F3FA9</t>
  </si>
  <si>
    <t>1AD75273</t>
  </si>
  <si>
    <t>24E3CB7C</t>
  </si>
  <si>
    <t>22F7B83</t>
  </si>
  <si>
    <t>4CC085E</t>
  </si>
  <si>
    <t>D37EF0C</t>
  </si>
  <si>
    <t>C8D30F1</t>
  </si>
  <si>
    <t>11AD0746</t>
  </si>
  <si>
    <t>282D4908</t>
  </si>
  <si>
    <t>28665D16</t>
  </si>
  <si>
    <t>3A861709</t>
  </si>
  <si>
    <t>1DF0C3D5</t>
  </si>
  <si>
    <t>36063B64</t>
  </si>
  <si>
    <t>2D2FBDC4</t>
  </si>
  <si>
    <t>2CDBDF4</t>
  </si>
  <si>
    <t>2BEF4891</t>
  </si>
  <si>
    <t>947B5AE</t>
  </si>
  <si>
    <t>39B286B5</t>
  </si>
  <si>
    <t>2FF40D5F</t>
  </si>
  <si>
    <t>14A3F614</t>
  </si>
  <si>
    <t>264BEE70</t>
  </si>
  <si>
    <t>2AED62E0</t>
  </si>
  <si>
    <t>112CFE66</t>
  </si>
  <si>
    <t>2465D0D5</t>
  </si>
  <si>
    <t>379F99ED</t>
  </si>
  <si>
    <t>2FAC2FA5</t>
  </si>
  <si>
    <t>36D33D65</t>
  </si>
  <si>
    <t>16FF7AD</t>
  </si>
  <si>
    <t>46CF8EA</t>
  </si>
  <si>
    <t>C92508B</t>
  </si>
  <si>
    <t>3A4DEED0</t>
  </si>
  <si>
    <t>DB8DA89</t>
  </si>
  <si>
    <t>23D1EE15</t>
  </si>
  <si>
    <t>4AA0882</t>
  </si>
  <si>
    <t>172AFE6</t>
  </si>
  <si>
    <t>2E64EEFE</t>
  </si>
  <si>
    <t>21F159E8</t>
  </si>
  <si>
    <t>39C10FE1</t>
  </si>
  <si>
    <t>168A468A</t>
  </si>
  <si>
    <t>37D7E6EA</t>
  </si>
  <si>
    <t>226D8362</t>
  </si>
  <si>
    <t>2583B239</t>
  </si>
  <si>
    <t>1A3486FE</t>
  </si>
  <si>
    <t>B9C68FE</t>
  </si>
  <si>
    <t>23346CC6</t>
  </si>
  <si>
    <t>3265BBEE</t>
  </si>
  <si>
    <t>1A551EBF</t>
  </si>
  <si>
    <t>339E9567</t>
  </si>
  <si>
    <t>363FF05A</t>
  </si>
  <si>
    <t>33ACE43F</t>
  </si>
  <si>
    <t>2D96B6C</t>
  </si>
  <si>
    <t>3691638C</t>
  </si>
  <si>
    <t>4FB0D10</t>
  </si>
  <si>
    <t>1ED68836</t>
  </si>
  <si>
    <t>28531D9C</t>
  </si>
  <si>
    <t>F156F24</t>
  </si>
  <si>
    <t>520E15B</t>
  </si>
  <si>
    <t>1A346818</t>
  </si>
  <si>
    <t>DDD2BF0</t>
  </si>
  <si>
    <t>1F4B2BE9</t>
  </si>
  <si>
    <t>1F347223</t>
  </si>
  <si>
    <t>2E552B9C</t>
  </si>
  <si>
    <t>AA66FD6</t>
  </si>
  <si>
    <t>128A7884</t>
  </si>
  <si>
    <t>2FEF6BB1</t>
  </si>
  <si>
    <t>2490FC03</t>
  </si>
  <si>
    <t>34D318B6</t>
  </si>
  <si>
    <t>2392D3E1</t>
  </si>
  <si>
    <t>1C688BE5</t>
  </si>
  <si>
    <t>2E874337</t>
  </si>
  <si>
    <t>1D86F5F7</t>
  </si>
  <si>
    <t>F27AB94</t>
  </si>
  <si>
    <t>FBD731E</t>
  </si>
  <si>
    <t>F28BC47</t>
  </si>
  <si>
    <t>2B0C7DA5</t>
  </si>
  <si>
    <t>36BF32C0</t>
  </si>
  <si>
    <t>14452DEE</t>
  </si>
  <si>
    <t>7EE7027</t>
  </si>
  <si>
    <t>2D996F0E</t>
  </si>
  <si>
    <t>28C40E25</t>
  </si>
  <si>
    <t>312EF030</t>
  </si>
  <si>
    <t>385B58F1</t>
  </si>
  <si>
    <t>3502B817</t>
  </si>
  <si>
    <t>2D92D7CE</t>
  </si>
  <si>
    <t>1AFBDDE1</t>
  </si>
  <si>
    <t>DF2C18A</t>
  </si>
  <si>
    <t>14D648F0</t>
  </si>
  <si>
    <t>34678ED0</t>
  </si>
  <si>
    <t>150D2023</t>
  </si>
  <si>
    <t>7F96285</t>
  </si>
  <si>
    <t>2EB2F96</t>
  </si>
  <si>
    <t>E922C82</t>
  </si>
  <si>
    <t>24AC5F32</t>
  </si>
  <si>
    <t>B07B1AA</t>
  </si>
  <si>
    <t>43C5CFA</t>
  </si>
  <si>
    <t>22B0478A</t>
  </si>
  <si>
    <t>1BF76DD7</t>
  </si>
  <si>
    <t>33A250FA</t>
  </si>
  <si>
    <t>202BA8A8</t>
  </si>
  <si>
    <t>1B4776F2</t>
  </si>
  <si>
    <t>10486BDC</t>
  </si>
  <si>
    <t>1CB4F563</t>
  </si>
  <si>
    <t>26ABB113</t>
  </si>
  <si>
    <t>2D945BF4</t>
  </si>
  <si>
    <t>F902944</t>
  </si>
  <si>
    <t>B17A926</t>
  </si>
  <si>
    <t>2FF6629E</t>
  </si>
  <si>
    <t>63066ED</t>
  </si>
  <si>
    <t>23EBEED1</t>
  </si>
  <si>
    <t>2A29913A</t>
  </si>
  <si>
    <t>20074DB4</t>
  </si>
  <si>
    <t>1370D6A</t>
  </si>
  <si>
    <t>35B12FB5</t>
  </si>
  <si>
    <t>22081CC5</t>
  </si>
  <si>
    <t>34AC541C</t>
  </si>
  <si>
    <t>10C13770</t>
  </si>
  <si>
    <t>234AEE86</t>
  </si>
  <si>
    <t>CE37BF2</t>
  </si>
  <si>
    <t>1E438045</t>
  </si>
  <si>
    <t>A.P.U.</t>
  </si>
  <si>
    <t>ÍTEM</t>
  </si>
  <si>
    <t>DESCRIPCIÓN</t>
  </si>
  <si>
    <t>UND.</t>
  </si>
  <si>
    <t>CANT.</t>
  </si>
  <si>
    <t>Materiales</t>
  </si>
  <si>
    <t>Herramientas</t>
  </si>
  <si>
    <t>Mano</t>
  </si>
  <si>
    <t>VALOR / UN</t>
  </si>
  <si>
    <t>VALOR TOTAL</t>
  </si>
  <si>
    <t>UN</t>
  </si>
  <si>
    <t>CODIGO</t>
  </si>
  <si>
    <t>SALIDAS ELECTRICAS EN APARTAMENTOS</t>
  </si>
  <si>
    <t>Retiro de caja para interruptor en caja moldeada 3x250A</t>
  </si>
  <si>
    <t>HERRAMIENTAS Y EQUIPOS</t>
  </si>
  <si>
    <t>ITEM</t>
  </si>
  <si>
    <t>DESCRIPCION</t>
  </si>
  <si>
    <t>UNIDAD</t>
  </si>
  <si>
    <t>VALOR HORA</t>
  </si>
  <si>
    <t>VALOR DIA</t>
  </si>
  <si>
    <t>MONTACARGAS</t>
  </si>
  <si>
    <t>REMOLQUE</t>
  </si>
  <si>
    <t>GRUA</t>
  </si>
  <si>
    <t>VOLQUETA</t>
  </si>
  <si>
    <t>CAMION</t>
  </si>
  <si>
    <t>CORTADORAS DE ASFALTO</t>
  </si>
  <si>
    <t>MOTOBOMBA</t>
  </si>
  <si>
    <t>VIBROCOMPACTADOR</t>
  </si>
  <si>
    <t>EQUIPO DEIMPACTO URBANO</t>
  </si>
  <si>
    <t>COMPRESOR DE 2 MARTILLOS</t>
  </si>
  <si>
    <t>VOLQUETA (VIAJE 6 M3. MAXIMO 30 KMS)</t>
  </si>
  <si>
    <t>VJ</t>
  </si>
  <si>
    <t>CARGADOR 50 M3 SOBRE LLANTAS</t>
  </si>
  <si>
    <t>HR</t>
  </si>
  <si>
    <t>RETROEXCAVADORA</t>
  </si>
  <si>
    <t>RANA</t>
  </si>
  <si>
    <t>VIBROCOMPACTADOR (CANGURO)</t>
  </si>
  <si>
    <t>SONDA DE FIBRA DE VIDRIO</t>
  </si>
  <si>
    <t>PULIDORA CON DISCO DE METAL</t>
  </si>
  <si>
    <t>TALADRO PERCUTOR</t>
  </si>
  <si>
    <t>BROCA DE TUNGSTENO</t>
  </si>
  <si>
    <t>DOTACIONES</t>
  </si>
  <si>
    <t>BOTAS</t>
  </si>
  <si>
    <t>UND</t>
  </si>
  <si>
    <t>OVEROL</t>
  </si>
  <si>
    <t>GUANTES</t>
  </si>
  <si>
    <t>PAR</t>
  </si>
  <si>
    <t>CASCO</t>
  </si>
  <si>
    <t>GAFAS</t>
  </si>
  <si>
    <t>SMLV AÑO 2011</t>
  </si>
  <si>
    <t>AUX. TRANSP.</t>
  </si>
  <si>
    <t>M A N O   D E   O B R A</t>
  </si>
  <si>
    <t>MES</t>
  </si>
  <si>
    <t>S.B.M.</t>
  </si>
  <si>
    <t>EPS+FP+ARP</t>
  </si>
  <si>
    <t>CAJA+SENA+ICBF</t>
  </si>
  <si>
    <t>CES+VAC+PRI</t>
  </si>
  <si>
    <t>AUX. TTE.</t>
  </si>
  <si>
    <t>TTE. INTERMUNIC.</t>
  </si>
  <si>
    <t>COMIDA</t>
  </si>
  <si>
    <t>HOSPEDAJE</t>
  </si>
  <si>
    <t>TRANSPORTE Adicional</t>
  </si>
  <si>
    <t>% DE INC.</t>
  </si>
  <si>
    <t>TOTAL</t>
  </si>
  <si>
    <t xml:space="preserve">VALOR MES </t>
  </si>
  <si>
    <t>DOT./AÑO</t>
  </si>
  <si>
    <t>VALOR HORA (MES = 192 HORAS)</t>
  </si>
  <si>
    <t>2 Oficiales</t>
  </si>
  <si>
    <t>x</t>
  </si>
  <si>
    <t>y</t>
  </si>
  <si>
    <t>b0</t>
  </si>
  <si>
    <t>b1</t>
  </si>
  <si>
    <t>b2</t>
  </si>
  <si>
    <t>INDICE DE INFLACION PARA AÑO 2025</t>
  </si>
  <si>
    <t>INDICE DE INFLACION PARA AÑO 2024</t>
  </si>
  <si>
    <t>INDICE DE INFLACION PARA AÑO 2023</t>
  </si>
  <si>
    <t>INDICE DE INFLACION PARA AÑO 2022</t>
  </si>
  <si>
    <t>INCREMENTO TOTAL AÑO 2025</t>
  </si>
  <si>
    <t>SALARIO MINIMO LEGAL VIGENTE AÑO 2025</t>
  </si>
  <si>
    <t>AUXILIO DE TRANSPORTE AÑO 2025</t>
  </si>
  <si>
    <t>2 Dotaciones x año</t>
  </si>
  <si>
    <t>2 Ayudantes</t>
  </si>
  <si>
    <t>1 Ingeniero</t>
  </si>
  <si>
    <t>1 Encargado</t>
  </si>
  <si>
    <t>1 Dotaciones x año</t>
  </si>
  <si>
    <t>0,5 Ingeniero</t>
  </si>
  <si>
    <t>-</t>
  </si>
  <si>
    <t>B399EA4-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</si>
  <si>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</si>
  <si>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</si>
  <si>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</si>
  <si>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</si>
  <si>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</si>
  <si>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</si>
  <si>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</si>
  <si>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</si>
  <si>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</si>
  <si>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</si>
  <si>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</si>
  <si>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</si>
  <si>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</si>
  <si>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</si>
  <si>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</si>
  <si>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</si>
  <si>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</si>
  <si>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</si>
  <si>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</si>
  <si>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</si>
  <si>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</si>
  <si>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</si>
  <si>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</si>
  <si>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</si>
  <si>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</si>
  <si>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</si>
  <si>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</si>
  <si>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</si>
  <si>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</si>
  <si>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</si>
  <si>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</si>
  <si>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</si>
  <si>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</si>
  <si>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</si>
  <si>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</si>
  <si>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</si>
  <si>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</si>
  <si>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</si>
  <si>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</si>
  <si>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266WK98C</t>
  </si>
  <si>
    <t>2BE678K5</t>
  </si>
  <si>
    <t>3C764HS3</t>
  </si>
  <si>
    <t>1R9079BB</t>
  </si>
  <si>
    <t>2NF80EL8</t>
  </si>
  <si>
    <t>WO356E4</t>
  </si>
  <si>
    <t>38L074E1</t>
  </si>
  <si>
    <t>2D95E201</t>
  </si>
  <si>
    <t>A3N6019</t>
  </si>
  <si>
    <t>154AS3257</t>
  </si>
  <si>
    <t>Insumos menores</t>
  </si>
  <si>
    <t>CODIGO Materiales</t>
  </si>
  <si>
    <t>CODIGO Herramienta</t>
  </si>
  <si>
    <t>CODIGO  Mano de obra</t>
  </si>
  <si>
    <t>Retiro de acometida 3#8(F)+1#8(N)+1#10(T)</t>
  </si>
  <si>
    <t>Retiro de acometida 3#1/0(F)+1#2(N)+1#8(T)</t>
  </si>
  <si>
    <t>2D39E71-</t>
  </si>
  <si>
    <t>E47DA25-</t>
  </si>
  <si>
    <t>Retiro de acometida 3#10(F)+1#10(N)+1#10(T)</t>
  </si>
  <si>
    <t>1AADBAF6-</t>
  </si>
  <si>
    <t>Retiro cajas de paso en tanque de agua potable.</t>
  </si>
  <si>
    <t>AE6EC23-</t>
  </si>
  <si>
    <t>Retiro de tablero trifásico 12 circuitos.</t>
  </si>
  <si>
    <t>2F32F435-</t>
  </si>
  <si>
    <t>Retiro de caja de circuitos TBAP. 12 circuitos</t>
  </si>
  <si>
    <t>Retiro de salidas de tomacorrientes e iluminación existentes</t>
  </si>
  <si>
    <t>1564C36B-</t>
  </si>
  <si>
    <t>*</t>
  </si>
  <si>
    <t>Suministro e instalación de tablero General de Distribución (TGD) según diagrama unifilar</t>
  </si>
  <si>
    <t>20F92DB3-</t>
  </si>
  <si>
    <t>Tablero General de Distribución (TGD) según diagrama unifilar</t>
  </si>
  <si>
    <t>182BF30B-</t>
  </si>
  <si>
    <t>12A5B4D1-</t>
  </si>
  <si>
    <t>Suministro e instalación de interruptor automático 3x40A en caja moldeada</t>
  </si>
  <si>
    <t>34F286E3-</t>
  </si>
  <si>
    <t>C46F1B11</t>
  </si>
  <si>
    <t xml:space="preserve">Automático enchufable.  Safic DSE 3x40 -50A. 10KA </t>
  </si>
  <si>
    <t>2AC42050</t>
  </si>
  <si>
    <t>1B5665JH</t>
  </si>
  <si>
    <t>2D945BF5</t>
  </si>
  <si>
    <t>Totalizador industrial 3x40 amperios en caja moldeada</t>
  </si>
  <si>
    <t>2CE82924-</t>
  </si>
  <si>
    <t>Suministro e instalación de acometida 3#1/0(F)+1#1/0(N)+1#6(T) de cobre</t>
  </si>
  <si>
    <t>165F5D86-</t>
  </si>
  <si>
    <t>30D57FC1-</t>
  </si>
  <si>
    <t>Suministro e instalación de alimentador 1#12(F)+1#12(N)+1#12(T) de cobre</t>
  </si>
  <si>
    <t>2A75A7A-</t>
  </si>
  <si>
    <t>Suministro e instalación de tubería 1Ø1" PVC tipo A (T-BAP), incluye regata para instalación en piso. Incluye tuberías PVC tipo A y demás accesorios para su correcta instalación,  funcionamiento y señalización.</t>
  </si>
  <si>
    <t>307EA178-</t>
  </si>
  <si>
    <t>Tubo Conduit PVC ø1"</t>
  </si>
  <si>
    <t>Adaptador terminal PVC ø1"</t>
  </si>
  <si>
    <t>Curva PVC ø1"</t>
  </si>
  <si>
    <t xml:space="preserve">Soporte Metálico Uniestruc Tubería ø1" </t>
  </si>
  <si>
    <t>12C0B1C2</t>
  </si>
  <si>
    <t>18F0702F</t>
  </si>
  <si>
    <t>208AB10F</t>
  </si>
  <si>
    <t>3475616B</t>
  </si>
  <si>
    <t>Regata en concreto</t>
  </si>
  <si>
    <t>36264D1B</t>
  </si>
  <si>
    <t>Suministro e instalación de tubería EMT 3/4"</t>
  </si>
  <si>
    <t>20D1A895-</t>
  </si>
  <si>
    <t>Suministro e instalación de canaleta metálica 10x5 cm con separador. Incluye canaleta y demás accesorios para su correcta instalación,  fincionamiento y señalización.</t>
  </si>
  <si>
    <t>97DEC52-</t>
  </si>
  <si>
    <t>Canaleta de 10x5 cm con division x 2,4 mts.</t>
  </si>
  <si>
    <t>1R9079BC</t>
  </si>
  <si>
    <t>Troquel para canaleta metalica</t>
  </si>
  <si>
    <t>32B7CED1</t>
  </si>
  <si>
    <t>140743BF-</t>
  </si>
  <si>
    <t>Suministro e instalación de salida tomacorriente doble monofásica extractor.  Incluye caja 5800, conectores, cable #12 AWG de cobre, tubería PVC SCH40.</t>
  </si>
  <si>
    <t>Adaptador terminal PVC ø1/2"</t>
  </si>
  <si>
    <t>Adaptador terminal PVC ø3/4"</t>
  </si>
  <si>
    <t>Caja galvanizada ref. 2400 (Cal. 20)</t>
  </si>
  <si>
    <t>Caja galvanizada ref. 5800 (Cal. 20)</t>
  </si>
  <si>
    <t>Caja galvanizada octagonal (Cal. 20)</t>
  </si>
  <si>
    <t xml:space="preserve">Tornillo lámina #14x1/2" goloso </t>
  </si>
  <si>
    <t>Suplemento galvanizado de ø1/4" (Cal. 24)</t>
  </si>
  <si>
    <t>Tubo Conduit PVC Sch40 1-2 Pulgadas</t>
  </si>
  <si>
    <t>Tubo Conduit PVC SCH40 3-4 Pulgadas</t>
  </si>
  <si>
    <t>159DBAD7</t>
  </si>
  <si>
    <t>1E6417E9</t>
  </si>
  <si>
    <t>2C3CFB37</t>
  </si>
  <si>
    <t>23812D20</t>
  </si>
  <si>
    <t>18781AA0</t>
  </si>
  <si>
    <t>1441BA74</t>
  </si>
  <si>
    <t>1327001D</t>
  </si>
  <si>
    <t>25B90B1B</t>
  </si>
  <si>
    <t>27B9391B</t>
  </si>
  <si>
    <t>1C70FA60-</t>
  </si>
  <si>
    <t>Toma doble 15A polo a tierra Genesis</t>
  </si>
  <si>
    <t>31B25428-</t>
  </si>
  <si>
    <t>314E0C5D</t>
  </si>
  <si>
    <t>2AE4B797</t>
  </si>
  <si>
    <t>Tubo Conduit PVC 1-2 Pulgadas</t>
  </si>
  <si>
    <t>Tubo Conduit PVC 3-4 Pulgadas</t>
  </si>
  <si>
    <t>Suministro e instalación de salida tomacorriente doble monofásica extractor.  Incluye caja 5800, conectores, cable #12 AWG de cobre, tubería SCH 40 y demás accesorios para su correcta instalación,  fincionamiento y señalización. (sin aparato)</t>
  </si>
  <si>
    <t>Suministro e instalación de tomacorriente doble monofásica polo a tierra GFCI. Incluye caja de conexión, cable #12 AWG de cobre, tubería PVC. y demás accesorios para su correcta instalación,  fincionamiento y señalización. (sin aparato)</t>
  </si>
  <si>
    <t>Suministro e instalación de tomacorriente doble monofásica polo a tierra. Incluye caja de conexión, cable #12 AWG de cobre, tubería SCH 40 y demás accesorios para su correcta instalación,  fincionamiento y señalización. (sin aparato)</t>
  </si>
  <si>
    <t>3AB56E40-</t>
  </si>
  <si>
    <t>Suministro e instalación de Suministro e instalación de tomacorriente doble monofásica polo a tierra GFCI. Incluye caja de conexión, cable #12 AWG de cobre, tubería SCH 40 y demás accesorios para su correcta instalación,  fincionamiento y señalización.  (sin aparato)</t>
  </si>
  <si>
    <t>1986EAB3-</t>
  </si>
  <si>
    <t>Suministro e instalación de salida interruptor sencillo. Incluye interruptor. Incluye caja de conexión, cable #12 AWG de cobre, tubería PVC tipo A y demás accesorios para su correcta instalación,  fincionamiento y señalización.  (sin aparato)</t>
  </si>
  <si>
    <t>Suministro e instalación de salida interruptor sencillo. Incluye interruptor. Incluye caja de conexión, cable #12 AWG de cobre, tubería SCH 40 y demás accesorios para su correcta instalación,  fincionamiento y señalización. (sin aparato)</t>
  </si>
  <si>
    <t>1BB7370-</t>
  </si>
  <si>
    <t>Suministro e instalación de salida interruptor doble. Incluye interruptor. Incluye caja de conexión, cable #12 AWG de cobre, tubería SCH 40 y demás accesorios para su correcta instalación,  fincionamiento y señalización.  ( sin aparato)</t>
  </si>
  <si>
    <t>2A7256AD-</t>
  </si>
  <si>
    <t>Suministro e instalación de salida para roseta. Incluye roseta de 4"en porcelana. Incluye caja de conexión, cable #12 AWG de cobre, tubería PVC tipo A y demás accesorios para su correcta instalación,  fincionamiento y señalización.</t>
  </si>
  <si>
    <t>C8A8E96-</t>
  </si>
  <si>
    <t>Roseta de porcelana</t>
  </si>
  <si>
    <t>37A7551E</t>
  </si>
  <si>
    <t>Suministro e instalación de salida para lámpara LED EMERGENCIA 48 PCS 2,8 W Sylvania. Incluye caja de conexión, cable #12 AWG de cobre, tubería PVC tipo A y demás accesorios para su correcta instalación,  fincionamiento y señalización.</t>
  </si>
  <si>
    <t>E769842-</t>
  </si>
  <si>
    <t>Suministro e instalación de salida para lámpara LED EMERGENCIA R2 2 W Sylvania. Incluye tubería SCH 40, cable #12 AWG de cobre</t>
  </si>
  <si>
    <t>Suministro e instalación de Suministro e instalación de salida para lámpara LED EMERGENCIA R3 DESIGN 2 W Sylvania. Incluye caja de conexión, cable #12 AWG de cobre, tubería SCH 40 y demás accesorios para su correcta instalación,  fincionamiento y señalización.</t>
  </si>
  <si>
    <t>CODIGO APU</t>
  </si>
  <si>
    <t>Suministro e instalación de salida luminaria lineal 20 W. Incluye caja de conexión, cable #12 AWG de cobre, tubería SCH 40 y demás accesorios para su correcta instalación,  fincionamiento y señalización.</t>
  </si>
  <si>
    <t>1D88FCEF-</t>
  </si>
  <si>
    <t xml:space="preserve">Suministro e instalación de Salida aplique. Incluye caja de conexión, cable #12 AWG de cobre, tubería SCH 40 y demás accesorios para su correcta instalación,  fincionamiento y señalización. </t>
  </si>
  <si>
    <t>C1D1F7D-</t>
  </si>
  <si>
    <t>Suministro e instalación de salida luminaria hermética. Incluye caja de conexión, cable #12 AWG de cobre, tubería PVC tipo A y demás accesorios para su correcta instalación,  fincionamiento y señalización.</t>
  </si>
  <si>
    <t>3033662F-</t>
  </si>
  <si>
    <t>Suministro e instalación de salida luminaria hermética. Incluye caja de conexión, cable #12 AWG de cobre, tubería SCH 40 y demás accesorios para su correcta instalación,  fincionamiento y señalización.</t>
  </si>
  <si>
    <t>14D86AED-</t>
  </si>
  <si>
    <t>Suministro e instalación de salida luminaria panel led en techo. Incluye caja de conexión, cable #12 AWG de cobre, tubería PVC tipo A y demás accesorios para su correcta instalación,  fincionamiento y señalización.</t>
  </si>
  <si>
    <t>23A642FA-</t>
  </si>
  <si>
    <t>Suministro e instalación de salida iluminación espejo. Incluye caja de conexión, cable #12 AWG de cobre, tubería PVC tipo A y demás accesorios para su correcta instalación,  fincionamiento y señalización.</t>
  </si>
  <si>
    <t>Suministro e instalación de salida luminaria panel led en techo. Incluye caja de conexión, cable #12 AWG de cobre, tubería SCH 40 y demás accesorios para su correcta instalación,  fincionamiento y señalización.</t>
  </si>
  <si>
    <t>229CF12D-</t>
  </si>
  <si>
    <t>CF5A4DF-</t>
  </si>
  <si>
    <t>Suministro e instalación de salida iluminación espejo. Incluye caja de conexión, cable #12 AWG de cobre, tubería SCH 40 y demás accesorios para su correcta instalación,  fincionamiento y señalización.</t>
  </si>
  <si>
    <t>377C8D31-</t>
  </si>
  <si>
    <t>11FC98CD-</t>
  </si>
  <si>
    <t>1AD75274</t>
  </si>
  <si>
    <t>Cable flexible encauchetado ST-C 4x16 AWG</t>
  </si>
  <si>
    <t>Suministro e instalación de salida sensor de presencia. Incluye caja de conexión, cable #12 AWG de cobre, tubería PVC tipo A y demás accesorios para su correcta instalación,  fincionamiento y señalización. (sin aparato)</t>
  </si>
  <si>
    <t>Suministro e instalación de salida sensor de presencia. Incluye caja de conexión, cable #12 AWG de cobre, tubería SCH 40 y demás accesorios para su correcta instalación,  fincionamiento y señalización.</t>
  </si>
  <si>
    <t>16B7AF49-</t>
  </si>
  <si>
    <t>Suministro e instalación de alimentador 1#12(F)+1#12(N)+1#12(T) de cobre entre tomacorriente secador de manos *. Incluye cable #12 AWG de cobre y demás accesorios para su correcta instalación,  fincionamiento y señalización.</t>
  </si>
  <si>
    <t>2E5A15E7-</t>
  </si>
  <si>
    <t>Suministro e instalación de tomacorriente doble monofásica polo a tierra. Incluye aparato y demás accesorios para su correcta instalación,  fincionamiento y señalización.</t>
  </si>
  <si>
    <t>185615BA-</t>
  </si>
  <si>
    <t>Suministro e instalación de tomacorriente doble monofásica polo a tierra GFCI. Incluye aparato y demás accesorios para su correcta instalación,  fincionamiento y señalización.</t>
  </si>
  <si>
    <t>20D6EE03-</t>
  </si>
  <si>
    <t>23B221EE</t>
  </si>
  <si>
    <t>Suministro e instalación de interruptor sencillo. Incluye aparato y demás accesorios para su correcta instalación,  fincionamiento y señalización.</t>
  </si>
  <si>
    <t>107EDD33-</t>
  </si>
  <si>
    <t>Interruptor sencillo Genesis</t>
  </si>
  <si>
    <t>Toma doble Genesis GFCI</t>
  </si>
  <si>
    <t>1B3AD751</t>
  </si>
  <si>
    <t>Suministro e instalación de interruptor doble. Incluye aparato y demás accesorios para su correcta instalación,  fincionamiento y señalización.</t>
  </si>
  <si>
    <t>33B4D718-</t>
  </si>
  <si>
    <t>Interruptor doble Genesis</t>
  </si>
  <si>
    <t>21565C05</t>
  </si>
  <si>
    <t>Suministro e instalación de roseta de 4" de porcelana. Incluye roseta de 4" de porcelana y demás accesorios para su correcta instalación,  fincionamiento y señalización.</t>
  </si>
  <si>
    <t>145A0ECD-</t>
  </si>
  <si>
    <t>Suministro e instalación de lámpara LED EMERGENCIA 48 PCS 2,8 W Sylvania. Incluye tapa salida de cordón, cable 3#16 AWG de cobre</t>
  </si>
  <si>
    <t>E82DB5E-</t>
  </si>
  <si>
    <t>Lampara Led EMERGENCIA 48 PCS 2,8 W Sylvania</t>
  </si>
  <si>
    <t>1FE3B0F6</t>
  </si>
  <si>
    <t>Conector de resorte naranja "N" 22-16 AWG</t>
  </si>
  <si>
    <t>3AD505FA</t>
  </si>
  <si>
    <t xml:space="preserve">Suministro e instalación de lámpara LED EMERGENCIA R2 2 W Sylvania. Incluye tapa salida de cordón, prensaestopa, cable 3#16 AWG de cobre y demás elementos para su correcta instalación y fincionamiento. </t>
  </si>
  <si>
    <t>Lámpara Led EMERGENCIA R2 2 W Sylvania</t>
  </si>
  <si>
    <t>38F42CB8</t>
  </si>
  <si>
    <t>12F23555-</t>
  </si>
  <si>
    <t>Suministro e instalación de lámpara LED EMERGENCIA R3 DESIGN 2 W Sylvania. Incluye tapa salida de cordón, prensaestopa, cable 3#16 AWG de cobre y demás elementos para su correcta instalación y fincionamiento.</t>
  </si>
  <si>
    <t>lámpara Led EMERGENCIA R3 DESIGN 2 W Sylvania</t>
  </si>
  <si>
    <t>39DCE9BE</t>
  </si>
  <si>
    <t>Suministro e instalación de luminaria lineal LED LINEAL MINI CONTINUUM 20 W Sylvania. Incluye tapa salida de cordón, prensaestopa, cable 3#16 AWG de cobre y demás elementos para su correcta instalación y fincionamiento.</t>
  </si>
  <si>
    <t>6E73529-</t>
  </si>
  <si>
    <t>2F3E06D5-</t>
  </si>
  <si>
    <t>Luminaria lineal Led LINEAL MINI CONTINUUM 20 W Sylvania</t>
  </si>
  <si>
    <t>27076B2F</t>
  </si>
  <si>
    <t>Suministro e instalación de luminaria hermética LED ECO PROOF 36 W, 6500 °K Sylvania. Incluye tapa salida de cordón, prensaestopa, cable 3#16 AWG de cobre y demás elementos para su correcta instalación y fincionamiento.</t>
  </si>
  <si>
    <t>EC64CDE-</t>
  </si>
  <si>
    <t>Luminaria hermética Led ECO PROOF 36 W, 6500 °K Sylvania</t>
  </si>
  <si>
    <t>1927FF50</t>
  </si>
  <si>
    <t>Suministro e instalación de luminaria LED PANEL SOBREPONER RD 24 W, 6500 °K Sylvania. Incluye tapa salida de cordón, prensaestopa, cable 3#16 AWG de cobre y demás elementos para su correcta instalación y fincionamiento.</t>
  </si>
  <si>
    <t>278E96BB-</t>
  </si>
  <si>
    <t>Luminaria Led PANEL SOBREPONER RD 24 W, 6500 °K Sylvania</t>
  </si>
  <si>
    <t>2C1DA2B3</t>
  </si>
  <si>
    <t>Tapa intemperie</t>
  </si>
  <si>
    <t>3030EDD7</t>
  </si>
  <si>
    <t>Suministro e instalación de tapa tipo intemperie para toma GFCI. Incluye tapa tipo intemperie y demás accesorios para su correcta instalación,  fincionamiento y señalización.</t>
  </si>
  <si>
    <t>3ABE3B01-</t>
  </si>
  <si>
    <t>Suministro e instalación de caja 30x30 cm puesta a tierra con tapa y marco</t>
  </si>
  <si>
    <t>663ACA1-</t>
  </si>
  <si>
    <t>Suministro e instalación de varilla de puesta a tierra 5/8"x8' de cobre. Incluye soldadura cadweld 90 gr, molde y demás accesorios para su correcta instalación,  fincionamiento y señalización.</t>
  </si>
  <si>
    <t xml:space="preserve">un </t>
  </si>
  <si>
    <t>2895E0B2-</t>
  </si>
  <si>
    <t>Conector de tornillo en cobre Tierra</t>
  </si>
  <si>
    <t>14F0890A</t>
  </si>
  <si>
    <t>Suministro e instalación de rack. Incluye gabinete y demás accesorios para su correcta instalación,  fincionamiento y señalización.</t>
  </si>
  <si>
    <t>Gabinete rack 60x60</t>
  </si>
  <si>
    <t>34A231B2</t>
  </si>
  <si>
    <t>2218AB07-</t>
  </si>
  <si>
    <t>Tapa naranja leviton</t>
  </si>
  <si>
    <t>358AF360</t>
  </si>
  <si>
    <t>Toma leviton blanca</t>
  </si>
  <si>
    <t>2B56922F</t>
  </si>
  <si>
    <t>Tapa blanca leviton</t>
  </si>
  <si>
    <t>31654DC0</t>
  </si>
  <si>
    <t xml:space="preserve">Suministro e instalación de tubería EMT 2" </t>
  </si>
  <si>
    <t>27BF3440-</t>
  </si>
  <si>
    <t>Tubo metálico ø2" EMT</t>
  </si>
  <si>
    <t>Unión metálica ø2" EMT</t>
  </si>
  <si>
    <t xml:space="preserve">Terminal metálico ø2" EMT </t>
  </si>
  <si>
    <t>Curva metálica ø2" EMT</t>
  </si>
  <si>
    <t xml:space="preserve">Soporte Metálico Uniestruc Tubería ø2" </t>
  </si>
  <si>
    <t>315F82BE</t>
  </si>
  <si>
    <t>3A4B869C</t>
  </si>
  <si>
    <t>2114FDA5</t>
  </si>
  <si>
    <t>221BE928</t>
  </si>
  <si>
    <t>2E6AE2AD</t>
  </si>
  <si>
    <t>Suministro e instalación de salida doble voz y datos en canaleta. Incluye tubería EMT 3/4" caja de conexión, cable UTP cat. 6A, toma doble para datos cat 6A y demás accesrios para su correcta instalación, funcionamiento y señalización.</t>
  </si>
  <si>
    <t>104A3C67-</t>
  </si>
  <si>
    <t>Face plate de 2 puertos CAT 6A</t>
  </si>
  <si>
    <t>jack rj45 rojo CAT 6</t>
  </si>
  <si>
    <t>34DFA517</t>
  </si>
  <si>
    <t>24686D8B</t>
  </si>
  <si>
    <t>Cable UTP CAT 6A</t>
  </si>
  <si>
    <t>2CDE597B</t>
  </si>
  <si>
    <t>Suministro e instalación de salida doble voz y datos con tubería. Incluye toma doble cat. 6A. Incluye caja de conexión, cable UTP cat. 6A, toma doble para datos cat 6A y demás accesrios para su correcta instalación, funcionamiento y señalización.</t>
  </si>
  <si>
    <t>Caja doble fondo 10x10</t>
  </si>
  <si>
    <t>3515CCF0</t>
  </si>
  <si>
    <t>937EEB2-</t>
  </si>
  <si>
    <t>Suministro e instalación de tubería PVC SCH40 1".</t>
  </si>
  <si>
    <t>Suministro e instalación de cable UTP cat 6A. Incluye cable UTP cat 6A y demas accesorios para su correcta instalación, funcionamiento y señalización.</t>
  </si>
  <si>
    <t>339E8F9E-</t>
  </si>
  <si>
    <t>Amarre plastico</t>
  </si>
  <si>
    <t>318F6EC8</t>
  </si>
  <si>
    <t>Tubo Conduit PVC SCH40 ø1"</t>
  </si>
  <si>
    <t>Adaptador terminal PVC SCH40  ø1"</t>
  </si>
  <si>
    <t>Curva PVC SCH40 ø1"</t>
  </si>
  <si>
    <t>3A64899F</t>
  </si>
  <si>
    <t>2AB17354</t>
  </si>
  <si>
    <t>2003C766</t>
  </si>
  <si>
    <t>3A4A8F88-</t>
  </si>
  <si>
    <t>2F9A9059-</t>
  </si>
  <si>
    <t>Suministro e instalación de tubería PVC SCH40 1-1/4"</t>
  </si>
  <si>
    <t>Tubo Conduit PVC SCH40 ø1 1/4"</t>
  </si>
  <si>
    <t>Adaptador terminal PVC SCH40  ø1 1/4"</t>
  </si>
  <si>
    <t>Curva PVC SCH40 ø1 1/4"</t>
  </si>
  <si>
    <t>2C27EAF2</t>
  </si>
  <si>
    <t>2F3E9E78</t>
  </si>
  <si>
    <t>338A67AA</t>
  </si>
  <si>
    <t>Soporte metalico 1 1/4"</t>
  </si>
  <si>
    <t>1B8A7379</t>
  </si>
  <si>
    <t>Suministro e instalación de cable HDMI L=10m.</t>
  </si>
  <si>
    <t>25DF6E95-</t>
  </si>
  <si>
    <t>Cable HDMI 10m</t>
  </si>
  <si>
    <t>255E05B8</t>
  </si>
  <si>
    <t>Suministro e instalación de salida con cable HDMI</t>
  </si>
  <si>
    <t>378AC041-</t>
  </si>
  <si>
    <t>Toma HDMI</t>
  </si>
  <si>
    <t>3745A5E3</t>
  </si>
  <si>
    <t>Suministro e instalación de caja para amplificador TDT. Incluye caja de 0,50x0,50m fondo de madera y demas accesorios para su correcta instalación, funcionamiento y señalización.</t>
  </si>
  <si>
    <t>Caja metalica 50x50x20</t>
  </si>
  <si>
    <t>17C3CFD6</t>
  </si>
  <si>
    <t>39B9C89B-</t>
  </si>
  <si>
    <t>Suministro e instalación de mástil para antena de TV 1-1/4" IMC. Incluye tubo IMC 1-1/4" y demas accesorios para su correcta instalación, funcionamiento y señalización.</t>
  </si>
  <si>
    <t xml:space="preserve">Tubo metálico galv. Ø1,1/4" IMC </t>
  </si>
  <si>
    <t xml:space="preserve">Unión Conduit galv. Ø1,1/4" </t>
  </si>
  <si>
    <t xml:space="preserve">Boquilla + contratuerca ø1,1/4" </t>
  </si>
  <si>
    <t>Capacete en aluminio fundido ø1,1/4"</t>
  </si>
  <si>
    <t>26B0AC21</t>
  </si>
  <si>
    <t>24BF9382</t>
  </si>
  <si>
    <t>22F63CC8</t>
  </si>
  <si>
    <t>38D6D013</t>
  </si>
  <si>
    <t>9AF4241-</t>
  </si>
  <si>
    <t>Suministro e instalación de antena multicanal para TDT. Incluye antena multicanal y demas accesorios para su correcta instalación, funcionamiento y señalización.</t>
  </si>
  <si>
    <t>Antena Digital Para Exterior Aire Hd Tdt</t>
  </si>
  <si>
    <t>31728DD9</t>
  </si>
  <si>
    <t>1213F85F-</t>
  </si>
  <si>
    <t>Suministro e instalación de amplificador para TV. Incluye amplificador para TV TDT y demas accesorios para su correcta instalación, funcionamiento y señalización.</t>
  </si>
  <si>
    <t>20FAFD0A-</t>
  </si>
  <si>
    <t>Amplificador televes</t>
  </si>
  <si>
    <t>32026ED0</t>
  </si>
  <si>
    <t>Suministro e instalación de salida para TV. Incluye tubería SCH 40, cable coaxial y demas accesorios para su correcta instalación, funcionamiento y señalización.</t>
  </si>
  <si>
    <t>3326CB28-</t>
  </si>
  <si>
    <t>Toma coaxial Genesis</t>
  </si>
  <si>
    <t>32FC2D21</t>
  </si>
  <si>
    <t>Curva PVC SCH40 3/4"</t>
  </si>
  <si>
    <t>3B71669B</t>
  </si>
  <si>
    <t>Cable coaxial RG6</t>
  </si>
  <si>
    <t>29C033FE</t>
  </si>
  <si>
    <t>11ED1705</t>
  </si>
  <si>
    <t>Terminal coaxial RG6</t>
  </si>
  <si>
    <t>Suministro e instalación de toma coaxial para TV. Incluye tomacoaxial y demas accesorios para su correcta instalación, funcionamiento y señalización.</t>
  </si>
  <si>
    <t>3A2ACF82-</t>
  </si>
  <si>
    <t>Suministro e instalación de tubería EMT 1"</t>
  </si>
  <si>
    <t>15F46B82-</t>
  </si>
  <si>
    <t>Tubo metálico ø1" EMT</t>
  </si>
  <si>
    <t>3B881A53</t>
  </si>
  <si>
    <t xml:space="preserve">Terminal metálico ø1" EMT </t>
  </si>
  <si>
    <t>Unión metálica ø1" EMT</t>
  </si>
  <si>
    <t>Curva metálica ø1" EMT</t>
  </si>
  <si>
    <t>2E9D8E12</t>
  </si>
  <si>
    <t>2FA6BDBF</t>
  </si>
  <si>
    <t>319CD616</t>
  </si>
  <si>
    <t>15B144C3</t>
  </si>
  <si>
    <t>Suministro e instalación de salida para CCTV. Incluye tubería SCH 40, cable UTP cat 6A y demas accesorios para su correcta instalación, funcionamiento y señalización.</t>
  </si>
  <si>
    <t>Curva PVC SCH40 1/2"</t>
  </si>
  <si>
    <t>Caja plastica 10x10</t>
  </si>
  <si>
    <t>1F2DC467</t>
  </si>
  <si>
    <t>Conector macho hembra para fuente de poder</t>
  </si>
  <si>
    <t>3605ABDB</t>
  </si>
  <si>
    <t>Video balun</t>
  </si>
  <si>
    <t>19C55639</t>
  </si>
  <si>
    <t>3141EA9A-</t>
  </si>
  <si>
    <t>Suministro e instalación de tubería EMT 1-1/4"</t>
  </si>
  <si>
    <t>16597CEC-</t>
  </si>
  <si>
    <t>Tubo metálico ø1 1/4" EMT</t>
  </si>
  <si>
    <t xml:space="preserve">Terminal metálico ø1 1/4" EMT </t>
  </si>
  <si>
    <t>Unión metálica ø1 1/4" EMT</t>
  </si>
  <si>
    <t>Curva metálica ø1 1/4" EMT</t>
  </si>
  <si>
    <t>30FB0E97</t>
  </si>
  <si>
    <t>34797F9A</t>
  </si>
  <si>
    <t>13B2266A</t>
  </si>
  <si>
    <t>2945A2EC</t>
  </si>
  <si>
    <t>SUBTOTAL</t>
  </si>
  <si>
    <t>nombres</t>
  </si>
  <si>
    <t>precios</t>
  </si>
  <si>
    <t>Tubo PVC Conduit de 1 x 3 mts</t>
  </si>
  <si>
    <t>Tubo Ducto PVC DB de 2 x 6 mts</t>
  </si>
  <si>
    <t>Tubo PVC Conduit de 3-4 x 3 Mts</t>
  </si>
  <si>
    <t>Tubo Conduit PVC Sch40 1 1-4 Pulgadas X 3 mt Gris</t>
  </si>
  <si>
    <t>Tubo Conduit PVC Sch40 3-4 Pulgadas X 3 mt Gris</t>
  </si>
  <si>
    <t>Tubo Conduit PVC Sch40 1 Pulgadas X 3 mt Gris</t>
  </si>
  <si>
    <t>Tubo Ducto PVC TDP Corrugado de 6 x 6 Mts</t>
  </si>
  <si>
    <t>Tubo Ducto PVC DB de 4 x 6 mts</t>
  </si>
  <si>
    <t>Tubo PVC Conduit de 1 1-2 x 3 mts</t>
  </si>
  <si>
    <t>Tubo Ducto PVC TDP Corrugado de 4 x 6 Mts</t>
  </si>
  <si>
    <t>Tubo Ducto PVC TDP Corrugado de 3 x 6 mts</t>
  </si>
  <si>
    <t>Tubo Ducto PVC DB de 2 x 3 mts</t>
  </si>
  <si>
    <t>Tubo Ducto PVC DB de 3 x 3 mts</t>
  </si>
  <si>
    <t>Tubo PVC DB 3 x 3 MT Tubo Pesado</t>
  </si>
  <si>
    <t>Tubo Ducto PVC DB de 4 x 3 mts</t>
  </si>
  <si>
    <t>Tubo PVC Conduit de 1-2 x 3 mts</t>
  </si>
  <si>
    <t>Tubo PVC Conduit de 1 1-4 x 3Mts</t>
  </si>
  <si>
    <t>Tubo Conduit PVC Sch40 1-2 Pulgadas X 3 mt Gris</t>
  </si>
  <si>
    <t>Tubo Metalico EMT Conduit Galvanizado de 2 1-2 x 3Mts</t>
  </si>
  <si>
    <t>Tubo Metalico EMT Conduit Galvanizado de 1 1-2 Pulgadas x 3 mts</t>
  </si>
  <si>
    <t>Tubo Metalico EMT Conduit Galvanizado de 1 Pulgadas x 3 mts</t>
  </si>
  <si>
    <t>Tubo Metalico EMT Conduit Galvanizado de 3-4 Pulgadas x 3 mts</t>
  </si>
  <si>
    <t>Tubo Metalico EMT Conduit Galvanizado de 1-2 Pulgadas x 3 mts</t>
  </si>
  <si>
    <t>Tubo Metalico EMT Conduit Galvanizado de 1 1-4 Pulgadas x 3 mts</t>
  </si>
  <si>
    <t>Tubo Metalico EMT Conduit Galvanizado de 2 Pulgadas x 3 mts</t>
  </si>
  <si>
    <t>Tubo Metalico EMT Conduit Galvanizado de 3 Pulgadas x 3 mts</t>
  </si>
  <si>
    <t>Tubo Metalico EMT Conduit Galvanizado de 4 Pulgadas x 3 mts</t>
  </si>
  <si>
    <t>Abrazadera Grapa Metalica 1 Pulgada Aleta Doble para Tuberia Metalica y PVC</t>
  </si>
  <si>
    <t>Abrazadera Grapa Metalica 2 Pulgadas Aleta Doble para Tuberia Metalica y PVC</t>
  </si>
  <si>
    <t>Abrazadera Grapa Metalica 3 Pulgadas Aleta Doble para Tuberia Metalica y PVC</t>
  </si>
  <si>
    <t>Abrazadera Grapa Metalica 1/2 Pulgada Aleta Sencilla para Tuberia Metalica y PVC</t>
  </si>
  <si>
    <t>Abrazadera Grapa Metalica 1/2 Pulgada Aleta Doble para Tuberia Metalica y PVC</t>
  </si>
  <si>
    <t>Abrazadera Grapa Metalica 3/4 Pulgada Aleta Doble para Tuberia Metalica y PVC</t>
  </si>
  <si>
    <t>Tubo Conduit PVC Sch40 1 1-2 Pulgadas X 3 mt Gris</t>
  </si>
  <si>
    <t>Tubo Conduit PVC Sch40 2 Pulgadas X 3 mt Gris</t>
  </si>
  <si>
    <t>Terminal Pvc Sch40 1/2</t>
  </si>
  <si>
    <t>Cable Procables Cobre fotovoltaico - Solar 6mm 2 (Flex) Xlpe Sr2000V Negro</t>
  </si>
  <si>
    <t>Cable de Cobre Desnudo No 4 AWG Metro - Tramo o Corta de 2 Metros</t>
  </si>
  <si>
    <t>Cable Acometida Concentrico 1x8+8 Monofasico cobre Metro</t>
  </si>
  <si>
    <t>Cable de Cobre Encauchetado 3 x 14 AWG Metro</t>
  </si>
  <si>
    <t>Cable de Cobre Aislado No 8 AWG THHN Color Blanco Metro - Tramo o Corta de 3 Metros</t>
  </si>
  <si>
    <t>Cable de Cobre Encauchetado 3 x 14 AWG Metro - Tramo o Corta de 2 Metros</t>
  </si>
  <si>
    <t>Borna IED Ponchar Bimetalica calibre 1/0 AWG Aluminio-Cobre Barril Largo Ref: ISC1/0</t>
  </si>
  <si>
    <t>Borna IED Ponchar Bimetalica calibre 6 AWG Aluminio-Cobre Barril Largo Ref: ISC006</t>
  </si>
  <si>
    <t>Borna IED Ponchar Bimetalica calibre 8 AWG Aluminio-Cobre Barril Largo Ref: ISC008</t>
  </si>
  <si>
    <t>Borna IED Ponchar calibre 500 MCM Bimetalica Aluminio-Cobre Barril Largo REF: ISC500</t>
  </si>
  <si>
    <t>Borna IED Ponchar calibre Bimetalica 4 AWG Aluminio-Cobre Barril Largo Ref: ISC004</t>
  </si>
  <si>
    <t>Borna Ciles Ponchar Bimetalica calibre 2 AWG Bimetalica Aluminio-Cobre Barril Largo Tipo Pin Ref: PT850305</t>
  </si>
  <si>
    <t>Borna IED Ponchar Bimetalica calibre 2/0 AWG Aluminio-Cobre Barril Largo Ref: ISC2/0</t>
  </si>
  <si>
    <t>Borna CILES Ponchar Bimetalica calibre 4/0 AWG Aluminio-Cobre Barril Largo Ref: PT850327</t>
  </si>
  <si>
    <t>Borna Ponchar Bimetalica calibre 250 MCM Aluminio-Cobre Barril Largo Ref: ISC250</t>
  </si>
  <si>
    <t>Cable de Cobre Aislado No 3-0 AWG THHN Color Negro Metro</t>
  </si>
  <si>
    <t>Cable de Cobre Aislado No 8 AWG THHN Color Rojo Metro - Tramo o Corta de 3 Metros</t>
  </si>
  <si>
    <t>Cable de Cobre Encauchetado 4 x 14 AWG Metro</t>
  </si>
  <si>
    <t>Curva PVC de 3</t>
  </si>
  <si>
    <t>Curva PVC de 4</t>
  </si>
  <si>
    <t>Curva PVC de 6 Pulgadas DB</t>
  </si>
  <si>
    <t>Curva PVC de 1</t>
  </si>
  <si>
    <t>Curva PVC de 2</t>
  </si>
  <si>
    <t>Curva PVC de 1-2</t>
  </si>
  <si>
    <t>Curva PVC de 3-4</t>
  </si>
  <si>
    <t>Curva PVC de 1 1-4</t>
  </si>
  <si>
    <t>Curva PVC de 1 1-2</t>
  </si>
  <si>
    <t>Curva PVC Sch40 3-4 Pulgadas Gris - 2907745</t>
  </si>
  <si>
    <t>Curva PVC Sch40 1-2 Pulgadas Gris - 2907743</t>
  </si>
  <si>
    <t>Curva PVC Sch40 1 1-4 Pulgadas Gris - 2907742</t>
  </si>
  <si>
    <t>Curva PVC Sch40 1 Pulgadas Gris Ref: 2907740</t>
  </si>
  <si>
    <t>Curva PVC Sch40 1 1-2 Pulgadas Gris - 2907741</t>
  </si>
  <si>
    <t>Curva 90 Grados Galvanizada IMC de 3</t>
  </si>
  <si>
    <t>Curva 90 Grados Galvanizada IMC de 4</t>
  </si>
  <si>
    <t>Curva 90 Grados EMT de 2</t>
  </si>
  <si>
    <t>Curva 90 Grados Galvanizada IMC de 2</t>
  </si>
  <si>
    <t>Curva 90 Grados Galvanizada IMC de 1-2</t>
  </si>
  <si>
    <t>Curva 90 Grados Galvanizada IMC de 3-4</t>
  </si>
  <si>
    <t>Boquilla-Terminal de Juego de Tuerca y Contratuerca para Tuberia 2</t>
  </si>
  <si>
    <t>Terminal-Conector EMT de 1 Pulgadas Acero C-H Ref: 452- 650397</t>
  </si>
  <si>
    <t>Terminal-Conector EMT de 3 Pulgadas Acero C-H Ref: 457- 650402</t>
  </si>
  <si>
    <t>Terminal-Conector EMT de 4 Pulgadas Acero C-H Ref: 459- 650404</t>
  </si>
  <si>
    <t>Terminal-Conector EMT de 1 1-4 Pulgadas Acero C-H Ref: 453- 650398</t>
  </si>
  <si>
    <t>Terminal-Conector EMT de 1-2 Pulgadas Acero C-H Ref: 450S- 650396</t>
  </si>
  <si>
    <t>Terminal-Conector EMT de 3-4 Pulgadas Acero C-H Ref: 451- 651328</t>
  </si>
  <si>
    <t>Terminal-Conector EMT de 2 Pulgadas Acero C-H Ref: 455 - 650400</t>
  </si>
  <si>
    <t>Terminal-Conector EMT de 1 1-2 Pulgadas Acero C-H 1 1-2 Pulgadas Ref: 454- 650399</t>
  </si>
  <si>
    <t>Terminal PVC 1-2 Pulgadas Tipo Campana</t>
  </si>
  <si>
    <t>Adaptador Terminal PVC de 3-4</t>
  </si>
  <si>
    <t>Terminal Pvc 3/4 Tipo Campana</t>
  </si>
  <si>
    <t>Adaptador Terminal PVC de 1</t>
  </si>
  <si>
    <t>Adaptador Terminal PVC de 2</t>
  </si>
  <si>
    <t>Terminal PVC 2 Pulgadas Tipo Campana</t>
  </si>
  <si>
    <t>Adaptador Terminal PVC de 1 1-2</t>
  </si>
  <si>
    <t>Terminal Conector EMT de 3/4 Pulgadas Aluminio - Zinc</t>
  </si>
  <si>
    <t>Terminal Conector EMT de 2 Pulgadas Aluminio - Zinc</t>
  </si>
  <si>
    <t>Terminal Conector EMT de 4 Pulgadas Aluminio - Zinc</t>
  </si>
  <si>
    <t>Terminal Conector EMT de 1 Pulgadas Aluminio - Zinc</t>
  </si>
  <si>
    <t>Terminal Conector EMT de 1 1/2 Pulgadas Aluminio - Zinc</t>
  </si>
  <si>
    <t>Terminal conector Emt Al-Zn 1/2</t>
  </si>
  <si>
    <t>Union EMT Acero C-H 1 1-4 Pulgadas</t>
  </si>
  <si>
    <t>Union EMT Acero C-H 2 Pulgadas</t>
  </si>
  <si>
    <t>Union EMT Acero C-H 4 Pulgadas</t>
  </si>
  <si>
    <t>Union EMT de 1 Pulgadas Aluminio - Zinc</t>
  </si>
  <si>
    <t>Union EMT de 4 Pulgadas Aluminio - Zinc</t>
  </si>
  <si>
    <t>Union EMT Acero C-H 3 Pulgadas Ref: 467- 650412</t>
  </si>
  <si>
    <t>Union EMT de 1/2 Pulgadas Aluminio - Zinc</t>
  </si>
  <si>
    <t>Union EMT Acero C-H 1 Pulgadas</t>
  </si>
  <si>
    <t>Union EMT Acero C-H 1 1-2 Pulgadas</t>
  </si>
  <si>
    <t>Union EMT Acero C-H 1-2 Pulgadas Ref: 460- 650405</t>
  </si>
  <si>
    <t>Union EMT Acero C-H 3-4 Pulgadas Ref: 461- 650406</t>
  </si>
  <si>
    <t>Cable de Cobre Aislado No 4-0 AWG LIBRE DE HALOGENOS Color Negro Metro - Tramo o Corta de 6 Metros</t>
  </si>
  <si>
    <t>Cable de Cobre Aislado No 1-0 AWG LIBRE DE HALOGENOS Color Negro Metro - Tramo o Corta de 2 Metros</t>
  </si>
  <si>
    <t>Cable de Cobre Aislado No 6 AWG THHN Color Negro Metro</t>
  </si>
  <si>
    <t>Cable de Cobre Aislado No 12 AWG LIBRE DE HALOGENOS Color Negro Metro</t>
  </si>
  <si>
    <t>Cable de Cobre Aislado No 4-0 AWG THHN Color Negro Metro</t>
  </si>
  <si>
    <t>Cable de Cobre Aislado No 10 AWG THHN Color Negro Rollo de 50 Metros</t>
  </si>
  <si>
    <t>Cable de Cobre Aislado No 2 AWG LIBRE DE HALOGENOS Color Negro Metro</t>
  </si>
  <si>
    <t>Cable de Cobre Aislado No 4 AWG LIBRE DE HALOGENOS Color Negro Metro</t>
  </si>
  <si>
    <t>Cable de Cobre Aislado No 6 AWG LIBRE DE HALOGENOS Color Negro Metro</t>
  </si>
  <si>
    <t>Cable de Cobre Aislado No 8 AWG LIBRE DE HALOGENOS Color Negro Metro</t>
  </si>
  <si>
    <t>Cable de Cobre Aislado No 8 AWG THHN Color Negro Metro</t>
  </si>
  <si>
    <t>Cable de Cobre Aislado No 10 AWG LIBRE DE HALOGENOS Color Negro Metro</t>
  </si>
  <si>
    <t>Cable de Cobre Aislado No 2-0 AWG THHN Color Negro Metro</t>
  </si>
  <si>
    <t>Cable de Cobre Aislado No 12 AWG THHN Color Negro Rollo de 50 Metros</t>
  </si>
  <si>
    <t>Cable de Cobre Aislado No 250 MCM THHN Color Negro Metro</t>
  </si>
  <si>
    <t>Cable de Cobre Aislado No 350 MCM THHN Color Negro Metro</t>
  </si>
  <si>
    <t>Cable De Aluminio Aislado No 350 MCM Serie 8000 THHN Metro</t>
  </si>
  <si>
    <t>Cable de Aluminio Aislado No 2 AWG Serie 8000 Libres de Halogenos Metro</t>
  </si>
  <si>
    <t>Cable de Aluminio Aislado No 6 AWG Serie 8000 L/HALOGENOS</t>
  </si>
  <si>
    <t>Cable de Aluminio Aislado No 350 MCM Serie 8000 THHN Metro - Tramo o Corta de 2 Metros</t>
  </si>
  <si>
    <t>Cable De Aluminio Aislado No 500 AWG Serie 8000 Libres De Halogenos Metro</t>
  </si>
  <si>
    <t>Cable de Aluminio Aislado No 2 AWG Serie 8000 THHN Metro - Tramo o Corta de 20 Metros</t>
  </si>
  <si>
    <t>Cable de Aluminio Aislado No 2 AWG Serie 8000 THHN Metro</t>
  </si>
  <si>
    <t>Cable Acometida Concentrico 1x6+6 Monofasico Aluminio Serie 8000 Metro</t>
  </si>
  <si>
    <t>Cable Acometida Concentrico 2x6+6 Bifasico Aluminio Serie 8000 Metro</t>
  </si>
  <si>
    <t>Cable de Aluminio Aislado No 4 AWG Serie 8000 THHN Metro</t>
  </si>
  <si>
    <t>Cable de Aluminio Aislado No 1-0 AWG Serie 8000 THHN Metro</t>
  </si>
  <si>
    <t>Cable de Aluminio Aislado No 2-0 AWG Serie 8000 THHN Metro</t>
  </si>
  <si>
    <t>Cable De Aluminio Aislado No 4-0 AWG Serie 8000 THHN Metro</t>
  </si>
  <si>
    <t>Cable de Aluminio Aislado No 500 MCM Serie 8000 THHN Metro</t>
  </si>
  <si>
    <t>Cable de Aluminio Aislado No 2-0 AWG Serie 8000 THHN Metro - Tramo o Corta de 8 Metros</t>
  </si>
  <si>
    <t>Cable de Aluminio Aislado No 4-0 AWG Serie 8000 THHN Metro - Tramo o Corta de 2 Metros</t>
  </si>
  <si>
    <t>Cable de Aluminio Aislado No 1-0 AWG Serie 8000 THHN Metro - Tramo o Corta de 7 Metros</t>
  </si>
  <si>
    <t>Borna IED Ponchar calibre 2 AWG Cobre Estañada Barril Largo Doble Hueco Ref: D002</t>
  </si>
  <si>
    <t>Borna Ponchar calibre 1/0 AWG Cobre Estañada Barril Largo Doble Hueco</t>
  </si>
  <si>
    <t>Borna Ponchar calibre 3/0 AWG Estañada Cobre Barril Largo Doble Hueco</t>
  </si>
  <si>
    <t>Borna IED Ponchar calibre 3 - 0 AWG Estañada Cobre Barril Corto Ojo 1 - 2 Ref: t3/0</t>
  </si>
  <si>
    <t>Borna IED Calibre 3 - 0 AWG de Ponchar en Cobre Rojo 1 - 2Ref: P3-0</t>
  </si>
  <si>
    <t>Borna IED Ponchar calibre 400 MCM Estañada Cobre Barril Corto 1 - 2 Ref: T400</t>
  </si>
  <si>
    <t>Borna IED Ponchar No 2 - 0 AWG Doble Hueco de en Cobre Rojo</t>
  </si>
  <si>
    <t>Borna IED Calibre 300 MCM de Ponchar Cobre Rojo Ojo 1 - 2 Ref: P300</t>
  </si>
  <si>
    <t>Borna IED Calibre 400 MCM de Ponchar en Cobre Rojo Ojo 1 - 2 Ref: P400</t>
  </si>
  <si>
    <t>Borna IED Ponchar Aluminio Estañada calibre 10 AWG Barril Largo IED REF:YAI010</t>
  </si>
  <si>
    <t>Borna BYT Ponchar calibre 1/0 AWG Ojo 3 - 8 Estañada Cobre Barril Largo Ojo 3 - 8 ref: T11BL1F25</t>
  </si>
  <si>
    <t>Borna BYT Ponchar calibre 2 - 0 AWG Ojo 3 - 8 Estañada Cobre Barril Largo ref: T11BL1F26</t>
  </si>
  <si>
    <t>Borna BYT Ponchar calibre 500 MCM Ojo 1 - 2 Estañada Cobre Barril Largo ref: T11BL1H34</t>
  </si>
  <si>
    <t>Borna IED Ponchar calibre 4 AWG Ponchar Estañada Cobre Barril Corto Ojo 1 - 4 REF: T004</t>
  </si>
  <si>
    <t>Borna BYT Ponchar calibre 2 AWG Ojo 5 - 16 Estañada Cobre Barril Largo ref: T11BL1E2C</t>
  </si>
  <si>
    <t>Borna Ponchar calibre 4 AWG Estañada Cobre Barril Largo</t>
  </si>
  <si>
    <t>Borna BYT Ponchar calibre 6 AWG Ojo 3 - 16Estañada Cobre Barril Largo Ojo 1 - 4 ref: T11BL1D6C</t>
  </si>
  <si>
    <t>Borna BYT Ponchar calibre 8 AWG Ojo 3 - 16 Estañada Cobre Barril Largor Ojo 3 - 16 ef: T11BL1B8C</t>
  </si>
  <si>
    <t>Caja PVC Octagonal</t>
  </si>
  <si>
    <t>Caja Metalica Galvanizada de 2400 Cuadrada</t>
  </si>
  <si>
    <t>Caja Metalica Galvanizada Octagonal para Roseta</t>
  </si>
  <si>
    <t>Caja Metilica Galvanizada de Ref: 5800 para Interruptores y Tomas</t>
  </si>
  <si>
    <t>Caja PVC 5800</t>
  </si>
  <si>
    <t>Caja PVC 2400</t>
  </si>
  <si>
    <t>Tapa PVC PROELECTRICOS Ciega 2400</t>
  </si>
  <si>
    <t>Caja Crouse Hinds Fundición Aluminio 2400 Con Salida 1-2 Pulgadas 3 Huecos - TP 7086</t>
  </si>
  <si>
    <t>Caja Fundición Aluminio 2400 con salida 1 Pulgada 5 Huecos</t>
  </si>
  <si>
    <t>Caja Tipo RADWELL 2400 Con Salida 3-4 Pulgadas 3 Huecos</t>
  </si>
  <si>
    <t>Caja PVC 10x10 Doble Fondo</t>
  </si>
  <si>
    <t>Caja Fundición Aluminio 2400 con salida 3/4 pulgada 5 Huecos</t>
  </si>
  <si>
    <t>Tapa Para Caja Tipo Radwell 2400</t>
  </si>
  <si>
    <t>Suplemento JG 2400 PVC</t>
  </si>
  <si>
    <t>Caja Metelica Galvanizada 10x10 de Doble Fondo para Tomas Trifasicas</t>
  </si>
  <si>
    <t>Suplemento JG 2400 Galvanizado Calibre 24</t>
  </si>
  <si>
    <t>Tapa Para Caja Tipo RADWELL 5800</t>
  </si>
  <si>
    <t>Caja Fundición Aluminio 5800 con salida 1 pulgada 3 Huecos</t>
  </si>
  <si>
    <t>Tapa Galvanizada JG Ciega 5800</t>
  </si>
  <si>
    <t>Caja Fundición Aluminio 5800 con salida 3/4 pulgada 4 Huecos</t>
  </si>
  <si>
    <t>Caja Fundición Aluminio 5800 con salida 1/2 pulgada 5 Huecos</t>
  </si>
  <si>
    <t>Caja Fundición Aluminio 5800 con salida 1pulgada 5 Huecos</t>
  </si>
  <si>
    <t>Caja Fundición Aluminio 5800 con salida 3/4 pulgada 5 Huecos</t>
  </si>
  <si>
    <t>Caja Fundición Aluminio 5800 con salida 3/4 pulgada 3 Huecos</t>
  </si>
  <si>
    <t>Abitare Tapa Ciega Marfil Ref:33104</t>
  </si>
  <si>
    <t>Abitare Tapa Ciega Ref: 33101- 1900-0</t>
  </si>
  <si>
    <t>Tapa Galvanizada Ciega 2 400</t>
  </si>
  <si>
    <t>Astral Tapa Ciega Blanco Ref: 144166B</t>
  </si>
  <si>
    <t>Caja Fundición Aluminio Octagonal con salida 3-4 pulgada 5 Huecos</t>
  </si>
  <si>
    <t>Tapa Para Caja Tipo RADWELL Octagonal Ciega</t>
  </si>
  <si>
    <t>Caja Crouse Hinds Fundición Alumnio Octagonal con Salida Pulgadas 1-2 5 Huecos Ref: TP7146</t>
  </si>
  <si>
    <t>Tapa PVC Ciega Octagonal</t>
  </si>
  <si>
    <t>Tapa Galvanizada JG Octagonal Con Orificio</t>
  </si>
  <si>
    <t>Caja Metalica de Paso 20cm x 20cm x 15cm Chapa Plastica</t>
  </si>
  <si>
    <t>Caja Metalica de Paso 30cm x 30cm x 10cm Chapa de Plastico</t>
  </si>
  <si>
    <t>Caja Metalica de Paso 20cm x 20cm x 10cm Chapa Plastica - Ref: CE20-20-15B</t>
  </si>
  <si>
    <t>Caja de Paso 25x25x10 Chapa Plastica</t>
  </si>
  <si>
    <t>Caja Metalica de Paso 15cm x 15cm x 10cm Chapa Plastica</t>
  </si>
  <si>
    <t>Caja Metalica de Paso 30cm x 30cm x 15cm Chapa Plastica</t>
  </si>
  <si>
    <t>Caja Paso 45X45X20</t>
  </si>
  <si>
    <t>Caja Metalica de Paso 40cm x 40cm x 20cm Chapa Plastica - P-33-5-17</t>
  </si>
  <si>
    <t>Caja Metalica De Paso 20Cm X 20Cm X 10Cm Chapa Plastica</t>
  </si>
  <si>
    <t>Caja Metalica De Paso 30Cm X 30Cm X 15Cm Chapa Plastica</t>
  </si>
  <si>
    <t>Caja PAU MODEVER 30X50X6 Con Bandeja Blanca</t>
  </si>
  <si>
    <t>Caja CROUSE HINDS GUA Redonda Forma - X de 1 Pulgadas con Tapa Roscada 3 Pulgadas Ref: GUAX-36 ALUM</t>
  </si>
  <si>
    <t>Caja Redonda Gua Con Tapa 11-2 Pulgadas Tipo C Roscado Ref: S7-GUAC150</t>
  </si>
  <si>
    <t>Caja CROUSE HINDS GUA Redonda Forma - T de 1 Pulg con Tapa Roscada 5 Pulg - GUAT-36 ALUM</t>
  </si>
  <si>
    <t>Caja CROUSE HINDS GUA Redonda Forma - T de 2 Pulg con Tapa Roscada 5 Pulg Ref: GUAT-69 ALUM</t>
  </si>
  <si>
    <t>Conector Resorte 12AWG Amarillo</t>
  </si>
  <si>
    <t>Conector 3M Resorte 21-14 AWG Naranja-Azul</t>
  </si>
  <si>
    <t>Conector 3M Resorte Calibre 6-14 AWG Gris-Azul</t>
  </si>
  <si>
    <t>Conector Resorte 10 AWG Rojo</t>
  </si>
  <si>
    <t>Empalme Tubular Tipo Resorte Rojo</t>
  </si>
  <si>
    <t>Kit de acometida ABB para Breaker Principal A3 Ref: 1SDA066823R1</t>
  </si>
  <si>
    <t>Breaker Industrial Fijo 40A Capacidad de Ruptura 25 KA - A1B Ref: ABB FORMULA 1SDA066701R1</t>
  </si>
  <si>
    <t>Breaker de Riel Bipolar 2 X 25 A - 6 KA Ref: LG BKN 25</t>
  </si>
  <si>
    <t>Breaker de Riel Tripolar 3 X 63 A - 6 KA Ref: ABB 2CDS213001R0634-SH203-C63</t>
  </si>
  <si>
    <t>Breaker Industrial Fijo 15A Capacidad de Ruptura 25 KA - A1B Ref: ABB FORMULA ABB 1SDA066697R1</t>
  </si>
  <si>
    <t>Breaker Industrial Fijo 125A Capacidad de Ruptura 25 KA - A1N - MONOFASICO Ref: ABB FORMULA 1SDA066696R1</t>
  </si>
  <si>
    <t>Breaker Enchufable Tripolar 3 X 40 Amp BFN Ref: LG</t>
  </si>
  <si>
    <t>Tablero TERCOL Monofásico Con Puerta Plástico 8 Circuitos 95A Galvanizada</t>
  </si>
  <si>
    <t>Tablero TERCOL Monofásico Sin Puerta 2 Circuitos 75A Blanco</t>
  </si>
  <si>
    <t>Tablero TERCOL Monofásico Sin Puerta 4 Circuitos 75A Blanco Ref: TE4M</t>
  </si>
  <si>
    <t>Tablero TERCOL Monofásico Con Tapa Plástico 4 Circuitos Caja Metalica Ref: TTP4G- 75AMP</t>
  </si>
  <si>
    <t>Tablero CILES Bifasico Para Breaker Enchufable 6 Circuitos Al/Cu 75A Ref: 220V AL/CU 730002B</t>
  </si>
  <si>
    <t>Tablero TERCOL Trifasico Con Puerta Cerrada y Espacio para Totalizador de 12 Circuitos Ref: TRP312TG</t>
  </si>
  <si>
    <t>Tablero Monofasico Para Breaker Enchufable 8 Circutos Al-Cu 100A</t>
  </si>
  <si>
    <t>Tablero TERCOL Bifásico Con Puerta 18 Circuitos 225A Galvanizado Ref: TRP218G</t>
  </si>
  <si>
    <t>Tablero TERCOL Bifásico Con Puerta 18 Circuitos 225A Blanco Ref: TRP218</t>
  </si>
  <si>
    <t>Tablero TERCOL Monofásico Con Puerta 12 Circuitos 95A Galvanizado Ref: TTP12MG</t>
  </si>
  <si>
    <t>Tablero TERCOL Trifasico Con Puerta Cerrada y Espacio para Totalizador de 18 Circuitos Ref: TRP318TG</t>
  </si>
  <si>
    <t>Tablero TERCOL Trifasico Con Puerta Cerrada y Espacio para Totalizador de 30 Circuitos Ref: TRP330TG</t>
  </si>
  <si>
    <t>Tablero TERCOL Trifasico Con Puerta Cerrada y Espacio para Totalizador de 42 Circuitos Ref: TRP342TG</t>
  </si>
  <si>
    <t>Tablero TERCOL Trifasico Con Puerta Cerrada y Espacio para Totalizador de 36 Circuitos Ref: TRP336TG</t>
  </si>
  <si>
    <t>Tablero TERCOL Trifasico Con Puerta 18 Circuitos 125A Galvanizado Ref: TP318-125G</t>
  </si>
  <si>
    <t>Codigo</t>
  </si>
  <si>
    <t>1B56132A-</t>
  </si>
  <si>
    <t>BUSCAR MATERIALES</t>
  </si>
  <si>
    <t>Fecha</t>
  </si>
  <si>
    <t>Dias</t>
  </si>
  <si>
    <t>Suministro e instalación de salida Iluminación. Incliye tubería EMT, accesorios, caja de conexiones, cableado, señalización y demás elementos para su puesta en servicio.</t>
  </si>
  <si>
    <t>Suministro e instalación de salida para Lámpara emergencia. Incliye tubería EMT, accesorios, caja de conexiones, cableado, señalización y demás elementos para su puesta en servicio.</t>
  </si>
  <si>
    <t>184F8D74-</t>
  </si>
  <si>
    <t>Suministro e instalación de salida para Tomacorriente doble monofásica. Incliye tubería EMT, accesorios, caja de conexiones, cableado, señalización y demás elementos para su puesta en servicio.</t>
  </si>
  <si>
    <t>1ABE22FC-</t>
  </si>
  <si>
    <t>Suministro e instalación de salida para Tomacorriente GFCI. Incliye tubería EMT, accesorios, caja de conexiones, cableado, señalización y demás elementos para su puesta en servicio.</t>
  </si>
  <si>
    <t>3889CEFB-</t>
  </si>
  <si>
    <t>Suministro e instalación de salida para Toma bifásica. Incliye tubería EMT, accesorios, caja de conexiones, cableado, señalización y demás elementos para su puesta en servicio.</t>
  </si>
  <si>
    <t>1F3CEE8-</t>
  </si>
  <si>
    <t>Suministro e instalación de salida para Toma trifásica. Incliye tubería EMT, accesorios, caja de conexiones, cableado, señalización y demás elementos para su puesta en servicio.</t>
  </si>
  <si>
    <t>5DB0FA8-</t>
  </si>
  <si>
    <t>1CF87BDE-</t>
  </si>
  <si>
    <t>Plnata de 45 KVA insonorizada</t>
  </si>
  <si>
    <t>1A87C273</t>
  </si>
  <si>
    <t>Suministro e instalación de cable de aluminio 3x2 ACSR</t>
  </si>
  <si>
    <t>33C6702C-</t>
  </si>
  <si>
    <t>Suministro e instalación de estructura trifásica tangencial en bandera LA 202</t>
  </si>
  <si>
    <t>10A52BD2-</t>
  </si>
  <si>
    <t>Lum 70-150W con fotocelda + soporte + brazo 1,5m</t>
  </si>
  <si>
    <t>1C40F240</t>
  </si>
  <si>
    <t>Suministro e instalación de estructura trifásica en retensión final de circuito 15 kV LA 211</t>
  </si>
  <si>
    <t>2E394109-</t>
  </si>
  <si>
    <t>Suministro e instalación de poste de concreto 12 m 510 kg. Incluye transporte izaje, excavación y cimentación.</t>
  </si>
  <si>
    <t>Suministro e instalación de poste de concreto 12 m 1050 kg. Incluye transporte izaje, excavación y cimentación.</t>
  </si>
  <si>
    <t>Suministro e instalación de poste de Estrutura CTU510-2 para transformador en H. Incluye postes, vigas, crucetas, cortacircuitos, pararrayos y herrajes.</t>
  </si>
  <si>
    <t>5ABED62-</t>
  </si>
  <si>
    <t>367010D-</t>
  </si>
  <si>
    <t>22B31E24-</t>
  </si>
  <si>
    <t>Suministro e instalación de interruptor automático 1x20A enchufable</t>
  </si>
  <si>
    <t>Suministro e instalación de interruptor automático 3x20A enchufable</t>
  </si>
  <si>
    <t>38EC7547-</t>
  </si>
  <si>
    <t>B7C2560-</t>
  </si>
  <si>
    <t>Riel DIN</t>
  </si>
  <si>
    <t>1A385ECA</t>
  </si>
  <si>
    <t>2FE2D2E5-</t>
  </si>
  <si>
    <t>Caja de paso 20x20</t>
  </si>
  <si>
    <t>Suministro e instalación de DPS TIPO 2, 3P, 40kA 8/20.</t>
  </si>
  <si>
    <t>27452C3D-</t>
  </si>
  <si>
    <t>Suministro e instalación de 1Ø4" IMC. Incluye tubería, capacete, uniones, cinta de señalización, cinta de acero inoxidable y demás elementos para su correta instalación.</t>
  </si>
  <si>
    <t xml:space="preserve">ml </t>
  </si>
  <si>
    <t>23AB3C8A-</t>
  </si>
  <si>
    <t>142983C3-</t>
  </si>
  <si>
    <t>Suministro e instalación de ductos  7Ø2" PVC redes de BT. Incluye tubería, campanas terminales, tapones, cinta de señalización, excavación y retiro de escombros.</t>
  </si>
  <si>
    <t>Suministro e instalación de ductos  6Ø2" PVC redes de BT. Incluye tubería, campanas terminales, tapones, cinta de señalización, excavación y retiro de escombros.</t>
  </si>
  <si>
    <t>21675DF7-</t>
  </si>
  <si>
    <t>Celda para medida 24kv 630A - 20kA</t>
  </si>
  <si>
    <t>Suministro e instalación de coraza Liquid Tide Ø2". Incluye coraza, terminales, elementos de soporte y señalización</t>
  </si>
  <si>
    <t>Suministro e instalación de coraza Liquid Tide Ø¾". Incluye coraza, terminales, elementos de soporte y señalización</t>
  </si>
  <si>
    <t>113637DF-</t>
  </si>
  <si>
    <t>D7694F4-</t>
  </si>
  <si>
    <t>Coraza metálica plastificada ø2" LT - Americana</t>
  </si>
  <si>
    <t>Conector recto coraza plastificada ø2" LT</t>
  </si>
  <si>
    <t>315444CA</t>
  </si>
  <si>
    <t>347260A3</t>
  </si>
  <si>
    <t>Suministro e instalación de caja de inspección CS274. Incluye suministro de 1 tapas, excavación y retiro de escombros.</t>
  </si>
  <si>
    <t>Suministro e instalación de caja de inspección CS275. Incluye suministro de 1 tapas, excavación y retiro de escombros.</t>
  </si>
  <si>
    <t>226B0DDD-</t>
  </si>
  <si>
    <t>C803A98-</t>
  </si>
  <si>
    <t>Acometida 3#8(F)+1#8(N)+1#10(T) de cobre</t>
  </si>
  <si>
    <t>Suministro e instalación de Acometida 3#350+4/0 Al</t>
  </si>
  <si>
    <t>Suministro e instalación de Acometida Acometida 3#350+4/0+1/0T  Al</t>
  </si>
  <si>
    <t>Suministro e instalación de Acometida 3#6+1#6+1#6T, Al</t>
  </si>
  <si>
    <t>Suministro e instalación de Acometida 3#1/0+1#2+1#6T, Al</t>
  </si>
  <si>
    <t>3266C1B1-</t>
  </si>
  <si>
    <t>319F0CE-</t>
  </si>
  <si>
    <t>3884F964-</t>
  </si>
  <si>
    <t>F0DE30F-</t>
  </si>
  <si>
    <t>2382DBD0-</t>
  </si>
  <si>
    <t>Suministro e instalación cable 2/0 Cu desnudo.</t>
  </si>
  <si>
    <t>2E017F27-</t>
  </si>
  <si>
    <t>Suministro e instalación de barraje equipontencial de 50x10 mm</t>
  </si>
  <si>
    <t>4E35A41-</t>
  </si>
  <si>
    <t>DDDA80-</t>
  </si>
  <si>
    <t>1E538B21-</t>
  </si>
  <si>
    <t>BD33CD5-</t>
  </si>
  <si>
    <t>Puesta a tierra equipos y elementos de subestación. Incluye cable de cobre # 2 desnudo, terminales de ojo, amarres, y demás elementos necesarios.</t>
  </si>
  <si>
    <t xml:space="preserve">Cable de cobre desnudo #2 AWG </t>
  </si>
  <si>
    <t>2A2C7A37</t>
  </si>
  <si>
    <t>Tornillo Cabeza Lenteja Punta Broca 8x1pg</t>
  </si>
  <si>
    <t>2F46E245</t>
  </si>
  <si>
    <t>Planta de emergencia 75KvA</t>
  </si>
  <si>
    <t>Sumninistro e instalación de transformador 75 kVA, 11400/220 V aislado en eceite. Incluye transporte al lugar del proyecto y izaje a la estructura.</t>
  </si>
  <si>
    <t>Suministro e instalación de Panel LED 60x60. Incluye cable 3#16 encauchetado, prensaestopa y elementos de conexionado.</t>
  </si>
  <si>
    <t>Suministro e instalación de Luminaria Hermética LED 2x25W T5 Sylvania. Incluye cable 3#16 encauchetado, prensaestopa y elementos de conexionado.</t>
  </si>
  <si>
    <t>28AF4741-</t>
  </si>
  <si>
    <t>Sylvania lampara hermetica 2x25</t>
  </si>
  <si>
    <t>31BC247B</t>
  </si>
  <si>
    <t>Suministro e instalación de Lámpara emergencia R1 Sylvavia. Incluye cable 3#16 encauchetado, prensaestopa y elementos de conexionado.</t>
  </si>
  <si>
    <t>2C7342CE-</t>
  </si>
  <si>
    <t>Lámpara emergencia R1 Sylvavia</t>
  </si>
  <si>
    <t>30C1AC1F</t>
  </si>
  <si>
    <t>Suministro e instalación de Luminaria P38328-KIT SOLAR ZD229 60W LI SYLVANIA. Incluye brazo soporte y elementos de conexionado.</t>
  </si>
  <si>
    <t>Luminaria P38328 Sylvania</t>
  </si>
  <si>
    <t>24A0596A</t>
  </si>
  <si>
    <t>1EAD4D5E-</t>
  </si>
  <si>
    <t>Suministro e instalación de afloramiento 2Ø3" IMC. Incluye tubería, 2 capacetes, 2 uniones, 2 curvas, cinta de señalización, cinta de acero inoxidable y demás elementos para su correta instalación.</t>
  </si>
  <si>
    <t>15280E7D-</t>
  </si>
  <si>
    <t xml:space="preserve">Tubo metálico galv. Ø3" IMC </t>
  </si>
  <si>
    <t>2FD9EF0F</t>
  </si>
  <si>
    <t>Capacete en aluminio fundido ø3"</t>
  </si>
  <si>
    <t>15B1644B</t>
  </si>
  <si>
    <t xml:space="preserve">Unión Conduit galv. ø3" </t>
  </si>
  <si>
    <t>2C3BEBB0</t>
  </si>
  <si>
    <t>Curva PVC ø3"</t>
  </si>
  <si>
    <t>3863C363</t>
  </si>
  <si>
    <t>1CD8FFD0-</t>
  </si>
  <si>
    <t>Suministro e instalación de ductos  2Ø3" PVC</t>
  </si>
  <si>
    <t>Ducto telef. Y Electric. Corrugado TDP ø3" PVC</t>
  </si>
  <si>
    <t>373D0B51</t>
  </si>
  <si>
    <t>Campana terminal ducto ø3" PVC</t>
  </si>
  <si>
    <t>2861C39D</t>
  </si>
  <si>
    <t>Suministro e instalación de ductos  1Ø4+2Ø2" PVC</t>
  </si>
  <si>
    <t>Ducto telef. Y Electric. pesado TDP ø2" PVC</t>
  </si>
  <si>
    <t>1D9D72CA</t>
  </si>
  <si>
    <t>288741B8-</t>
  </si>
  <si>
    <t xml:space="preserve">Suministro e instalación de ductos  1Ø4+4Ø2" PVC </t>
  </si>
  <si>
    <t>370BBE6E-</t>
  </si>
  <si>
    <t xml:space="preserve">Suministro e instalación de ductos  1Ø4+3Ø2" PVC </t>
  </si>
  <si>
    <t>285E1133-</t>
  </si>
  <si>
    <t>Suministro e instalación de ductos  1Ø3+2Ø2" PVC</t>
  </si>
  <si>
    <t>3A2EC6FE-</t>
  </si>
  <si>
    <t>Suministro e instalación de ductos  1Ø4"+1Ø2" PVC</t>
  </si>
  <si>
    <t>27E326E2-</t>
  </si>
  <si>
    <t>Suministro e instalación de ductos  1Ø3"+1Ø2" PVC</t>
  </si>
  <si>
    <t>9AEEDE1-</t>
  </si>
  <si>
    <t>Suministro e instalación de ductos  8Ø2" PVC</t>
  </si>
  <si>
    <t>216310C1-</t>
  </si>
  <si>
    <t>Suministro e instalación de ductos  3Ø2" PVC</t>
  </si>
  <si>
    <t>D373774-</t>
  </si>
  <si>
    <t>Suministro e instalación de ductos  5Ø2" PVC</t>
  </si>
  <si>
    <t>117C350F-</t>
  </si>
  <si>
    <t>63A0AB0-</t>
  </si>
  <si>
    <t>Suministro e instalación de Acometida 2x(3#350+4/0) Al</t>
  </si>
  <si>
    <t>27632337-</t>
  </si>
  <si>
    <t>Suministro e instalación de Acometida 2x(3#1/0+1#2+1#6T), Al</t>
  </si>
  <si>
    <t>27FA8783-</t>
  </si>
  <si>
    <t>Suministro e instalación de malla de puesta a tierra subestación. Incluye 4 varillas CW 5/8"x8', 40m de cable 2/0 Cu desnudo, soldaduras cadweld.</t>
  </si>
  <si>
    <t>217E0A6B-</t>
  </si>
  <si>
    <t>Suministro e Instalación de Punta captadora de 60cm x 5/8" en acero inoxidable, Incluye: base para fijación, conectores y demás accesorios para su correcta instalación y funcionamiento.</t>
  </si>
  <si>
    <t>Suministro e instalación de kit de puesta a tierra en acero inoxidable</t>
  </si>
  <si>
    <t>2BB0FCC2-</t>
  </si>
  <si>
    <t>Grapa bimetalica Cobre Aluminio</t>
  </si>
  <si>
    <t>28C2FB68</t>
  </si>
  <si>
    <t>Suministro e instalación de alambron de cobre 1/0 AWG</t>
  </si>
  <si>
    <t>62C4797-</t>
  </si>
  <si>
    <t>alambron de cobre 1/0 AWG</t>
  </si>
  <si>
    <t>1C4C3A6D</t>
  </si>
  <si>
    <t>Soporte Anillo Plastico 55mm RD 8 - 10 M8</t>
  </si>
  <si>
    <t>337B2F11</t>
  </si>
  <si>
    <t>Suministro e instalación de cable de cobre #4 AWG.</t>
  </si>
  <si>
    <t>1FB19758-</t>
  </si>
  <si>
    <t>Suministro e instalación de cable de aluminio ACSR 2/0</t>
  </si>
  <si>
    <t>Cable de aluminio ACSR 2/0</t>
  </si>
  <si>
    <t>1C72B75C</t>
  </si>
  <si>
    <t>241C39D4-</t>
  </si>
  <si>
    <t>Suministro e instalación de grapa de operar en caliente.</t>
  </si>
  <si>
    <t>2E81DCF0-</t>
  </si>
  <si>
    <t>Grapa de operar en caliente Aluminio Bronce</t>
  </si>
  <si>
    <t>2AF53B1B</t>
  </si>
  <si>
    <t>Sumninistro e instalación de transformador 225 kVA, 13200/440 V aislado en eceite. Incluye transporte al lugar del proyecto y izaje a la estructura.</t>
  </si>
  <si>
    <t>189D8287-</t>
  </si>
  <si>
    <t xml:space="preserve">Transformador 3ø 15KV / 600V 225KVA aceite </t>
  </si>
  <si>
    <t>2607AB1D</t>
  </si>
  <si>
    <t>uministro e instalación de Luminaria AP SYL-STREET 66-100W NW 7P P25902.</t>
  </si>
  <si>
    <t>10FDB09C-</t>
  </si>
  <si>
    <t>268D4781</t>
  </si>
  <si>
    <t xml:space="preserve">Suministro e instalación de lámpara LED EMERGENCIA R1 Sylvania. Incluye tapa salida de cordón, prensaestopa, cable 3#16 AWG de cobre y demás elementos para su correcta instalación y fincionamiento. </t>
  </si>
  <si>
    <t>A956480-</t>
  </si>
  <si>
    <t>Lámpara Led EMERGENCIA R1 Sylvania</t>
  </si>
  <si>
    <t>396E00E8</t>
  </si>
  <si>
    <t>Suministro e instalación de tablero trifásico 18 circuitos con espacio para totalizador TWC</t>
  </si>
  <si>
    <t>Retiro de sellos por operador de red</t>
  </si>
  <si>
    <t>373651DD-</t>
  </si>
  <si>
    <t>Retiro de sellos Residencial</t>
  </si>
  <si>
    <t>35E02DFF</t>
  </si>
  <si>
    <t>Retiro de barraje de puesta a tierra</t>
  </si>
  <si>
    <t>235B10A6-</t>
  </si>
  <si>
    <t>Retiro de acometida 4(3#500(F)+1#500(N)+1#1/0(T))</t>
  </si>
  <si>
    <t>3B73F99E-</t>
  </si>
  <si>
    <t>Retiro de acometida 4(3#500(F)+1#500(N)+1#1/0(T)) x 10m</t>
  </si>
  <si>
    <t>3B73F99E+10-</t>
  </si>
  <si>
    <t>Instalacion de medidor Trifasico</t>
  </si>
  <si>
    <t>77B2DCE-</t>
  </si>
  <si>
    <t>Bandeja Portacable Galvaniza 2.4mx8cx30c.</t>
  </si>
  <si>
    <t>37B41B60</t>
  </si>
  <si>
    <t>Suministro e instalacion de  bandeja tipo ducto cerrado 30x8</t>
  </si>
  <si>
    <t>18C142BD-</t>
  </si>
  <si>
    <t>Suministro e instalación de acometida 3#8(F)+1#10(N)+1#10(T) de cobre</t>
  </si>
  <si>
    <t>165F5D87-</t>
  </si>
  <si>
    <t>Suministro e instalacion de  Caja de paso metalica 80x80</t>
  </si>
  <si>
    <t>D044C2D-</t>
  </si>
  <si>
    <t>1D290586</t>
  </si>
  <si>
    <t>Caja de paso metálica 80 x 80 x 40 cm</t>
  </si>
  <si>
    <t>Suministro e instalación de salida luminaria hermética. Incluye caja rawelt, cable #12 AWG de cobre, tubería EMT, Luminaria SYLVANIA ref. P25608  de 36 W y demás accesorios para su correcta instalación,  fincionamiento y señalización.</t>
  </si>
  <si>
    <t>133BA2FB-</t>
  </si>
  <si>
    <t>Caja rawelt 5 huecos</t>
  </si>
  <si>
    <t>25635FB9</t>
  </si>
  <si>
    <t>Tapa ciega redonda galvanizada</t>
  </si>
  <si>
    <t>2B68FF63</t>
  </si>
  <si>
    <t>Luminaria Hermetica SYLVANIA ref. P25608</t>
  </si>
  <si>
    <t>1D22727A</t>
  </si>
  <si>
    <t>Modificación de puerta de ingreso a cuarto eléctrico para que abra hacia el exterior</t>
  </si>
  <si>
    <t>Suministro e instalacion de Barra Antipánico Tipo Push más Manija Exterior de Llaves Gris Plata</t>
  </si>
  <si>
    <t>313EBA4F-</t>
  </si>
  <si>
    <t>317F9E59-</t>
  </si>
  <si>
    <t>Cerradura antipanico</t>
  </si>
  <si>
    <t>1BB6FCA7</t>
  </si>
  <si>
    <t>Suministro e instalacion de señalitica para puertas de cuarto de baja tension</t>
  </si>
  <si>
    <t>22BACF97-</t>
  </si>
  <si>
    <t>Letreros a crilicos para subestacion</t>
  </si>
  <si>
    <t>2329038D</t>
  </si>
  <si>
    <t>Suministro e instalacion de resane de paredes, pañete, pintura color blanco con dos manos  y pintura epoxica para  señalizacion de piso distancias de seguridad</t>
  </si>
  <si>
    <t>D1E4D6E-</t>
  </si>
  <si>
    <t>1/0</t>
  </si>
  <si>
    <t>2/0</t>
  </si>
  <si>
    <t>4 lineas+ 1T cualquiera</t>
  </si>
  <si>
    <t>Suministro e instalación de acometida en cable de cobre  (4x((3x500MCM) + (1x(1x350MCM)))) + (1xN°2/0 AWG) THHN/THWN-2, 90°C, TC 600V.</t>
  </si>
  <si>
    <t>334C2BB-</t>
  </si>
  <si>
    <t>Cable de cobre aislado #500 MCM-THHN/THWN Color negro</t>
  </si>
  <si>
    <t>195B4EEC</t>
  </si>
  <si>
    <t>Borna terminal estañada  de ojo tipo pala #500 MCM</t>
  </si>
  <si>
    <t>17446F32</t>
  </si>
  <si>
    <t>2EE83F03-</t>
  </si>
  <si>
    <t>Suministro e instalación de acometida en cable de cobre  3#4/0 + 1#2/0 + 1# 2T AWG THHN/THWN-2, 90°C, TC 600V.</t>
  </si>
  <si>
    <t>Suministro e instalación de acometida en cable de cobre 3#350 + 1#4/0 + 1#2T AWG THHN/THWN-2, 90°C, TC 600V.</t>
  </si>
  <si>
    <t>Suministro e instalación de acometida en cable de cobre  2x((3x4/0) + 1x(1x4/0)) + 1x(1 N°2 AWG) THHN/THWN-2, 90°C, TC 600V.</t>
  </si>
  <si>
    <t>14619CA5-</t>
  </si>
  <si>
    <t>2AB93AB-</t>
  </si>
  <si>
    <t>TGA</t>
  </si>
  <si>
    <t>1 de reg 1250A</t>
  </si>
  <si>
    <t>3 de 400</t>
  </si>
  <si>
    <t>1 de 300</t>
  </si>
  <si>
    <t>1 de 250</t>
  </si>
  <si>
    <t>cofre</t>
  </si>
  <si>
    <t>Precio real</t>
  </si>
  <si>
    <t>Calculo</t>
  </si>
  <si>
    <t>1 de reg 1600A</t>
  </si>
  <si>
    <t>5 de 225</t>
  </si>
  <si>
    <t>Suma</t>
  </si>
  <si>
    <t>S*K</t>
  </si>
  <si>
    <t>Mo</t>
  </si>
  <si>
    <t>Total</t>
  </si>
  <si>
    <t>tablero</t>
  </si>
  <si>
    <t>costo</t>
  </si>
  <si>
    <t>utilidad</t>
  </si>
  <si>
    <t>iva</t>
  </si>
  <si>
    <t>insumos</t>
  </si>
  <si>
    <t>total</t>
  </si>
  <si>
    <t>AM 24CTAS</t>
  </si>
  <si>
    <t>AM 15CTAS</t>
  </si>
  <si>
    <t>A MULT 24CTAS</t>
  </si>
  <si>
    <t>A MULT 14CTAS</t>
  </si>
  <si>
    <t>AE319 SC</t>
  </si>
  <si>
    <t>TGSC</t>
  </si>
  <si>
    <t>GM BCC</t>
  </si>
  <si>
    <t>TRANS 100A</t>
  </si>
  <si>
    <t>TB CAJA M ASCENSOR</t>
  </si>
  <si>
    <t>TB BOMBAS</t>
  </si>
  <si>
    <t>CELDAS EN SF6</t>
  </si>
  <si>
    <t>CELDA TRAFO</t>
  </si>
  <si>
    <t>TGA1*</t>
  </si>
  <si>
    <t>Cable Control 12x12</t>
  </si>
  <si>
    <t>30A84B9E</t>
  </si>
  <si>
    <t>Suministro e instalacion Cable de control 12x12</t>
  </si>
  <si>
    <t>C122DD-</t>
  </si>
  <si>
    <t>Suministro e instalación de tubería IMC de 3" x 3 m</t>
  </si>
  <si>
    <t>121C1AFC-</t>
  </si>
  <si>
    <t>boquilla terminal 3"</t>
  </si>
  <si>
    <t>1455AF5D</t>
  </si>
  <si>
    <t>Curva IMC 3"</t>
  </si>
  <si>
    <t>1240E3A9</t>
  </si>
  <si>
    <t>Suministro e instalacion de tablero trifasico de 12 circuitos TWC</t>
  </si>
  <si>
    <t>2F52EC59-</t>
  </si>
  <si>
    <t>Tablero TWC-12MB ctos 200A  3F-6H.  CPCH. Espacio para totalizador</t>
  </si>
  <si>
    <t>7F96284</t>
  </si>
  <si>
    <t>B7C2561-</t>
  </si>
  <si>
    <t>Suministro e instalación de interruptor automático 3x60A enchufable</t>
  </si>
  <si>
    <t xml:space="preserve">Automático enchufable.  Safic DSE 3x60A. 10KA </t>
  </si>
  <si>
    <t>C46F1B12</t>
  </si>
  <si>
    <t>2382DBD1-</t>
  </si>
  <si>
    <t>Suministro e instalación de malla de puesta a tierra subestación. Incluye 9 varillas CW 5/8"x8', 90m de cable 2/0 Cu desnudo, soldaduras cadweld.</t>
  </si>
  <si>
    <t>Suministro e instalacion de tablero bypass manual con seleccionador tripolar 150A</t>
  </si>
  <si>
    <t>BDF69F4-</t>
  </si>
  <si>
    <t>Gabinete metalico para tablero cal 16</t>
  </si>
  <si>
    <t>1F6CA8C9</t>
  </si>
  <si>
    <t>Totalizador industrial 3x150 amperios</t>
  </si>
  <si>
    <t>3ACD6D3C</t>
  </si>
  <si>
    <t>platina de cobre 1/8"x5/8" 200A</t>
  </si>
  <si>
    <t>245E6ECA</t>
  </si>
  <si>
    <t>Soporte aislador para barraje</t>
  </si>
  <si>
    <t>20050A6F</t>
  </si>
  <si>
    <t>Transferencia manual 150A</t>
  </si>
  <si>
    <t>2446B8C3</t>
  </si>
  <si>
    <t>Tubo metalico galv. IMC 1"</t>
  </si>
  <si>
    <t>158205DB</t>
  </si>
  <si>
    <t>Union metalica galv. IMC 1"</t>
  </si>
  <si>
    <t>309EAD69</t>
  </si>
  <si>
    <t xml:space="preserve">Boquilla + contratuerca ø1" </t>
  </si>
  <si>
    <t>270EE425</t>
  </si>
  <si>
    <t>Capacete en aluminio fundido ø1"</t>
  </si>
  <si>
    <t>17CB32D1</t>
  </si>
  <si>
    <t>Base Triangular Galvanizada para Mástil de 1" a 2"</t>
  </si>
  <si>
    <t>378AA242</t>
  </si>
  <si>
    <t>Suministro e instalacion de Mastil IMC de 1" x 3m</t>
  </si>
  <si>
    <t>F280D43-</t>
  </si>
  <si>
    <t>Suministro e instalacion de  Caja de paso metalica 30x30</t>
  </si>
  <si>
    <t>AB7DCF4-</t>
  </si>
  <si>
    <t>12D86AC2</t>
  </si>
  <si>
    <t>Caja de paso metálica 40 x 40 x 20 cm</t>
  </si>
  <si>
    <t>Suministro e instalacion de  Caja de paso metalica 60x40</t>
  </si>
  <si>
    <t>73B7FCC-</t>
  </si>
  <si>
    <t>Caja de paso metálica 60 x 40 x 20 cm</t>
  </si>
  <si>
    <t>262A91AC</t>
  </si>
  <si>
    <t>Suministro e instalacion de  Caja de paso metalica 120x120x30</t>
  </si>
  <si>
    <t>266F50A2-</t>
  </si>
  <si>
    <t>Caja de paso metálica 120 x 120 x 30 cm</t>
  </si>
  <si>
    <t>1B975A59</t>
  </si>
  <si>
    <t>266F50B4-</t>
  </si>
  <si>
    <t>Caja de paso metálica 150 x 150 x 30 cm</t>
  </si>
  <si>
    <t>1A7B588D</t>
  </si>
  <si>
    <t>Suministro e instalacion de  Caja de paso metalica 150x150x30</t>
  </si>
  <si>
    <t>135232BA-</t>
  </si>
  <si>
    <t>Acometida en cable de Aluminio HFFRLS 2(3x500 +1x500 +1x1/0T) en tuberia PVC 1x4"</t>
  </si>
  <si>
    <t>Cable de Aluminio aislado #500 mcm - THHN/THWN</t>
  </si>
  <si>
    <t>14515C90</t>
  </si>
  <si>
    <t>Borna bimetálica de ojo tipo pala #500 MCM</t>
  </si>
  <si>
    <t>1FA638CE</t>
  </si>
  <si>
    <t>2EE83F04-</t>
  </si>
  <si>
    <t>Suministro e instalación de acometida en cable de cobre  3#4/0 + 1#4/0 + 1#4T AWG THHN/THWN-2, 90°C, TC 600V.</t>
  </si>
  <si>
    <t>Cable de cobre aislado #4 AWG-THHN/THWN Color negro</t>
  </si>
  <si>
    <t>28BD4DA2-</t>
  </si>
  <si>
    <t>28BD4DA3-</t>
  </si>
  <si>
    <t>34637822-</t>
  </si>
  <si>
    <t>Suministro e instalacion de acometida en aluminio 3x2/0 +1x2/0 +x2T</t>
  </si>
  <si>
    <t>Borna bimetálica de ojo tipo pala #2/0 AWG</t>
  </si>
  <si>
    <t>Cable de Aluminio aislado #2/0 AWG - THHN/THWN</t>
  </si>
  <si>
    <t>373CF44E</t>
  </si>
  <si>
    <t>1452B5B5</t>
  </si>
  <si>
    <t>Suministro e instalacion de acometida en aluminio 3x4/0 +1x4/0 +x2T</t>
  </si>
  <si>
    <t>101C7854-</t>
  </si>
  <si>
    <t>Suministro e instalación de acometida en cable de cobre  3#4/0 + 1#4/0 + 1#2T AWG</t>
  </si>
  <si>
    <t>2EE83F05-</t>
  </si>
  <si>
    <t>5FB65CB-</t>
  </si>
  <si>
    <t>Suministro e instalacion de acometida en aluminio 3x4/0 +1x250 +x2T</t>
  </si>
  <si>
    <t>3B47BCF1</t>
  </si>
  <si>
    <t>Cable de Aluminio aislado #250 mcm - THHN/THWN</t>
  </si>
  <si>
    <t>Borna bimetálica de ojo tipo pala #250 MCM</t>
  </si>
  <si>
    <t>2CDEB7AB</t>
  </si>
  <si>
    <t>Suministro e instalación de alimentador 3#10(F)+1#12(N)+1#12(T) de cobre</t>
  </si>
  <si>
    <t>Suministro e instalacion de acometida en cobre 3x10 +1x10 +x12T en tubo EMT de 1"</t>
  </si>
  <si>
    <t>2AD4DA3-</t>
  </si>
  <si>
    <t>Suministro e instalacion de acometida en aluminio 3x1/0 +1x1/0 +1x6T</t>
  </si>
  <si>
    <t>Suministro e instalacion de acometida en cobre 3x8 +1x6 +1x8T en tubo EMT 1"</t>
  </si>
  <si>
    <t>Suministro e instalacion de acometida en cobre 3x8 +1x8 +1x10T en tubo EMT 1 1/2"</t>
  </si>
  <si>
    <t>Tubo metálico ø1 1/2" EMT</t>
  </si>
  <si>
    <t>Soporte metalico 1 1/2"</t>
  </si>
  <si>
    <t>Unión metálica ø1 1/2" EMT</t>
  </si>
  <si>
    <t xml:space="preserve">Terminal metálico ø1 1/2" EMT </t>
  </si>
  <si>
    <t>Curva metálica ø1 1/2" EMT</t>
  </si>
  <si>
    <t>373BE596</t>
  </si>
  <si>
    <t>1D25316A</t>
  </si>
  <si>
    <t>282E9ED6</t>
  </si>
  <si>
    <t>3A75DBC4</t>
  </si>
  <si>
    <t>2AD93A76</t>
  </si>
  <si>
    <t>1506F925-</t>
  </si>
  <si>
    <t>Suministro e instalacion de alimentador en cobre 2x10 +1x10 +1x12T en tubo EMT 3/4"</t>
  </si>
  <si>
    <t>Suministro e instalacion de alimentador en cobre 3x10 +1x8 +1x10T en tubo EMT 3/4"</t>
  </si>
  <si>
    <t>1506F926-</t>
  </si>
  <si>
    <t>Suministro e instalacion de acometida en cobre 3x6 +1x4 +1x8T en tubo EMT 1 1/4"</t>
  </si>
  <si>
    <t>AAE5F07-</t>
  </si>
  <si>
    <t>Suministro e instalacion de acometida en aluminio 3x1/0 +1x1/0 +1x4T</t>
  </si>
  <si>
    <t>30ABD4DA3-</t>
  </si>
  <si>
    <t>30ABD4DB4-</t>
  </si>
  <si>
    <t>Suministro e instalacion de acometida en cobre 3x6 +1x6 +1x8T en tubo EMT 1 1/4"</t>
  </si>
  <si>
    <t>AAE5F08-</t>
  </si>
  <si>
    <t>AAE5F085-</t>
  </si>
  <si>
    <t>Suministro e instalacion de acometida en cobre 3x6 +1x6 +1x6T en tubo EMT 1 1/4"</t>
  </si>
  <si>
    <t>Suministro e instalación de luminaria hermética 36 W, 6500 °K Sylvania P25609. Incluye tapa salida de cordón, prensaestopa, cable 3#16 AWG de cobre y demás elementos para su correcta instalación y fincionamiento.</t>
  </si>
  <si>
    <t>2DB3B614-</t>
  </si>
  <si>
    <t>Luminaria hermética Led 36 W, 6500 °K Sylvania P25609</t>
  </si>
  <si>
    <t>23A2B11D</t>
  </si>
  <si>
    <t>Suministro e instalación de luminaria LED PANEL SOBREPONER RD 18W, 6500 °K Sylvania p27180. Incluye tapa salida de cordón, prensaestopa, cable 3#16 AWG de cobre y demás elementos para su correcta instalación y fincionamiento.</t>
  </si>
  <si>
    <t>39B90C95-</t>
  </si>
  <si>
    <t>Luminaria Led PANEL SOBREPONER RD 18W, 6500 °K Sylvania p 27180</t>
  </si>
  <si>
    <t>2B7F5923</t>
  </si>
  <si>
    <t>Suministro e instalación de luminaria LED MINO 60 CIRCLE 1000. Incluye tapa salida de cordón, prensaestopa, cable 3#16 AWG de cobre y demás elementos para su correcta instalación y fincionamiento.</t>
  </si>
  <si>
    <t>Luminaria Led MINO 60 CIRCLE 1000</t>
  </si>
  <si>
    <t>2FE3F7F5</t>
  </si>
  <si>
    <t>24AE92-</t>
  </si>
  <si>
    <t>Transformador 3ø 15KV - 300KVA   seco 13200/11400-208V</t>
  </si>
  <si>
    <t>1F9C26EC-</t>
  </si>
  <si>
    <t>Sumninistro e instalación de transformador 300 kVA, 11400/220 V tipo seco. Incluye transporte al lugar del proyecto.</t>
  </si>
  <si>
    <t>Suministro e instalacion de transferencia automatica de 1000A</t>
  </si>
  <si>
    <t>69BB9CF-</t>
  </si>
  <si>
    <t>3411D6EE</t>
  </si>
  <si>
    <t>Gabinete metalico para tablero cal 20</t>
  </si>
  <si>
    <t>2BFD61CC</t>
  </si>
  <si>
    <t>Transferencia automatica 1000A</t>
  </si>
  <si>
    <t>26D66C3C</t>
  </si>
  <si>
    <t>Interruptor industrial 1000A</t>
  </si>
  <si>
    <t>124190BB</t>
  </si>
  <si>
    <t>Módulo de transferencia para conmutación automática ATL600</t>
  </si>
  <si>
    <t>2D827494</t>
  </si>
  <si>
    <t>Platina de cobre 1000A</t>
  </si>
  <si>
    <t>1AF9F576</t>
  </si>
  <si>
    <t>Insumos Mayores</t>
  </si>
  <si>
    <t>207612DE</t>
  </si>
  <si>
    <t>Construccion</t>
  </si>
  <si>
    <t>13AD885D</t>
  </si>
  <si>
    <t>Celda para transformador de 300/500 KVA</t>
  </si>
  <si>
    <t>1501CE7C</t>
  </si>
  <si>
    <t>10FCD6BB-</t>
  </si>
  <si>
    <t>Suministro e instalacion de celda para transformador 300kVA</t>
  </si>
  <si>
    <t>39941F8E-</t>
  </si>
  <si>
    <t>Suministro e instalacion de transferencia automatica de 400A</t>
  </si>
  <si>
    <t>Transferencia automatica 400A</t>
  </si>
  <si>
    <t>2A334F85</t>
  </si>
  <si>
    <t>Interruptor industrial 400A</t>
  </si>
  <si>
    <t>233AC4F5</t>
  </si>
  <si>
    <t>3A877C59</t>
  </si>
  <si>
    <t>5*500</t>
  </si>
  <si>
    <t>3*1/0+1*2+1*6</t>
  </si>
  <si>
    <t>Suministro e instalación de salida para Tomacorriente doble monofásica Regulada. Incliye tubería EMT, accesorios, caja de conexiones, cableado, señalización y demás elementos para su puesta en servicio.</t>
  </si>
  <si>
    <t>13BA4BD-</t>
  </si>
  <si>
    <t>Suministro e instalación de salida para roseta. Incluye roseta de 4"en porcelana. Incluye caja de conexión, cable #12 AWG de cobre, tubería EMT y demás accesorios para su correcta instalación,  fincionamiento y señalización.</t>
  </si>
  <si>
    <t>1F6D91D5-</t>
  </si>
  <si>
    <t>34F286E2-</t>
  </si>
  <si>
    <t>Suministro e instalación de interruptor automático 3x30A en caja moldeada</t>
  </si>
  <si>
    <t>Platina de cobre 100A</t>
  </si>
  <si>
    <t>Totalizador industrial 3x30 amperios en caja moldeada</t>
  </si>
  <si>
    <t>2D945BF3</t>
  </si>
  <si>
    <t>61A0AB0-</t>
  </si>
  <si>
    <t>Suministro e instalación de ductos  1Ø2" PVC</t>
  </si>
  <si>
    <t>Suministro e instalación de ductos  4Ø2" PVC</t>
  </si>
  <si>
    <t>64A0AB0-</t>
  </si>
  <si>
    <t>Suministro e instalación de ductos  4Ø2"+1Ø4" PVC</t>
  </si>
  <si>
    <t>4F21F4-</t>
  </si>
  <si>
    <t>5F24F4-</t>
  </si>
  <si>
    <t>Suministro e instalación de ductos  5Ø2"+4Ø4" PVC</t>
  </si>
  <si>
    <t>4F22F4-</t>
  </si>
  <si>
    <t>Suministro e instalación de ductos  4Ø2"+2Ø4" PVC</t>
  </si>
  <si>
    <t>4F25F4-</t>
  </si>
  <si>
    <t>Suministro e instalación de ductos  4Ø2"+5Ø4" PVC</t>
  </si>
  <si>
    <t>5F22F4-</t>
  </si>
  <si>
    <t>Suministro e instalación de ductos  5Ø2"+2Ø4" PVC</t>
  </si>
  <si>
    <t>24A8694-</t>
  </si>
  <si>
    <t>Suministro e instalación de coraza Liquid Tide Ø1". Incluye coraza, terminales, elementos de soporte y señalización</t>
  </si>
  <si>
    <t>Conector recto coraza plastificada ø1" LT</t>
  </si>
  <si>
    <t>36D33D66</t>
  </si>
  <si>
    <t>C92508C</t>
  </si>
  <si>
    <t>Coraza metálica plastificada ø1" LT - Americana</t>
  </si>
  <si>
    <t>24A8695-</t>
  </si>
  <si>
    <t>Suministro e instalación de coraza Liquid Tide Ø1 1/2". Incluye coraza, terminales, elementos de soporte y señalización</t>
  </si>
  <si>
    <t>Conector recto coraza plastificada ø1 1/2" LT</t>
  </si>
  <si>
    <t>Coraza metálica plastificada ø1 1/2" LT - Americana</t>
  </si>
  <si>
    <t>30DC4AEE</t>
  </si>
  <si>
    <t>353F6CA1</t>
  </si>
  <si>
    <t>Suministro e instalación de caja de inspección CS276 P. Incluye suministro de 2 tapas, excavación y retiro de escombros.</t>
  </si>
  <si>
    <t>227B31E3-</t>
  </si>
  <si>
    <t>23D159F6-</t>
  </si>
  <si>
    <t>Suministro e instalación de caja de inspección AP280 Para alumbrado publico. Incluye suministro de 1 tapas, excavación y retiro de escombros.</t>
  </si>
  <si>
    <t>Marco + tapas de inspección cámara tipo AP -280 40x40</t>
  </si>
  <si>
    <t>2B554B4C</t>
  </si>
  <si>
    <t>Suministro e instalación de banco de tubería   4Ø6" PVC. Incluye tubería, campanas terminales, tapones, cinta de señalización, excavación y retiro de escombros.</t>
  </si>
  <si>
    <t>23DAC4F6-</t>
  </si>
  <si>
    <t>Ducto telef. Y Electric. pesado TDP ø6" PVC</t>
  </si>
  <si>
    <t>2D396A99</t>
  </si>
  <si>
    <t>Suministro e instalación de acometida 3x(3#500+1#350)+1x4/0 Aluminio</t>
  </si>
  <si>
    <t>653FA5B-</t>
  </si>
  <si>
    <t>Suministro e instalación de acometida 3#500+1#350+2/0T Aluminio</t>
  </si>
  <si>
    <t>170C2A7F-</t>
  </si>
  <si>
    <t>Suministro e instalación de acometida 2x(3#4/0+1#2/0+1/0)+1x4/0 Aluminio</t>
  </si>
  <si>
    <t>9946AD-</t>
  </si>
  <si>
    <t>Suministro e instalación de acometida 3#2/0+4T Aluminio</t>
  </si>
  <si>
    <t>15FE5936-</t>
  </si>
  <si>
    <t>Suministro e instalación de acometida 3#4/0+2/0T Aluminio</t>
  </si>
  <si>
    <t>39F6E3D7-</t>
  </si>
  <si>
    <t>29F6E3D7-</t>
  </si>
  <si>
    <t>Suministro e instalación de acometida 2#6+1#6+6T Aluminio</t>
  </si>
  <si>
    <t>Cable de cobre 1/0 desnudo</t>
  </si>
  <si>
    <t>1B7A9CA3</t>
  </si>
  <si>
    <t xml:space="preserve">Suministro e instalación de cable 1/0 AWG de cobre enterrado.  </t>
  </si>
  <si>
    <t>8B3A1BA-</t>
  </si>
  <si>
    <t>Suministro e instalación de DPS tipo intemperie 12kV, 10 kA. Incluye soportes y herrajes.</t>
  </si>
  <si>
    <t>2668838B-</t>
  </si>
  <si>
    <t>Suministro e instalación de cable de aluminio 3x185 mm2 XLPE 15 kV</t>
  </si>
  <si>
    <t>E5B17E7-</t>
  </si>
  <si>
    <t>Suministro e instalación de afloramiento 1Ø6" IMC. Incluye tubería, 1 capacetes, 1 union, 1 curva, cinta de señalización, cinta de acero inoxidable y demás elementos para su correta instalación.</t>
  </si>
  <si>
    <t>31FECDAD-</t>
  </si>
  <si>
    <t xml:space="preserve">Tubo metálico galv. Ø6" IMC </t>
  </si>
  <si>
    <t>314457CC</t>
  </si>
  <si>
    <t>Capacete en aluminio fundido ø6"</t>
  </si>
  <si>
    <t>162E5CED</t>
  </si>
  <si>
    <t>Union metalica galv. IMC ø6"</t>
  </si>
  <si>
    <t>12BD7A65</t>
  </si>
  <si>
    <t>Curva PVC ø6"</t>
  </si>
  <si>
    <t>364F0A9D</t>
  </si>
  <si>
    <t>Suministro e instalación de cruceta metálica 2,50m. Incluye herrajes</t>
  </si>
  <si>
    <t>189EAF31-</t>
  </si>
  <si>
    <t>Tornillo galvanizado ø5/8" x 6"</t>
  </si>
  <si>
    <t>Tornillo de carriaje ø5/8" x 1,1/2"</t>
  </si>
  <si>
    <t>29FADD33</t>
  </si>
  <si>
    <t>171794CC</t>
  </si>
  <si>
    <t>Suministro e instalación de seccionador monopolar 400A 15 kV tipo cuchilla. Incluye herrajes</t>
  </si>
  <si>
    <t>Seccionador monopolar 400 A 15 kV tipo cuchilla</t>
  </si>
  <si>
    <t>2152A58E</t>
  </si>
  <si>
    <t>F038038-</t>
  </si>
  <si>
    <t>2F15E8E2</t>
  </si>
  <si>
    <t>Terminales Premoldeadas Para 35KV Uso Interior 350-500 MCM</t>
  </si>
  <si>
    <t>Terminales Premoldeadas Para 35KV Uso Exterior 350-500 MCM</t>
  </si>
  <si>
    <t>1245816E</t>
  </si>
  <si>
    <t>Suministro e instalación de terminal preformado tipo interior de MT para cable 350 mcm</t>
  </si>
  <si>
    <t>Suministro e instalación de terminal preformado tipo intemperie de MT para cable 350 mcm</t>
  </si>
  <si>
    <t>28880F8B-</t>
  </si>
  <si>
    <t>1FF24086-</t>
  </si>
  <si>
    <t>Sumninistro e instalación de transformador 500 kVA, 11400/220 V tipo seco clase H. Incluye transporte al lugar del proyecto.</t>
  </si>
  <si>
    <t>37757FC6-</t>
  </si>
  <si>
    <t>Transformador 3ø 15KV - 500KVA   seco clase H 13200/11400-208V</t>
  </si>
  <si>
    <t>1EE3C099</t>
  </si>
  <si>
    <t>Celda de entrada, salida y proteccion + fusibles 25A - Triplex</t>
  </si>
  <si>
    <t>1B554712</t>
  </si>
  <si>
    <t>Suministro e instalación de celda con seccionador de línea 630A, 24 kV. Incluye transporte allugar del proyecto</t>
  </si>
  <si>
    <t>245F33B0-</t>
  </si>
  <si>
    <t>Celda de medida en media tension AE 324 y 325.</t>
  </si>
  <si>
    <t>Bandeja para montaje de medidor</t>
  </si>
  <si>
    <t>Medidor electrónico doble canal de energía activa (KWH) y reactiva (KVARS), Multitarifa, 3x120/208 Volt., corriente máxima 6 Amp., rango de corriente 1.5/6. + perfil de carga.</t>
  </si>
  <si>
    <t>Bornera de pruebas 3 elementos 13 ptos</t>
  </si>
  <si>
    <t xml:space="preserve">(TC) Trafo de Int. MT Relación de transformador 15/5 Amp. (Corriente máxima 120% I. nominal primario). </t>
  </si>
  <si>
    <t xml:space="preserve">(TP) Trafo de tension TP 11.400, TS 120V, Cl 0.5 </t>
  </si>
  <si>
    <t>Cable de cobre tipo control TC 4X12 600V</t>
  </si>
  <si>
    <t>Mano de obra manufactura</t>
  </si>
  <si>
    <t>30D52E32</t>
  </si>
  <si>
    <t>17A38A73</t>
  </si>
  <si>
    <t>Medidor electrónico doble canal de energía activa (KWH) y reactiva (KVARS).</t>
  </si>
  <si>
    <t>1D3FC058</t>
  </si>
  <si>
    <t>(TC) Trafo de Int. MT Relación de transformador 15/5 Amp.</t>
  </si>
  <si>
    <t>18F52CAA</t>
  </si>
  <si>
    <t>37EBFFE3</t>
  </si>
  <si>
    <t>164B9C44</t>
  </si>
  <si>
    <t>Suministro e instalación de celda de medida compacta, 24 kV. Incluye 3 transformadores de corriente, 3 transformadores de potencial, cable 12x12 de cobre norma ENEL, bornera de pruebas, medidor electrónico según norma ENEL Y transporte al lugar del proyecto</t>
  </si>
  <si>
    <t>965224D-</t>
  </si>
  <si>
    <t>Suministro e instalación de fusible HH 50A, 24 kV</t>
  </si>
  <si>
    <t>Fusible HH 50A, 24 kV</t>
  </si>
  <si>
    <t>3972B06C</t>
  </si>
  <si>
    <t>2BBAB097-</t>
  </si>
  <si>
    <t>12D03ACC-</t>
  </si>
  <si>
    <t>Suministro e instalación de luminaria Bala Stil Led Cuadrada 18w. Incluye tapa salida de cordón, prensaestopa, cable 3#16 AWG de cobre y demás elementos para su correcta instalación y fincionamiento.</t>
  </si>
  <si>
    <t>Bala Stil Led Cuadrada 18w</t>
  </si>
  <si>
    <t>1890F8FC</t>
  </si>
  <si>
    <t>21BF1F03-</t>
  </si>
  <si>
    <t>Suministro e instalación de Luminaria AP 30 W. Incluye cable 3#16 encauchetado, prensaestopa y elementos de conexionado.</t>
  </si>
  <si>
    <t>Luminaria AP SYL-STREET 66-100W NW 7P P25902</t>
  </si>
  <si>
    <t>Luminaria AP 30W luz día Ecolite</t>
  </si>
  <si>
    <t>2A95E3FC</t>
  </si>
  <si>
    <t>8CDADA2-</t>
  </si>
  <si>
    <t>Suministro e instalación de tubería  1Ø2" IMC Incluye tubería, terminales, elementos de soporte y señalización.</t>
  </si>
  <si>
    <t>Union metalica galv. IMC 2"</t>
  </si>
  <si>
    <t>2F0E98B2</t>
  </si>
  <si>
    <t>Boquilla terminal galv. IMC 2"</t>
  </si>
  <si>
    <t>38E098F7</t>
  </si>
  <si>
    <t xml:space="preserve">Suministro e instalación de Acometida 3#4+1#6+1#6T, Al </t>
  </si>
  <si>
    <t>227C081-</t>
  </si>
  <si>
    <t>2A75A7B-</t>
  </si>
  <si>
    <t>Suministro e instalación de alimentador 1#10(F)+1#10(N)+1#12(T) de cobre</t>
  </si>
  <si>
    <t>Suministro e instalación de alambron de aluminio 8 mm anillo superior y conexionado. Incluye elementos de conexionado y soporte.</t>
  </si>
  <si>
    <t>2264E124-</t>
  </si>
  <si>
    <t>Suministro e instalación de bajante en alambrón de aluminio 8 mm. Incluye tubo PVC de 1" y elementos de conexionado y soporte.</t>
  </si>
  <si>
    <t>3A4A4E80-</t>
  </si>
  <si>
    <t>Suministro e instalación de caja plástica IP 65.  Incluye elementos de soporte y señalización.</t>
  </si>
  <si>
    <t>170D7FFB-</t>
  </si>
  <si>
    <t>Caja plastica de paso ip 65 polipropileno 114x114x107mm</t>
  </si>
  <si>
    <t>343FB84E</t>
  </si>
  <si>
    <t>Suministro e instalación de cable 1/0 AWG de cobre.  Incluye tubo IMC de 1" y elementos de conexionado y soporte.</t>
  </si>
  <si>
    <t>4EFF172-</t>
  </si>
  <si>
    <t>Alquiler, uso y recopilacion de datos con Analizador de redes.</t>
  </si>
  <si>
    <t>dia</t>
  </si>
  <si>
    <t>11FB6D2-</t>
  </si>
  <si>
    <t>Alquiler de Analizador de redes</t>
  </si>
  <si>
    <t>214B9AB4</t>
  </si>
  <si>
    <t>plantas</t>
  </si>
  <si>
    <t>kw</t>
  </si>
  <si>
    <t>precio/1000</t>
  </si>
  <si>
    <t>2B1062E5-</t>
  </si>
  <si>
    <t>Planta electrica Iinsonorizada 400Kva</t>
  </si>
  <si>
    <t>1A84420B</t>
  </si>
  <si>
    <t>Suministro e instalacion de planta electrica 400KVA / 440V-240V</t>
  </si>
  <si>
    <t>Suministro e instalación de ductos  2Ø2" PVC TDP</t>
  </si>
  <si>
    <t>Suministro e instalación de ductos  2Ø2" PVC DB</t>
  </si>
  <si>
    <t>CD2F2DB-</t>
  </si>
  <si>
    <t>ACD1F30-</t>
  </si>
  <si>
    <t xml:space="preserve">Suministro e instalacion Afloramiento en 1Ø3" IMC según norma CS400 </t>
  </si>
  <si>
    <t>MONTAJE EN POSTE DE TRANSFORMADOR TRIFÁSICO PARA SERVICIO DEDICADO CIRCUITO PRIMARIO SENCILLO NORMA CODENSA CTU 520. No incluye poste, ni componentes estructura (LA) red primaria.</t>
  </si>
  <si>
    <t>2E06143E-</t>
  </si>
  <si>
    <t>Sumninistro e instalación de transformador 112,5 kVA, 11400/220 aislado en eceite. Incluye transporte al lugar del proyecto y izaje a la estructura.</t>
  </si>
  <si>
    <t>1C1FDF15-</t>
  </si>
  <si>
    <t xml:space="preserve">Transformador 3ø 15KV / 600V 112,5KVA aceite </t>
  </si>
  <si>
    <t>24F49B4D</t>
  </si>
  <si>
    <t>2826CD8B-</t>
  </si>
  <si>
    <t>SUMINISTRO E INSTALACION DE BANDEJA TIPO MALLA DE 65X300 mm  ACABADO ELECTROZINCADO, Bandeja con malla de varillas de acero electrosoldadas. Acabado electrozincado. INCLUYE ACCESORIOS DE FIJACIÓN Y TODO LO NECESARIO PARA SU CORRECTO  FUNCIONAMIENTO</t>
  </si>
  <si>
    <t>138E4D19</t>
  </si>
  <si>
    <t>Bandeja tipo malla electrozincada 65x400mm. Tramo de 3,00 mts</t>
  </si>
  <si>
    <t>Salida lateral para tubos en bandeja tipo malla</t>
  </si>
  <si>
    <t>2DD4F258</t>
  </si>
  <si>
    <t>Conjunto de unión bandeja tipo malla</t>
  </si>
  <si>
    <t>Gancho para suspensión a techo para bandeja tipo malla</t>
  </si>
  <si>
    <t>1FA0D05D</t>
  </si>
  <si>
    <t>3A62BCDA</t>
  </si>
  <si>
    <t>Conector para aterrizar bandeja tipo malla</t>
  </si>
  <si>
    <t>39F3196B</t>
  </si>
  <si>
    <t xml:space="preserve">Cable de cobre desnudo #8 AWG </t>
  </si>
  <si>
    <t>26C91F16</t>
  </si>
  <si>
    <t>29B38E0B-</t>
  </si>
  <si>
    <t>Suministro e instalación de acometida 3#2/0+2/0T Aluminio sin bornas</t>
  </si>
  <si>
    <t>265D173D-</t>
  </si>
  <si>
    <t>Suministro e instalación de alimentador 3#12(F)+1#12(T) de cobre</t>
  </si>
  <si>
    <t>Suministro e instalación de acometida 3#350+350T Cu sin bornas</t>
  </si>
  <si>
    <t>248B5690-</t>
  </si>
  <si>
    <t>Suministro e instalación de alimentador 3#10(F)+1#10(T) de cobre</t>
  </si>
  <si>
    <t>21C135B5-</t>
  </si>
  <si>
    <t>165F5D88-</t>
  </si>
  <si>
    <t>Suministro e instalación de alimentador 3#8(F)+1#8(T) de cobre sin bornas</t>
  </si>
  <si>
    <t>103EA7E3-</t>
  </si>
  <si>
    <t>Chazo puntilla de nylol</t>
  </si>
  <si>
    <t>1FB35129</t>
  </si>
  <si>
    <t>Suministro e instalacion de tubería 1Ø3/4" PVC</t>
  </si>
  <si>
    <t>Suministro e instalacion de tubería 1Ø1 1/2" EMT</t>
  </si>
  <si>
    <t>195FAE5A-</t>
  </si>
  <si>
    <t>Tablero TWC-36MB ctos 200A  3F-6H.  CPCH. Espacio para totalizador</t>
  </si>
  <si>
    <t>2C0D5E85</t>
  </si>
  <si>
    <t>Suministro e instalacion de tablero de 36 circuitos TWC 36MB</t>
  </si>
  <si>
    <t>36E2F193-</t>
  </si>
  <si>
    <t>Suministro e instalacion de tablero de 6 circuitos TWP 6BO</t>
  </si>
  <si>
    <t>10F3868D-</t>
  </si>
  <si>
    <t>Tablero Monofásico 6 Circuitos 75Amp 120V C/Puerta TWP 6BO</t>
  </si>
  <si>
    <t>32B566CD</t>
  </si>
  <si>
    <t>14C50884-</t>
  </si>
  <si>
    <t>Interruptor automatico atornillable 1x20A</t>
  </si>
  <si>
    <t>297DF2EF</t>
  </si>
  <si>
    <t>4B8ECE5-</t>
  </si>
  <si>
    <t>Interruptor automatico atornillable 2x20A</t>
  </si>
  <si>
    <t>18BF47BE</t>
  </si>
  <si>
    <t>Suministro e instalación de interruptor automático 2x20A 2x30A enchufable</t>
  </si>
  <si>
    <t>63D95D2-</t>
  </si>
  <si>
    <t>Interruptor automatico atornillable 3x40A</t>
  </si>
  <si>
    <t>2CBFE44A</t>
  </si>
  <si>
    <t>356CE6F8-</t>
  </si>
  <si>
    <t>Interruptor automatico atornillable 3x50A</t>
  </si>
  <si>
    <t>354D98CB</t>
  </si>
  <si>
    <t>1CCFCD7F-</t>
  </si>
  <si>
    <t>1CCFCD8F-</t>
  </si>
  <si>
    <t>1CC10D9F-</t>
  </si>
  <si>
    <t>Suministro e instalacion de interruptor automatico termomagnetico atornillable 2x20A</t>
  </si>
  <si>
    <t>Suministro e instalacion de interruptor automatico termomagnetico atornillable 3x40A</t>
  </si>
  <si>
    <t>Suministro e instalacion de interruptor automatico termomagnetico atornillable 1x15 - 1x20 - 1x30</t>
  </si>
  <si>
    <t>Suministro e instalacion de interruptor automatico termomagnetico atornillable 3x50A</t>
  </si>
  <si>
    <t>Salida electrica en tuberia EMT 3/4 en conductores 3x12 AWG, promedio 3m por techo</t>
  </si>
  <si>
    <t>Salida electrica en tuberia EMT 3/4 en conductores 3x12 AWG, promedio 3m por muro</t>
  </si>
  <si>
    <t>Salida electrica en tuberia EMT 3/4 en conductores 3x12 AWG, promedio 10m por muro</t>
  </si>
  <si>
    <t>1FF56743-</t>
  </si>
  <si>
    <t>Salida interruptor conmutable en tuberia EMT 3/4, promedio 5m.</t>
  </si>
  <si>
    <t>Interruptor conmutable Genesis</t>
  </si>
  <si>
    <t>FE32DA2-</t>
  </si>
  <si>
    <t>Salida interruptor doble en tuberia EMT 3/4, promedio 5m.</t>
  </si>
  <si>
    <t>3D0A3EA-</t>
  </si>
  <si>
    <t>Salida interruptor triple en tuberia EMT 3/4, promedio 5m.</t>
  </si>
  <si>
    <t>2E04A979</t>
  </si>
  <si>
    <t>Interruptor triple Genesis</t>
  </si>
  <si>
    <t>199B67DB</t>
  </si>
  <si>
    <t>Salida electrica en tuberia EMT 3/4 en conductores 4x12 AWG, promedio 5m por muro</t>
  </si>
  <si>
    <t>1F00391-</t>
  </si>
  <si>
    <t>Toma 32 AMP 3P+T IP44 Sobreponer Legrand</t>
  </si>
  <si>
    <t>Clavija 32 AMP 3P+T IP44 Legrand</t>
  </si>
  <si>
    <t>2AB0BAFE</t>
  </si>
  <si>
    <t>2C0CADCC</t>
  </si>
  <si>
    <t>TOMA INDUSTRIAL DE SOBREPONER 3P+N+T 250V/32A IP44; INCLUYE CLAVIJA. MARCA LEGRAND</t>
  </si>
  <si>
    <t>1274D39E-</t>
  </si>
  <si>
    <t>Toma Incrustar Media Vuelta 20amp 250v 2polo+tierra</t>
  </si>
  <si>
    <t>1D2AFC43</t>
  </si>
  <si>
    <t>29BF56CB-</t>
  </si>
  <si>
    <t>TOMA CON SEGURO DE GIRO 2P+T 250V/20A IP67; INCLUYE CLAVIJA. MARCA LEGRAND</t>
  </si>
  <si>
    <t>Clavija 20a 2p+t 250v Turnlok</t>
  </si>
  <si>
    <t>1D7D5FF8</t>
  </si>
  <si>
    <t>Suministro e instalacion de ventilador de techo KDK 3 a 5 aspas</t>
  </si>
  <si>
    <t>AB9979C-</t>
  </si>
  <si>
    <t>Ventilador de techo KDK 3 aspas</t>
  </si>
  <si>
    <t>393A6F8A</t>
  </si>
  <si>
    <t>Suministro e instalacion de ventilador de muro UNIVERSAL giro automatico 3 velocidades</t>
  </si>
  <si>
    <t>Ventilador de muro UNIVERSAL giro automatico 3 velocidades</t>
  </si>
  <si>
    <t>170A22CA</t>
  </si>
  <si>
    <t>15BFEE6B-</t>
  </si>
  <si>
    <t>Suministro e instalacion de Borna de compresion 2/0 estañada</t>
  </si>
  <si>
    <t>12FECAD2-</t>
  </si>
  <si>
    <t>12FEC350-</t>
  </si>
  <si>
    <t>Suministro e instalacion de Borna de compresion 350 mcm estañada</t>
  </si>
  <si>
    <t>Salida interruptor sencillo en tuberia EMT 3/4, promedio 5m.</t>
  </si>
  <si>
    <t>128CB82-</t>
  </si>
  <si>
    <t>barraje equipontencial de 40x5 mm</t>
  </si>
  <si>
    <t>2147BC54</t>
  </si>
  <si>
    <t>Suministro e instalación de barraje equipontencial de 40x5 mm</t>
  </si>
  <si>
    <t>1CA8922B-</t>
  </si>
  <si>
    <t>Suministro e instalación de alimentador 1#10(F)+1#10(N) de cobre</t>
  </si>
  <si>
    <t>33FD7B64-</t>
  </si>
  <si>
    <t>Descargadores de sobretensión de línea 12 kV - 10 kA Polimérico de Oxido de Zinc. INCLUYE ACCESORIOS DE FIJACIÓN</t>
  </si>
  <si>
    <t>jgo</t>
  </si>
  <si>
    <t>BFA14CA-</t>
  </si>
  <si>
    <t>Salida iluminacion en tuberia EMT 3/4, promedio 6m.</t>
  </si>
  <si>
    <t>667086D-</t>
  </si>
  <si>
    <t>29F90BF-</t>
  </si>
  <si>
    <t>Suministro e instalación de ductos  4Ø3" PVC</t>
  </si>
  <si>
    <t>3B6AA7C4-</t>
  </si>
  <si>
    <t>Suministro e instalación de interruptor industrial regulable de 256 a 420A</t>
  </si>
  <si>
    <t>Interruptor industrial regulable de 256 a 420A</t>
  </si>
  <si>
    <t>2E866AC2</t>
  </si>
  <si>
    <t>Suministro e instalación de interruptor automático 3x50A en caja moldeada</t>
  </si>
  <si>
    <t>1609103A-</t>
  </si>
  <si>
    <t>Totalizador industrial 3x50 amperios</t>
  </si>
  <si>
    <t>2A9CD295</t>
  </si>
  <si>
    <t>Totalizador industrial 3x20 amperios</t>
  </si>
  <si>
    <t>2A9CD20A</t>
  </si>
  <si>
    <t>1609A20A-</t>
  </si>
  <si>
    <t>Suministro e instalación de interruptor automático 3x20A en caja moldeada</t>
  </si>
  <si>
    <t>160A160A-</t>
  </si>
  <si>
    <t>Totalizador industrial 3x160 amperios</t>
  </si>
  <si>
    <t>393EEFF8</t>
  </si>
  <si>
    <t>Suministro e instalación de interruptor automático 3x160A en caja moldeada</t>
  </si>
  <si>
    <t>Suministro e instalación de interruptor automático 3x125A en caja moldeada</t>
  </si>
  <si>
    <t>Totalizador industrial 3x125 amperios</t>
  </si>
  <si>
    <t>1B5CE96E</t>
  </si>
  <si>
    <t>1B0A125A-</t>
  </si>
  <si>
    <t>1B0AF63A-</t>
  </si>
  <si>
    <t>Suministro e instalación de interruptor automático 3x63A en caja moldeada</t>
  </si>
  <si>
    <t>Totalizador industrial 3x63 amperios</t>
  </si>
  <si>
    <t>30EFC6FF</t>
  </si>
  <si>
    <t>31B2542C-</t>
  </si>
  <si>
    <t>Suministro e instalación de tomacorriente doble monofásica polo a tierra. Incluye caja de conexión, cable #12 AWG de cobre, tubería PVC 4 metros y demás accesorios para su correcta instalación,  fincionamiento y señalización.</t>
  </si>
  <si>
    <t>Suministro e instalacion de cable desnudo #8 AWG</t>
  </si>
  <si>
    <t>2A4D3339-</t>
  </si>
  <si>
    <t>2A4D444B-</t>
  </si>
  <si>
    <t>Suministro e instalacion de cable desnudo #4 AWG</t>
  </si>
  <si>
    <t>Caja de paso metálica 15 x 15 x 10 cm</t>
  </si>
  <si>
    <t>2F1AE905</t>
  </si>
  <si>
    <t>Caja de paso 15x15x10</t>
  </si>
  <si>
    <t>1B0F8E98-</t>
  </si>
  <si>
    <t>Clavija de pata trabada 220v</t>
  </si>
  <si>
    <t>324F9271</t>
  </si>
  <si>
    <t>Suministro e instalacion de toma 220v con clavija</t>
  </si>
  <si>
    <t>367B9A5F-</t>
  </si>
  <si>
    <t>Panel led Ecoligth ECO168SLIMV12</t>
  </si>
  <si>
    <t>3113E3EE</t>
  </si>
  <si>
    <t>940E37D-</t>
  </si>
  <si>
    <t>Suministro e instalacion de panel led ecolight 12W</t>
  </si>
  <si>
    <t>Suministro e instalacion de acometida en 3x6 + 1x6 Cu.</t>
  </si>
  <si>
    <t>2245B70A-</t>
  </si>
  <si>
    <t>D8F4183-</t>
  </si>
  <si>
    <t>Suministro e instalacion de acometida en 3x4 + 1x4 Cu.</t>
  </si>
  <si>
    <t>1AA56110-</t>
  </si>
  <si>
    <t>Suministro e instalacion de aplique tipo tortuga</t>
  </si>
  <si>
    <t>FUSIBLE DE EXPULSIÓN TIPO DUAL SF (SLOW-FAST)</t>
  </si>
  <si>
    <t>17F5EBAE</t>
  </si>
  <si>
    <t>Suministro e instalacion de fusible de expulsion dual</t>
  </si>
  <si>
    <t>200FF2FC-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</si>
</sst>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(&quot;$&quot;\ * #,##0_);_(&quot;$&quot;\ * \(#,##0\);_(&quot;$&quot;\ * &quot;-&quot;_);_(@_)"/>
    <numFmt numFmtId="166" formatCode="_(* #,##0.0_);_(* \(#,##0.0\);_(* &quot;-&quot;??_);_(@_)"/>
    <numFmt numFmtId="167" formatCode="0.0"/>
    <numFmt numFmtId="168" formatCode="_(&quot;$&quot;\ * #,##0_);_(&quot;$&quot;\ * \(#,##0\);_(&quot;$&quot;\ * &quot;-&quot;??_);_(@_)"/>
    <numFmt numFmtId="169" formatCode="_ [$$-240A]\ * #,##0.00_ ;_ [$$-240A]\ * \-#,##0.00_ ;_ [$$-240A]\ * &quot;-&quot;??_ ;_ @_ "/>
    <numFmt numFmtId="170" formatCode="_([$$-240A]\ * #,##0.00_);_([$$-240A]\ * \(#,##0.00\);_([$$-240A]\ * &quot;-&quot;??_);_(@_)"/>
    <numFmt numFmtId="171" formatCode="_-[$$-240A]\ * #,##0_ ;_-[$$-240A]\ * \-#,##0\ ;_-[$$-240A]\ * &quot;-&quot;??_ ;_-@_ "/>
    <numFmt numFmtId="172" formatCode="_(* #,##0.000_);_(* \(#,##0.000\);_(* &quot;-&quot;??_);_(@_)"/>
    <numFmt numFmtId="173" formatCode="#,##0.000"/>
    <numFmt numFmtId="174" formatCode="_-&quot;$&quot;\ * #,##0_-;\-&quot;$&quot;\ * #,##0_-;_-&quot;$&quot;\ * &quot;-&quot;??_-;_-@_-"/>
    <numFmt numFmtId="175" formatCode="_-* #,##0.0000_-;\-* #,##0.0000_-;_-* &quot;-&quot;??_-;_-@_-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0"/>
      <name val="Arial"/>
      <family val="2"/>
    </font>
    <font>
      <b/>
      <sz val="10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0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Verdana"/>
      <family val="2"/>
    </font>
    <font>
      <u/>
      <sz val="9"/>
      <color indexed="12"/>
      <name val="Arial"/>
      <family val="2"/>
    </font>
    <font>
      <b/>
      <sz val="9"/>
      <name val="Aptos Narrow"/>
      <family val="2"/>
      <scheme val="minor"/>
    </font>
    <font>
      <sz val="10"/>
      <color theme="1"/>
      <name val="Verdana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맑은 고딕"/>
      <family val="2"/>
    </font>
    <font>
      <b/>
      <sz val="10"/>
      <name val="Arial"/>
      <family val="2"/>
    </font>
    <font>
      <b/>
      <sz val="10"/>
      <color rgb="FF3366FF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theme="8" tint="0.39997558519241921"/>
      <name val="Arial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rgb="FFFF0000"/>
      </left>
      <right/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/>
      <top style="dashed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7" borderId="0" applyNumberFormat="0" applyBorder="0" applyProtection="0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3" fontId="16" fillId="0" borderId="0" applyFill="0" applyBorder="0" applyProtection="0">
      <alignment horizontal="right" vertical="center"/>
    </xf>
    <xf numFmtId="49" fontId="16" fillId="0" borderId="0" applyFill="0" applyBorder="0" applyProtection="0">
      <alignment horizontal="left"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9" fillId="0" borderId="0"/>
  </cellStyleXfs>
  <cellXfs count="255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right"/>
    </xf>
    <xf numFmtId="165" fontId="6" fillId="0" borderId="0" xfId="3" applyFont="1" applyBorder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2" xfId="0" applyFont="1" applyBorder="1"/>
    <xf numFmtId="164" fontId="5" fillId="0" borderId="2" xfId="0" applyNumberFormat="1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165" fontId="5" fillId="0" borderId="7" xfId="3" applyFont="1" applyBorder="1" applyAlignment="1" applyProtection="1">
      <alignment horizontal="center"/>
    </xf>
    <xf numFmtId="164" fontId="5" fillId="0" borderId="8" xfId="0" applyNumberFormat="1" applyFont="1" applyBorder="1" applyAlignment="1">
      <alignment horizontal="center"/>
    </xf>
    <xf numFmtId="165" fontId="5" fillId="0" borderId="9" xfId="3" applyFont="1" applyBorder="1" applyAlignment="1">
      <alignment horizontal="center"/>
    </xf>
    <xf numFmtId="0" fontId="5" fillId="0" borderId="8" xfId="0" applyFont="1" applyBorder="1" applyAlignment="1">
      <alignment horizontal="centerContinuous"/>
    </xf>
    <xf numFmtId="164" fontId="8" fillId="0" borderId="0" xfId="0" applyNumberFormat="1" applyFont="1" applyAlignment="1">
      <alignment horizontal="right"/>
    </xf>
    <xf numFmtId="165" fontId="8" fillId="0" borderId="4" xfId="3" applyFont="1" applyBorder="1" applyAlignment="1">
      <alignment horizontal="center"/>
    </xf>
    <xf numFmtId="3" fontId="5" fillId="0" borderId="11" xfId="0" applyNumberFormat="1" applyFont="1" applyBorder="1"/>
    <xf numFmtId="165" fontId="5" fillId="0" borderId="8" xfId="3" applyFont="1" applyBorder="1"/>
    <xf numFmtId="0" fontId="5" fillId="0" borderId="7" xfId="0" applyFont="1" applyBorder="1" applyAlignment="1">
      <alignment horizontal="center"/>
    </xf>
    <xf numFmtId="165" fontId="5" fillId="0" borderId="7" xfId="3" applyFont="1" applyBorder="1" applyAlignment="1"/>
    <xf numFmtId="164" fontId="5" fillId="0" borderId="7" xfId="0" applyNumberFormat="1" applyFont="1" applyBorder="1" applyAlignment="1">
      <alignment horizontal="center"/>
    </xf>
    <xf numFmtId="165" fontId="5" fillId="0" borderId="7" xfId="3" applyFont="1" applyBorder="1" applyAlignment="1">
      <alignment horizontal="center"/>
    </xf>
    <xf numFmtId="0" fontId="5" fillId="0" borderId="12" xfId="0" applyFont="1" applyBorder="1"/>
    <xf numFmtId="165" fontId="5" fillId="0" borderId="6" xfId="3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13" xfId="3" applyFont="1" applyBorder="1" applyAlignment="1">
      <alignment horizontal="center"/>
    </xf>
    <xf numFmtId="0" fontId="5" fillId="0" borderId="14" xfId="0" applyFont="1" applyBorder="1"/>
    <xf numFmtId="165" fontId="5" fillId="0" borderId="15" xfId="3" applyFont="1" applyBorder="1" applyAlignment="1">
      <alignment horizontal="center"/>
    </xf>
    <xf numFmtId="164" fontId="8" fillId="0" borderId="16" xfId="0" applyNumberFormat="1" applyFont="1" applyBorder="1" applyAlignment="1">
      <alignment horizontal="right"/>
    </xf>
    <xf numFmtId="0" fontId="5" fillId="0" borderId="17" xfId="0" applyFont="1" applyBorder="1"/>
    <xf numFmtId="0" fontId="5" fillId="0" borderId="0" xfId="0" applyFont="1" applyAlignment="1">
      <alignment horizontal="center"/>
    </xf>
    <xf numFmtId="165" fontId="8" fillId="0" borderId="18" xfId="3" applyFont="1" applyBorder="1" applyAlignment="1">
      <alignment horizontal="center"/>
    </xf>
    <xf numFmtId="0" fontId="5" fillId="3" borderId="19" xfId="0" applyFont="1" applyFill="1" applyBorder="1"/>
    <xf numFmtId="0" fontId="5" fillId="3" borderId="20" xfId="0" applyFont="1" applyFill="1" applyBorder="1"/>
    <xf numFmtId="164" fontId="6" fillId="3" borderId="20" xfId="0" applyNumberFormat="1" applyFont="1" applyFill="1" applyBorder="1" applyAlignment="1">
      <alignment horizontal="right"/>
    </xf>
    <xf numFmtId="165" fontId="6" fillId="3" borderId="4" xfId="3" applyFont="1" applyFill="1" applyBorder="1"/>
    <xf numFmtId="164" fontId="5" fillId="0" borderId="0" xfId="0" applyNumberFormat="1" applyFont="1"/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6" borderId="0" xfId="0" applyFont="1" applyFill="1"/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10" fillId="4" borderId="21" xfId="0" applyFont="1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3" fontId="10" fillId="4" borderId="21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/>
    </xf>
    <xf numFmtId="3" fontId="10" fillId="4" borderId="23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justify" vertical="center"/>
    </xf>
    <xf numFmtId="0" fontId="2" fillId="0" borderId="25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3" fontId="2" fillId="4" borderId="25" xfId="0" applyNumberFormat="1" applyFont="1" applyFill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0" borderId="0" xfId="6" applyFont="1" applyAlignment="1" applyProtection="1">
      <alignment horizontal="center" vertical="center"/>
    </xf>
    <xf numFmtId="165" fontId="2" fillId="4" borderId="28" xfId="1" applyNumberFormat="1" applyFont="1" applyFill="1" applyBorder="1" applyAlignment="1">
      <alignment horizontal="center" vertical="center"/>
    </xf>
    <xf numFmtId="165" fontId="2" fillId="0" borderId="28" xfId="1" applyNumberFormat="1" applyFont="1" applyBorder="1" applyAlignment="1">
      <alignment horizontal="center" vertical="center"/>
    </xf>
    <xf numFmtId="165" fontId="2" fillId="0" borderId="31" xfId="1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justify" vertical="center"/>
    </xf>
    <xf numFmtId="0" fontId="2" fillId="0" borderId="29" xfId="0" applyFont="1" applyBorder="1" applyAlignment="1">
      <alignment horizontal="center" vertical="center"/>
    </xf>
    <xf numFmtId="0" fontId="17" fillId="4" borderId="33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 wrapText="1"/>
    </xf>
    <xf numFmtId="0" fontId="17" fillId="4" borderId="34" xfId="0" applyFont="1" applyFill="1" applyBorder="1" applyAlignment="1">
      <alignment horizontal="center" vertical="center"/>
    </xf>
    <xf numFmtId="165" fontId="17" fillId="4" borderId="34" xfId="0" applyNumberFormat="1" applyFont="1" applyFill="1" applyBorder="1" applyAlignment="1">
      <alignment vertical="center"/>
    </xf>
    <xf numFmtId="165" fontId="18" fillId="4" borderId="34" xfId="0" applyNumberFormat="1" applyFont="1" applyFill="1" applyBorder="1" applyAlignment="1">
      <alignment vertical="center"/>
    </xf>
    <xf numFmtId="165" fontId="18" fillId="4" borderId="35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0" fillId="2" borderId="0" xfId="4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0" fillId="2" borderId="22" xfId="0" applyFont="1" applyFill="1" applyBorder="1" applyAlignment="1">
      <alignment horizontal="center"/>
    </xf>
    <xf numFmtId="167" fontId="10" fillId="0" borderId="37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justify" vertical="center"/>
    </xf>
    <xf numFmtId="0" fontId="2" fillId="2" borderId="0" xfId="4" applyFont="1" applyFill="1" applyAlignment="1">
      <alignment horizontal="center" vertical="center"/>
    </xf>
    <xf numFmtId="165" fontId="2" fillId="4" borderId="28" xfId="9" applyNumberFormat="1" applyFont="1" applyFill="1" applyBorder="1" applyAlignment="1">
      <alignment horizontal="center" vertical="center"/>
    </xf>
    <xf numFmtId="3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7" fillId="0" borderId="0" xfId="0" applyFont="1"/>
    <xf numFmtId="0" fontId="20" fillId="0" borderId="4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justify"/>
    </xf>
    <xf numFmtId="0" fontId="7" fillId="0" borderId="39" xfId="0" applyFont="1" applyBorder="1" applyAlignment="1">
      <alignment horizontal="center"/>
    </xf>
    <xf numFmtId="168" fontId="7" fillId="0" borderId="39" xfId="2" applyNumberFormat="1" applyFont="1" applyBorder="1"/>
    <xf numFmtId="168" fontId="7" fillId="0" borderId="40" xfId="2" applyNumberFormat="1" applyFont="1" applyBorder="1"/>
    <xf numFmtId="0" fontId="7" fillId="0" borderId="41" xfId="0" applyFont="1" applyBorder="1" applyAlignment="1">
      <alignment horizontal="center"/>
    </xf>
    <xf numFmtId="0" fontId="7" fillId="0" borderId="32" xfId="0" applyFont="1" applyBorder="1" applyAlignment="1">
      <alignment horizontal="justify"/>
    </xf>
    <xf numFmtId="0" fontId="7" fillId="0" borderId="32" xfId="0" applyFont="1" applyBorder="1" applyAlignment="1">
      <alignment horizontal="center"/>
    </xf>
    <xf numFmtId="168" fontId="7" fillId="0" borderId="32" xfId="2" applyNumberFormat="1" applyFont="1" applyBorder="1"/>
    <xf numFmtId="168" fontId="7" fillId="0" borderId="42" xfId="2" applyNumberFormat="1" applyFont="1" applyBorder="1"/>
    <xf numFmtId="44" fontId="7" fillId="0" borderId="32" xfId="2" applyFont="1" applyBorder="1" applyAlignment="1">
      <alignment horizontal="center"/>
    </xf>
    <xf numFmtId="0" fontId="7" fillId="0" borderId="32" xfId="0" applyFont="1" applyBorder="1"/>
    <xf numFmtId="0" fontId="7" fillId="0" borderId="43" xfId="0" applyFont="1" applyBorder="1" applyAlignment="1">
      <alignment horizontal="center"/>
    </xf>
    <xf numFmtId="0" fontId="7" fillId="0" borderId="44" xfId="0" applyFont="1" applyBorder="1"/>
    <xf numFmtId="0" fontId="7" fillId="0" borderId="44" xfId="0" applyFont="1" applyBorder="1" applyAlignment="1">
      <alignment horizontal="center"/>
    </xf>
    <xf numFmtId="168" fontId="7" fillId="0" borderId="44" xfId="2" applyNumberFormat="1" applyFont="1" applyBorder="1"/>
    <xf numFmtId="168" fontId="7" fillId="0" borderId="45" xfId="2" applyNumberFormat="1" applyFont="1" applyBorder="1"/>
    <xf numFmtId="0" fontId="7" fillId="0" borderId="17" xfId="0" applyFont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69" fontId="22" fillId="0" borderId="0" xfId="0" applyNumberFormat="1" applyFont="1"/>
    <xf numFmtId="169" fontId="23" fillId="0" borderId="0" xfId="0" applyNumberFormat="1" applyFont="1"/>
    <xf numFmtId="9" fontId="7" fillId="0" borderId="0" xfId="10" applyFont="1"/>
    <xf numFmtId="170" fontId="7" fillId="0" borderId="0" xfId="0" applyNumberFormat="1" applyFont="1"/>
    <xf numFmtId="10" fontId="24" fillId="0" borderId="47" xfId="10" applyNumberFormat="1" applyFont="1" applyFill="1" applyBorder="1" applyAlignment="1">
      <alignment horizontal="center"/>
    </xf>
    <xf numFmtId="10" fontId="24" fillId="0" borderId="48" xfId="10" applyNumberFormat="1" applyFont="1" applyFill="1" applyBorder="1" applyAlignment="1">
      <alignment horizontal="center" vertical="center"/>
    </xf>
    <xf numFmtId="0" fontId="7" fillId="0" borderId="49" xfId="0" applyFont="1" applyBorder="1"/>
    <xf numFmtId="0" fontId="20" fillId="5" borderId="0" xfId="0" applyFont="1" applyFill="1" applyAlignment="1">
      <alignment horizontal="center"/>
    </xf>
    <xf numFmtId="0" fontId="24" fillId="5" borderId="0" xfId="0" applyFont="1" applyFill="1" applyAlignment="1">
      <alignment horizontal="right"/>
    </xf>
    <xf numFmtId="0" fontId="26" fillId="5" borderId="0" xfId="0" applyFont="1" applyFill="1" applyAlignment="1">
      <alignment horizontal="center"/>
    </xf>
    <xf numFmtId="171" fontId="23" fillId="5" borderId="0" xfId="0" applyNumberFormat="1" applyFont="1" applyFill="1" applyAlignment="1">
      <alignment horizontal="center"/>
    </xf>
    <xf numFmtId="0" fontId="20" fillId="0" borderId="4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26" fillId="0" borderId="50" xfId="0" applyNumberFormat="1" applyFont="1" applyBorder="1" applyAlignment="1">
      <alignment horizontal="center"/>
    </xf>
    <xf numFmtId="0" fontId="26" fillId="0" borderId="51" xfId="0" applyFont="1" applyBorder="1"/>
    <xf numFmtId="165" fontId="26" fillId="0" borderId="51" xfId="0" applyNumberFormat="1" applyFont="1" applyBorder="1" applyAlignment="1">
      <alignment horizontal="center"/>
    </xf>
    <xf numFmtId="0" fontId="7" fillId="0" borderId="51" xfId="0" applyFont="1" applyBorder="1"/>
    <xf numFmtId="10" fontId="26" fillId="0" borderId="51" xfId="0" applyNumberFormat="1" applyFont="1" applyBorder="1" applyAlignment="1">
      <alignment horizontal="center"/>
    </xf>
    <xf numFmtId="0" fontId="7" fillId="0" borderId="52" xfId="0" applyFont="1" applyBorder="1"/>
    <xf numFmtId="10" fontId="26" fillId="0" borderId="53" xfId="0" applyNumberFormat="1" applyFont="1" applyBorder="1"/>
    <xf numFmtId="2" fontId="7" fillId="0" borderId="41" xfId="0" applyNumberFormat="1" applyFont="1" applyBorder="1" applyAlignment="1">
      <alignment horizontal="center"/>
    </xf>
    <xf numFmtId="165" fontId="7" fillId="0" borderId="32" xfId="3" applyFont="1" applyFill="1" applyBorder="1"/>
    <xf numFmtId="165" fontId="7" fillId="0" borderId="32" xfId="3" applyFont="1" applyBorder="1"/>
    <xf numFmtId="165" fontId="7" fillId="0" borderId="27" xfId="3" applyFont="1" applyBorder="1"/>
    <xf numFmtId="172" fontId="7" fillId="0" borderId="27" xfId="1" applyNumberFormat="1" applyFont="1" applyBorder="1" applyAlignment="1">
      <alignment vertical="center"/>
    </xf>
    <xf numFmtId="165" fontId="7" fillId="0" borderId="42" xfId="3" applyFont="1" applyBorder="1"/>
    <xf numFmtId="165" fontId="7" fillId="4" borderId="32" xfId="3" applyFont="1" applyFill="1" applyBorder="1" applyAlignment="1">
      <alignment horizontal="right"/>
    </xf>
    <xf numFmtId="4" fontId="7" fillId="4" borderId="32" xfId="0" applyNumberFormat="1" applyFont="1" applyFill="1" applyBorder="1" applyAlignment="1">
      <alignment horizontal="right"/>
    </xf>
    <xf numFmtId="4" fontId="7" fillId="4" borderId="27" xfId="0" applyNumberFormat="1" applyFont="1" applyFill="1" applyBorder="1" applyAlignment="1">
      <alignment horizontal="right"/>
    </xf>
    <xf numFmtId="173" fontId="7" fillId="4" borderId="27" xfId="0" applyNumberFormat="1" applyFont="1" applyFill="1" applyBorder="1" applyAlignment="1">
      <alignment horizontal="right"/>
    </xf>
    <xf numFmtId="0" fontId="20" fillId="0" borderId="32" xfId="0" applyFont="1" applyBorder="1"/>
    <xf numFmtId="165" fontId="20" fillId="0" borderId="42" xfId="3" applyFont="1" applyBorder="1"/>
    <xf numFmtId="4" fontId="7" fillId="0" borderId="32" xfId="0" applyNumberFormat="1" applyFont="1" applyBorder="1"/>
    <xf numFmtId="4" fontId="7" fillId="0" borderId="27" xfId="0" applyNumberFormat="1" applyFont="1" applyBorder="1"/>
    <xf numFmtId="165" fontId="26" fillId="0" borderId="42" xfId="3" applyFont="1" applyBorder="1"/>
    <xf numFmtId="0" fontId="7" fillId="0" borderId="27" xfId="0" applyFont="1" applyBorder="1"/>
    <xf numFmtId="2" fontId="26" fillId="0" borderId="41" xfId="0" applyNumberFormat="1" applyFont="1" applyBorder="1" applyAlignment="1">
      <alignment horizontal="center"/>
    </xf>
    <xf numFmtId="0" fontId="26" fillId="0" borderId="32" xfId="0" applyFont="1" applyBorder="1"/>
    <xf numFmtId="165" fontId="26" fillId="0" borderId="32" xfId="0" applyNumberFormat="1" applyFont="1" applyBorder="1" applyAlignment="1">
      <alignment horizontal="center"/>
    </xf>
    <xf numFmtId="10" fontId="26" fillId="0" borderId="32" xfId="0" applyNumberFormat="1" applyFont="1" applyBorder="1" applyAlignment="1">
      <alignment horizontal="center"/>
    </xf>
    <xf numFmtId="10" fontId="26" fillId="0" borderId="42" xfId="0" applyNumberFormat="1" applyFont="1" applyBorder="1"/>
    <xf numFmtId="2" fontId="7" fillId="0" borderId="43" xfId="0" applyNumberFormat="1" applyFont="1" applyBorder="1" applyAlignment="1">
      <alignment horizontal="center"/>
    </xf>
    <xf numFmtId="0" fontId="20" fillId="0" borderId="44" xfId="0" applyFont="1" applyBorder="1"/>
    <xf numFmtId="4" fontId="7" fillId="0" borderId="44" xfId="0" applyNumberFormat="1" applyFont="1" applyBorder="1"/>
    <xf numFmtId="4" fontId="7" fillId="0" borderId="54" xfId="0" applyNumberFormat="1" applyFont="1" applyBorder="1"/>
    <xf numFmtId="165" fontId="26" fillId="0" borderId="45" xfId="3" applyFont="1" applyBorder="1"/>
    <xf numFmtId="10" fontId="20" fillId="0" borderId="0" xfId="10" applyNumberFormat="1" applyFont="1" applyFill="1" applyBorder="1" applyAlignment="1"/>
    <xf numFmtId="10" fontId="24" fillId="0" borderId="47" xfId="10" applyNumberFormat="1" applyFont="1" applyFill="1" applyBorder="1" applyAlignment="1"/>
    <xf numFmtId="44" fontId="7" fillId="0" borderId="0" xfId="0" applyNumberFormat="1" applyFont="1"/>
    <xf numFmtId="174" fontId="28" fillId="0" borderId="42" xfId="0" applyNumberFormat="1" applyFont="1" applyBorder="1"/>
    <xf numFmtId="0" fontId="3" fillId="0" borderId="55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164" fontId="8" fillId="0" borderId="56" xfId="0" applyNumberFormat="1" applyFont="1" applyBorder="1" applyAlignment="1">
      <alignment vertical="center"/>
    </xf>
    <xf numFmtId="0" fontId="5" fillId="0" borderId="17" xfId="0" applyFont="1" applyBorder="1" applyAlignment="1">
      <alignment horizontal="left"/>
    </xf>
    <xf numFmtId="0" fontId="5" fillId="0" borderId="57" xfId="0" applyFont="1" applyBorder="1" applyAlignment="1">
      <alignment horizontal="centerContinuous"/>
    </xf>
    <xf numFmtId="165" fontId="5" fillId="0" borderId="58" xfId="3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6" xfId="3" applyFont="1" applyBorder="1" applyAlignment="1">
      <alignment horizontal="center" vertical="center"/>
    </xf>
    <xf numFmtId="165" fontId="5" fillId="0" borderId="7" xfId="3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4" fontId="5" fillId="0" borderId="5" xfId="2" applyNumberFormat="1" applyFont="1" applyBorder="1" applyAlignment="1">
      <alignment horizontal="left"/>
    </xf>
    <xf numFmtId="174" fontId="5" fillId="0" borderId="7" xfId="2" applyNumberFormat="1" applyFont="1" applyBorder="1" applyAlignment="1" applyProtection="1">
      <alignment horizontal="center"/>
    </xf>
    <xf numFmtId="14" fontId="0" fillId="8" borderId="0" xfId="0" applyNumberFormat="1" applyFill="1"/>
    <xf numFmtId="165" fontId="0" fillId="0" borderId="0" xfId="0" applyNumberFormat="1"/>
    <xf numFmtId="166" fontId="2" fillId="0" borderId="0" xfId="1" applyNumberFormat="1" applyFont="1" applyBorder="1" applyAlignment="1">
      <alignment horizontal="center" vertical="center"/>
    </xf>
    <xf numFmtId="166" fontId="10" fillId="4" borderId="21" xfId="1" applyNumberFormat="1" applyFont="1" applyFill="1" applyBorder="1" applyAlignment="1">
      <alignment horizontal="center" vertical="center"/>
    </xf>
    <xf numFmtId="166" fontId="10" fillId="3" borderId="22" xfId="1" applyNumberFormat="1" applyFont="1" applyFill="1" applyBorder="1" applyAlignment="1">
      <alignment horizontal="center" vertical="center"/>
    </xf>
    <xf numFmtId="166" fontId="10" fillId="4" borderId="23" xfId="1" applyNumberFormat="1" applyFont="1" applyFill="1" applyBorder="1" applyAlignment="1">
      <alignment horizontal="center" vertical="center"/>
    </xf>
    <xf numFmtId="166" fontId="2" fillId="0" borderId="25" xfId="1" applyNumberFormat="1" applyFont="1" applyBorder="1" applyAlignment="1">
      <alignment horizontal="center" vertical="center"/>
    </xf>
    <xf numFmtId="166" fontId="2" fillId="0" borderId="29" xfId="1" applyNumberFormat="1" applyFont="1" applyBorder="1" applyAlignment="1">
      <alignment horizontal="center" vertical="center"/>
    </xf>
    <xf numFmtId="166" fontId="2" fillId="0" borderId="28" xfId="1" applyNumberFormat="1" applyFont="1" applyFill="1" applyBorder="1" applyAlignment="1">
      <alignment horizontal="center" vertical="center"/>
    </xf>
    <xf numFmtId="166" fontId="17" fillId="4" borderId="34" xfId="1" applyNumberFormat="1" applyFont="1" applyFill="1" applyBorder="1" applyAlignment="1">
      <alignment horizontal="center" vertical="center"/>
    </xf>
    <xf numFmtId="166" fontId="2" fillId="0" borderId="36" xfId="1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right" vertical="center"/>
    </xf>
    <xf numFmtId="0" fontId="5" fillId="0" borderId="57" xfId="0" applyFont="1" applyBorder="1" applyAlignment="1">
      <alignment horizontal="center" vertical="center"/>
    </xf>
    <xf numFmtId="0" fontId="5" fillId="9" borderId="0" xfId="0" applyFont="1" applyFill="1"/>
    <xf numFmtId="0" fontId="2" fillId="9" borderId="0" xfId="0" applyFont="1" applyFill="1" applyAlignment="1">
      <alignment horizontal="center"/>
    </xf>
    <xf numFmtId="0" fontId="5" fillId="9" borderId="0" xfId="0" applyFont="1" applyFill="1" applyAlignment="1">
      <alignment horizontal="justify" vertical="center"/>
    </xf>
    <xf numFmtId="0" fontId="2" fillId="9" borderId="0" xfId="0" applyFont="1" applyFill="1" applyAlignment="1">
      <alignment horizontal="justify" vertical="center"/>
    </xf>
    <xf numFmtId="0" fontId="5" fillId="9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/>
    <xf numFmtId="0" fontId="10" fillId="0" borderId="28" xfId="0" applyFont="1" applyBorder="1" applyAlignment="1">
      <alignment horizontal="right" vertical="center"/>
    </xf>
    <xf numFmtId="0" fontId="10" fillId="9" borderId="22" xfId="0" applyFont="1" applyFill="1" applyBorder="1" applyAlignment="1">
      <alignment horizontal="center"/>
    </xf>
    <xf numFmtId="0" fontId="14" fillId="9" borderId="0" xfId="6" applyFill="1" applyAlignment="1" applyProtection="1">
      <alignment horizontal="center"/>
    </xf>
    <xf numFmtId="3" fontId="17" fillId="9" borderId="0" xfId="0" applyNumberFormat="1" applyFont="1" applyFill="1" applyAlignment="1">
      <alignment horizontal="center" vertical="center"/>
    </xf>
    <xf numFmtId="166" fontId="2" fillId="0" borderId="28" xfId="1" applyNumberFormat="1" applyFont="1" applyFill="1" applyBorder="1" applyAlignment="1">
      <alignment horizontal="center"/>
    </xf>
    <xf numFmtId="14" fontId="0" fillId="0" borderId="0" xfId="0" applyNumberFormat="1"/>
    <xf numFmtId="14" fontId="8" fillId="0" borderId="4" xfId="0" applyNumberFormat="1" applyFont="1" applyBorder="1" applyAlignment="1">
      <alignment horizontal="center" vertical="center"/>
    </xf>
    <xf numFmtId="14" fontId="5" fillId="0" borderId="9" xfId="3" applyNumberFormat="1" applyFont="1" applyBorder="1" applyAlignment="1">
      <alignment horizontal="center"/>
    </xf>
    <xf numFmtId="0" fontId="29" fillId="9" borderId="0" xfId="0" applyFont="1" applyFill="1"/>
    <xf numFmtId="0" fontId="5" fillId="0" borderId="59" xfId="0" applyFont="1" applyBorder="1" applyAlignment="1">
      <alignment horizontal="centerContinuous"/>
    </xf>
    <xf numFmtId="43" fontId="5" fillId="9" borderId="0" xfId="1" applyFont="1" applyFill="1" applyAlignment="1">
      <alignment vertical="center"/>
    </xf>
    <xf numFmtId="43" fontId="5" fillId="9" borderId="0" xfId="1" applyFont="1" applyFill="1"/>
    <xf numFmtId="0" fontId="0" fillId="10" borderId="0" xfId="0" applyFill="1"/>
    <xf numFmtId="43" fontId="0" fillId="0" borderId="0" xfId="1" applyFont="1"/>
    <xf numFmtId="0" fontId="0" fillId="0" borderId="0" xfId="0" applyAlignment="1">
      <alignment horizontal="center"/>
    </xf>
    <xf numFmtId="44" fontId="0" fillId="0" borderId="0" xfId="2" applyFont="1"/>
    <xf numFmtId="164" fontId="5" fillId="9" borderId="0" xfId="0" applyNumberFormat="1" applyFont="1" applyFill="1"/>
    <xf numFmtId="175" fontId="5" fillId="9" borderId="0" xfId="1" applyNumberFormat="1" applyFont="1" applyFill="1"/>
    <xf numFmtId="0" fontId="0" fillId="11" borderId="0" xfId="0" applyFill="1"/>
    <xf numFmtId="0" fontId="0" fillId="11" borderId="32" xfId="0" applyFill="1" applyBorder="1" applyAlignment="1">
      <alignment wrapText="1"/>
    </xf>
    <xf numFmtId="0" fontId="2" fillId="11" borderId="28" xfId="0" applyFont="1" applyFill="1" applyBorder="1" applyAlignment="1">
      <alignment horizontal="justify" vertical="center"/>
    </xf>
    <xf numFmtId="165" fontId="5" fillId="9" borderId="0" xfId="0" applyNumberFormat="1" applyFont="1" applyFill="1"/>
    <xf numFmtId="43" fontId="5" fillId="9" borderId="0" xfId="0" applyNumberFormat="1" applyFont="1" applyFill="1"/>
    <xf numFmtId="0" fontId="10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0" fillId="5" borderId="33" xfId="0" applyFont="1" applyFill="1" applyBorder="1" applyAlignment="1">
      <alignment horizontal="center"/>
    </xf>
    <xf numFmtId="0" fontId="20" fillId="5" borderId="34" xfId="0" applyFont="1" applyFill="1" applyBorder="1" applyAlignment="1">
      <alignment horizontal="center"/>
    </xf>
    <xf numFmtId="0" fontId="20" fillId="5" borderId="35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46" xfId="0" applyFont="1" applyBorder="1" applyAlignment="1">
      <alignment horizontal="center"/>
    </xf>
    <xf numFmtId="0" fontId="23" fillId="0" borderId="47" xfId="0" applyFont="1" applyBorder="1" applyAlignment="1">
      <alignment horizontal="center"/>
    </xf>
  </cellXfs>
  <cellStyles count="12">
    <cellStyle name="BodyStyle" xfId="8" xr:uid="{08145D6F-B00C-490C-8949-7897DC6DAA8C}"/>
    <cellStyle name="HeaderStyle" xfId="5" xr:uid="{93DDF303-DB1E-48CC-9CC1-F99EA5590D16}"/>
    <cellStyle name="Hipervínculo" xfId="6" builtinId="8"/>
    <cellStyle name="Millares" xfId="1" builtinId="3"/>
    <cellStyle name="Millares 3" xfId="9" xr:uid="{83F79692-7394-4911-B2F8-8CA649F49BDC}"/>
    <cellStyle name="Moneda" xfId="2" builtinId="4"/>
    <cellStyle name="Moneda [0] 2" xfId="3" xr:uid="{67A2FC73-1CA1-47B0-B049-DEE5B71EB8F6}"/>
    <cellStyle name="Normal" xfId="0" builtinId="0"/>
    <cellStyle name="Normal 2" xfId="4" xr:uid="{0552A1C0-F652-45A0-8215-B2E0405C8E99}"/>
    <cellStyle name="Normal 3" xfId="11" xr:uid="{68CA1624-4800-4B63-8FF1-5AAE6E7A4DC7}"/>
    <cellStyle name="Numeric" xfId="7" xr:uid="{A1249330-090E-4BE4-88A5-43FA69761F37}"/>
    <cellStyle name="Porcentaje 2" xfId="10" xr:uid="{ACAF258E-AF5C-46C6-BC84-BE1B2CE01FDE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Proporcion</a:t>
            </a:r>
            <a:r>
              <a:rPr lang="en-US" baseline="0"/>
              <a:t> de acometidas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023622047244093E-2"/>
                  <c:y val="0.27373396033829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aprox_parciales!$F$3:$F$7</c:f>
              <c:numCache>
                <c:formatCode>General</c:formatCode>
                <c:ptCount val="5"/>
                <c:pt idx="0">
                  <c:v>2500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</c:numCache>
            </c:numRef>
          </c:xVal>
          <c:yVal>
            <c:numRef>
              <c:f>aprox_parciales!$G$3:$G$7</c:f>
              <c:numCache>
                <c:formatCode>General</c:formatCode>
                <c:ptCount val="5"/>
                <c:pt idx="0">
                  <c:v>300</c:v>
                </c:pt>
                <c:pt idx="1">
                  <c:v>90</c:v>
                </c:pt>
                <c:pt idx="2">
                  <c:v>27</c:v>
                </c:pt>
                <c:pt idx="3">
                  <c:v>13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7-4541-8FEA-0C8CC6A20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00416"/>
        <c:axId val="1441102336"/>
      </c:scatterChart>
      <c:valAx>
        <c:axId val="1441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102336"/>
        <c:crosses val="autoZero"/>
        <c:crossBetween val="midCat"/>
      </c:valAx>
      <c:valAx>
        <c:axId val="1441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1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25300919017777E-2"/>
          <c:y val="0.16505882352941176"/>
          <c:w val="0.86528393134531656"/>
          <c:h val="0.7638891462096649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787154794426207"/>
                  <c:y val="-0.1116569399413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plantas!$D$5:$D$20</c:f>
              <c:numCache>
                <c:formatCode>General</c:formatCode>
                <c:ptCount val="16"/>
                <c:pt idx="0">
                  <c:v>50</c:v>
                </c:pt>
                <c:pt idx="1">
                  <c:v>36</c:v>
                </c:pt>
                <c:pt idx="2">
                  <c:v>137.69999999999999</c:v>
                </c:pt>
                <c:pt idx="3">
                  <c:v>80</c:v>
                </c:pt>
                <c:pt idx="4">
                  <c:v>39.700000000000003</c:v>
                </c:pt>
                <c:pt idx="5">
                  <c:v>39</c:v>
                </c:pt>
                <c:pt idx="6">
                  <c:v>77</c:v>
                </c:pt>
                <c:pt idx="7">
                  <c:v>13</c:v>
                </c:pt>
                <c:pt idx="8">
                  <c:v>37</c:v>
                </c:pt>
                <c:pt idx="9">
                  <c:v>100</c:v>
                </c:pt>
                <c:pt idx="10">
                  <c:v>125</c:v>
                </c:pt>
                <c:pt idx="11">
                  <c:v>138</c:v>
                </c:pt>
                <c:pt idx="12">
                  <c:v>110</c:v>
                </c:pt>
                <c:pt idx="13">
                  <c:v>101</c:v>
                </c:pt>
                <c:pt idx="14">
                  <c:v>72</c:v>
                </c:pt>
                <c:pt idx="15">
                  <c:v>300</c:v>
                </c:pt>
              </c:numCache>
            </c:numRef>
          </c:xVal>
          <c:yVal>
            <c:numRef>
              <c:f>plantas!$E$5:$E$20</c:f>
              <c:numCache>
                <c:formatCode>General</c:formatCode>
                <c:ptCount val="16"/>
                <c:pt idx="0">
                  <c:v>55900</c:v>
                </c:pt>
                <c:pt idx="1">
                  <c:v>37900</c:v>
                </c:pt>
                <c:pt idx="2">
                  <c:v>83170</c:v>
                </c:pt>
                <c:pt idx="3">
                  <c:v>71900</c:v>
                </c:pt>
                <c:pt idx="4">
                  <c:v>58500</c:v>
                </c:pt>
                <c:pt idx="5">
                  <c:v>40459</c:v>
                </c:pt>
                <c:pt idx="6">
                  <c:v>56779</c:v>
                </c:pt>
                <c:pt idx="7">
                  <c:v>24900</c:v>
                </c:pt>
                <c:pt idx="8">
                  <c:v>39900</c:v>
                </c:pt>
                <c:pt idx="9">
                  <c:v>67269</c:v>
                </c:pt>
                <c:pt idx="10">
                  <c:v>81942</c:v>
                </c:pt>
                <c:pt idx="11">
                  <c:v>90000</c:v>
                </c:pt>
                <c:pt idx="12">
                  <c:v>78879</c:v>
                </c:pt>
                <c:pt idx="13">
                  <c:v>68947</c:v>
                </c:pt>
                <c:pt idx="14">
                  <c:v>64960</c:v>
                </c:pt>
                <c:pt idx="15">
                  <c:v>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3-48A6-AD0E-F2A3C210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55856"/>
        <c:axId val="1320454896"/>
      </c:scatterChart>
      <c:valAx>
        <c:axId val="13204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454896"/>
        <c:crosses val="autoZero"/>
        <c:crossBetween val="midCat"/>
      </c:valAx>
      <c:valAx>
        <c:axId val="13204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4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9</xdr:row>
      <xdr:rowOff>121920</xdr:rowOff>
    </xdr:from>
    <xdr:to>
      <xdr:col>11</xdr:col>
      <xdr:colOff>708660</xdr:colOff>
      <xdr:row>24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BA5841-992B-8014-B541-AB0CFFA6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</xdr:row>
      <xdr:rowOff>137160</xdr:rowOff>
    </xdr:from>
    <xdr:to>
      <xdr:col>12</xdr:col>
      <xdr:colOff>518160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0D3E4-F5D0-1438-3881-4B12D1C41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Trabajo\Presupuestos\APU&#180;S%20MODELO.xls" TargetMode="External"/><Relationship Id="rId1" Type="http://schemas.openxmlformats.org/officeDocument/2006/relationships/externalLinkPath" Target="file:///K:\Trabajo\Presupuestos\APU&#180;S%20MODE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ants."/>
      <sheetName val="Análisis"/>
      <sheetName val="materiales"/>
      <sheetName val="RECURSOS"/>
      <sheetName val="M.D.O."/>
      <sheetName val="Desglose Del AIU"/>
      <sheetName val="Módulo1"/>
      <sheetName val="Módulo2"/>
      <sheetName val="Módulo3"/>
      <sheetName val="Módulo4"/>
      <sheetName val="Módulo5"/>
    </sheetNames>
    <sheetDataSet>
      <sheetData sheetId="0"/>
      <sheetData sheetId="1">
        <row r="771">
          <cell r="D771">
            <v>1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0FFD-CAB6-4731-80DB-623633710424}">
  <dimension ref="A1:AB305"/>
  <sheetViews>
    <sheetView tabSelected="1" topLeftCell="A280" workbookViewId="0">
      <selection activeCell="B294" sqref="B294"/>
    </sheetView>
  </sheetViews>
  <sheetFormatPr baseColWidth="10" defaultColWidth="11.42578125" defaultRowHeight="13.5"/>
  <cols>
    <col min="1" max="1" width="8.28515625" style="212" bestFit="1" customWidth="1"/>
    <col min="2" max="2" width="12.42578125" style="53" bestFit="1" customWidth="1"/>
    <col min="3" max="3" width="72.28515625" style="53" customWidth="1"/>
    <col min="4" max="4" width="7.28515625" style="46" bestFit="1" customWidth="1"/>
    <col min="5" max="5" width="8.85546875" style="208" customWidth="1"/>
    <col min="6" max="6" width="15.7109375" style="53" customWidth="1"/>
    <col min="7" max="12" width="15.7109375" style="54" customWidth="1"/>
    <col min="13" max="13" width="17.85546875" style="53" customWidth="1"/>
    <col min="14" max="14" width="11.42578125" style="1"/>
    <col min="15" max="15" width="17.28515625" style="94" bestFit="1" customWidth="1"/>
    <col min="16" max="16" width="18" style="94" bestFit="1" customWidth="1"/>
    <col min="17" max="17" width="18.85546875" style="94" bestFit="1" customWidth="1"/>
    <col min="18" max="28" width="11.42578125" style="94"/>
    <col min="29" max="256" width="11.42578125" style="53"/>
    <col min="257" max="257" width="8" style="53" customWidth="1"/>
    <col min="258" max="258" width="11.140625" style="53" customWidth="1"/>
    <col min="259" max="259" width="72.140625" style="53" customWidth="1"/>
    <col min="260" max="260" width="7.28515625" style="53" bestFit="1" customWidth="1"/>
    <col min="261" max="261" width="8.85546875" style="53" customWidth="1"/>
    <col min="262" max="264" width="0" style="53" hidden="1" customWidth="1"/>
    <col min="265" max="265" width="15.7109375" style="53" customWidth="1"/>
    <col min="266" max="268" width="0" style="53" hidden="1" customWidth="1"/>
    <col min="269" max="269" width="17.85546875" style="53" customWidth="1"/>
    <col min="270" max="512" width="11.42578125" style="53"/>
    <col min="513" max="513" width="8" style="53" customWidth="1"/>
    <col min="514" max="514" width="11.140625" style="53" customWidth="1"/>
    <col min="515" max="515" width="72.140625" style="53" customWidth="1"/>
    <col min="516" max="516" width="7.28515625" style="53" bestFit="1" customWidth="1"/>
    <col min="517" max="517" width="8.85546875" style="53" customWidth="1"/>
    <col min="518" max="520" width="0" style="53" hidden="1" customWidth="1"/>
    <col min="521" max="521" width="15.7109375" style="53" customWidth="1"/>
    <col min="522" max="524" width="0" style="53" hidden="1" customWidth="1"/>
    <col min="525" max="525" width="17.85546875" style="53" customWidth="1"/>
    <col min="526" max="768" width="11.42578125" style="53"/>
    <col min="769" max="769" width="8" style="53" customWidth="1"/>
    <col min="770" max="770" width="11.140625" style="53" customWidth="1"/>
    <col min="771" max="771" width="72.140625" style="53" customWidth="1"/>
    <col min="772" max="772" width="7.28515625" style="53" bestFit="1" customWidth="1"/>
    <col min="773" max="773" width="8.85546875" style="53" customWidth="1"/>
    <col min="774" max="776" width="0" style="53" hidden="1" customWidth="1"/>
    <col min="777" max="777" width="15.7109375" style="53" customWidth="1"/>
    <col min="778" max="780" width="0" style="53" hidden="1" customWidth="1"/>
    <col min="781" max="781" width="17.85546875" style="53" customWidth="1"/>
    <col min="782" max="1024" width="11.42578125" style="53"/>
    <col min="1025" max="1025" width="8" style="53" customWidth="1"/>
    <col min="1026" max="1026" width="11.140625" style="53" customWidth="1"/>
    <col min="1027" max="1027" width="72.140625" style="53" customWidth="1"/>
    <col min="1028" max="1028" width="7.28515625" style="53" bestFit="1" customWidth="1"/>
    <col min="1029" max="1029" width="8.85546875" style="53" customWidth="1"/>
    <col min="1030" max="1032" width="0" style="53" hidden="1" customWidth="1"/>
    <col min="1033" max="1033" width="15.7109375" style="53" customWidth="1"/>
    <col min="1034" max="1036" width="0" style="53" hidden="1" customWidth="1"/>
    <col min="1037" max="1037" width="17.85546875" style="53" customWidth="1"/>
    <col min="1038" max="1280" width="11.42578125" style="53"/>
    <col min="1281" max="1281" width="8" style="53" customWidth="1"/>
    <col min="1282" max="1282" width="11.140625" style="53" customWidth="1"/>
    <col min="1283" max="1283" width="72.140625" style="53" customWidth="1"/>
    <col min="1284" max="1284" width="7.28515625" style="53" bestFit="1" customWidth="1"/>
    <col min="1285" max="1285" width="8.85546875" style="53" customWidth="1"/>
    <col min="1286" max="1288" width="0" style="53" hidden="1" customWidth="1"/>
    <col min="1289" max="1289" width="15.7109375" style="53" customWidth="1"/>
    <col min="1290" max="1292" width="0" style="53" hidden="1" customWidth="1"/>
    <col min="1293" max="1293" width="17.85546875" style="53" customWidth="1"/>
    <col min="1294" max="1536" width="11.42578125" style="53"/>
    <col min="1537" max="1537" width="8" style="53" customWidth="1"/>
    <col min="1538" max="1538" width="11.140625" style="53" customWidth="1"/>
    <col min="1539" max="1539" width="72.140625" style="53" customWidth="1"/>
    <col min="1540" max="1540" width="7.28515625" style="53" bestFit="1" customWidth="1"/>
    <col min="1541" max="1541" width="8.85546875" style="53" customWidth="1"/>
    <col min="1542" max="1544" width="0" style="53" hidden="1" customWidth="1"/>
    <col min="1545" max="1545" width="15.7109375" style="53" customWidth="1"/>
    <col min="1546" max="1548" width="0" style="53" hidden="1" customWidth="1"/>
    <col min="1549" max="1549" width="17.85546875" style="53" customWidth="1"/>
    <col min="1550" max="1792" width="11.42578125" style="53"/>
    <col min="1793" max="1793" width="8" style="53" customWidth="1"/>
    <col min="1794" max="1794" width="11.140625" style="53" customWidth="1"/>
    <col min="1795" max="1795" width="72.140625" style="53" customWidth="1"/>
    <col min="1796" max="1796" width="7.28515625" style="53" bestFit="1" customWidth="1"/>
    <col min="1797" max="1797" width="8.85546875" style="53" customWidth="1"/>
    <col min="1798" max="1800" width="0" style="53" hidden="1" customWidth="1"/>
    <col min="1801" max="1801" width="15.7109375" style="53" customWidth="1"/>
    <col min="1802" max="1804" width="0" style="53" hidden="1" customWidth="1"/>
    <col min="1805" max="1805" width="17.85546875" style="53" customWidth="1"/>
    <col min="1806" max="2048" width="11.42578125" style="53"/>
    <col min="2049" max="2049" width="8" style="53" customWidth="1"/>
    <col min="2050" max="2050" width="11.140625" style="53" customWidth="1"/>
    <col min="2051" max="2051" width="72.140625" style="53" customWidth="1"/>
    <col min="2052" max="2052" width="7.28515625" style="53" bestFit="1" customWidth="1"/>
    <col min="2053" max="2053" width="8.85546875" style="53" customWidth="1"/>
    <col min="2054" max="2056" width="0" style="53" hidden="1" customWidth="1"/>
    <col min="2057" max="2057" width="15.7109375" style="53" customWidth="1"/>
    <col min="2058" max="2060" width="0" style="53" hidden="1" customWidth="1"/>
    <col min="2061" max="2061" width="17.85546875" style="53" customWidth="1"/>
    <col min="2062" max="2304" width="11.42578125" style="53"/>
    <col min="2305" max="2305" width="8" style="53" customWidth="1"/>
    <col min="2306" max="2306" width="11.140625" style="53" customWidth="1"/>
    <col min="2307" max="2307" width="72.140625" style="53" customWidth="1"/>
    <col min="2308" max="2308" width="7.28515625" style="53" bestFit="1" customWidth="1"/>
    <col min="2309" max="2309" width="8.85546875" style="53" customWidth="1"/>
    <col min="2310" max="2312" width="0" style="53" hidden="1" customWidth="1"/>
    <col min="2313" max="2313" width="15.7109375" style="53" customWidth="1"/>
    <col min="2314" max="2316" width="0" style="53" hidden="1" customWidth="1"/>
    <col min="2317" max="2317" width="17.85546875" style="53" customWidth="1"/>
    <col min="2318" max="2560" width="11.42578125" style="53"/>
    <col min="2561" max="2561" width="8" style="53" customWidth="1"/>
    <col min="2562" max="2562" width="11.140625" style="53" customWidth="1"/>
    <col min="2563" max="2563" width="72.140625" style="53" customWidth="1"/>
    <col min="2564" max="2564" width="7.28515625" style="53" bestFit="1" customWidth="1"/>
    <col min="2565" max="2565" width="8.85546875" style="53" customWidth="1"/>
    <col min="2566" max="2568" width="0" style="53" hidden="1" customWidth="1"/>
    <col min="2569" max="2569" width="15.7109375" style="53" customWidth="1"/>
    <col min="2570" max="2572" width="0" style="53" hidden="1" customWidth="1"/>
    <col min="2573" max="2573" width="17.85546875" style="53" customWidth="1"/>
    <col min="2574" max="2816" width="11.42578125" style="53"/>
    <col min="2817" max="2817" width="8" style="53" customWidth="1"/>
    <col min="2818" max="2818" width="11.140625" style="53" customWidth="1"/>
    <col min="2819" max="2819" width="72.140625" style="53" customWidth="1"/>
    <col min="2820" max="2820" width="7.28515625" style="53" bestFit="1" customWidth="1"/>
    <col min="2821" max="2821" width="8.85546875" style="53" customWidth="1"/>
    <col min="2822" max="2824" width="0" style="53" hidden="1" customWidth="1"/>
    <col min="2825" max="2825" width="15.7109375" style="53" customWidth="1"/>
    <col min="2826" max="2828" width="0" style="53" hidden="1" customWidth="1"/>
    <col min="2829" max="2829" width="17.85546875" style="53" customWidth="1"/>
    <col min="2830" max="3072" width="11.42578125" style="53"/>
    <col min="3073" max="3073" width="8" style="53" customWidth="1"/>
    <col min="3074" max="3074" width="11.140625" style="53" customWidth="1"/>
    <col min="3075" max="3075" width="72.140625" style="53" customWidth="1"/>
    <col min="3076" max="3076" width="7.28515625" style="53" bestFit="1" customWidth="1"/>
    <col min="3077" max="3077" width="8.85546875" style="53" customWidth="1"/>
    <col min="3078" max="3080" width="0" style="53" hidden="1" customWidth="1"/>
    <col min="3081" max="3081" width="15.7109375" style="53" customWidth="1"/>
    <col min="3082" max="3084" width="0" style="53" hidden="1" customWidth="1"/>
    <col min="3085" max="3085" width="17.85546875" style="53" customWidth="1"/>
    <col min="3086" max="3328" width="11.42578125" style="53"/>
    <col min="3329" max="3329" width="8" style="53" customWidth="1"/>
    <col min="3330" max="3330" width="11.140625" style="53" customWidth="1"/>
    <col min="3331" max="3331" width="72.140625" style="53" customWidth="1"/>
    <col min="3332" max="3332" width="7.28515625" style="53" bestFit="1" customWidth="1"/>
    <col min="3333" max="3333" width="8.85546875" style="53" customWidth="1"/>
    <col min="3334" max="3336" width="0" style="53" hidden="1" customWidth="1"/>
    <col min="3337" max="3337" width="15.7109375" style="53" customWidth="1"/>
    <col min="3338" max="3340" width="0" style="53" hidden="1" customWidth="1"/>
    <col min="3341" max="3341" width="17.85546875" style="53" customWidth="1"/>
    <col min="3342" max="3584" width="11.42578125" style="53"/>
    <col min="3585" max="3585" width="8" style="53" customWidth="1"/>
    <col min="3586" max="3586" width="11.140625" style="53" customWidth="1"/>
    <col min="3587" max="3587" width="72.140625" style="53" customWidth="1"/>
    <col min="3588" max="3588" width="7.28515625" style="53" bestFit="1" customWidth="1"/>
    <col min="3589" max="3589" width="8.85546875" style="53" customWidth="1"/>
    <col min="3590" max="3592" width="0" style="53" hidden="1" customWidth="1"/>
    <col min="3593" max="3593" width="15.7109375" style="53" customWidth="1"/>
    <col min="3594" max="3596" width="0" style="53" hidden="1" customWidth="1"/>
    <col min="3597" max="3597" width="17.85546875" style="53" customWidth="1"/>
    <col min="3598" max="3840" width="11.42578125" style="53"/>
    <col min="3841" max="3841" width="8" style="53" customWidth="1"/>
    <col min="3842" max="3842" width="11.140625" style="53" customWidth="1"/>
    <col min="3843" max="3843" width="72.140625" style="53" customWidth="1"/>
    <col min="3844" max="3844" width="7.28515625" style="53" bestFit="1" customWidth="1"/>
    <col min="3845" max="3845" width="8.85546875" style="53" customWidth="1"/>
    <col min="3846" max="3848" width="0" style="53" hidden="1" customWidth="1"/>
    <col min="3849" max="3849" width="15.7109375" style="53" customWidth="1"/>
    <col min="3850" max="3852" width="0" style="53" hidden="1" customWidth="1"/>
    <col min="3853" max="3853" width="17.85546875" style="53" customWidth="1"/>
    <col min="3854" max="4096" width="11.42578125" style="53"/>
    <col min="4097" max="4097" width="8" style="53" customWidth="1"/>
    <col min="4098" max="4098" width="11.140625" style="53" customWidth="1"/>
    <col min="4099" max="4099" width="72.140625" style="53" customWidth="1"/>
    <col min="4100" max="4100" width="7.28515625" style="53" bestFit="1" customWidth="1"/>
    <col min="4101" max="4101" width="8.85546875" style="53" customWidth="1"/>
    <col min="4102" max="4104" width="0" style="53" hidden="1" customWidth="1"/>
    <col min="4105" max="4105" width="15.7109375" style="53" customWidth="1"/>
    <col min="4106" max="4108" width="0" style="53" hidden="1" customWidth="1"/>
    <col min="4109" max="4109" width="17.85546875" style="53" customWidth="1"/>
    <col min="4110" max="4352" width="11.42578125" style="53"/>
    <col min="4353" max="4353" width="8" style="53" customWidth="1"/>
    <col min="4354" max="4354" width="11.140625" style="53" customWidth="1"/>
    <col min="4355" max="4355" width="72.140625" style="53" customWidth="1"/>
    <col min="4356" max="4356" width="7.28515625" style="53" bestFit="1" customWidth="1"/>
    <col min="4357" max="4357" width="8.85546875" style="53" customWidth="1"/>
    <col min="4358" max="4360" width="0" style="53" hidden="1" customWidth="1"/>
    <col min="4361" max="4361" width="15.7109375" style="53" customWidth="1"/>
    <col min="4362" max="4364" width="0" style="53" hidden="1" customWidth="1"/>
    <col min="4365" max="4365" width="17.85546875" style="53" customWidth="1"/>
    <col min="4366" max="4608" width="11.42578125" style="53"/>
    <col min="4609" max="4609" width="8" style="53" customWidth="1"/>
    <col min="4610" max="4610" width="11.140625" style="53" customWidth="1"/>
    <col min="4611" max="4611" width="72.140625" style="53" customWidth="1"/>
    <col min="4612" max="4612" width="7.28515625" style="53" bestFit="1" customWidth="1"/>
    <col min="4613" max="4613" width="8.85546875" style="53" customWidth="1"/>
    <col min="4614" max="4616" width="0" style="53" hidden="1" customWidth="1"/>
    <col min="4617" max="4617" width="15.7109375" style="53" customWidth="1"/>
    <col min="4618" max="4620" width="0" style="53" hidden="1" customWidth="1"/>
    <col min="4621" max="4621" width="17.85546875" style="53" customWidth="1"/>
    <col min="4622" max="4864" width="11.42578125" style="53"/>
    <col min="4865" max="4865" width="8" style="53" customWidth="1"/>
    <col min="4866" max="4866" width="11.140625" style="53" customWidth="1"/>
    <col min="4867" max="4867" width="72.140625" style="53" customWidth="1"/>
    <col min="4868" max="4868" width="7.28515625" style="53" bestFit="1" customWidth="1"/>
    <col min="4869" max="4869" width="8.85546875" style="53" customWidth="1"/>
    <col min="4870" max="4872" width="0" style="53" hidden="1" customWidth="1"/>
    <col min="4873" max="4873" width="15.7109375" style="53" customWidth="1"/>
    <col min="4874" max="4876" width="0" style="53" hidden="1" customWidth="1"/>
    <col min="4877" max="4877" width="17.85546875" style="53" customWidth="1"/>
    <col min="4878" max="5120" width="11.42578125" style="53"/>
    <col min="5121" max="5121" width="8" style="53" customWidth="1"/>
    <col min="5122" max="5122" width="11.140625" style="53" customWidth="1"/>
    <col min="5123" max="5123" width="72.140625" style="53" customWidth="1"/>
    <col min="5124" max="5124" width="7.28515625" style="53" bestFit="1" customWidth="1"/>
    <col min="5125" max="5125" width="8.85546875" style="53" customWidth="1"/>
    <col min="5126" max="5128" width="0" style="53" hidden="1" customWidth="1"/>
    <col min="5129" max="5129" width="15.7109375" style="53" customWidth="1"/>
    <col min="5130" max="5132" width="0" style="53" hidden="1" customWidth="1"/>
    <col min="5133" max="5133" width="17.85546875" style="53" customWidth="1"/>
    <col min="5134" max="5376" width="11.42578125" style="53"/>
    <col min="5377" max="5377" width="8" style="53" customWidth="1"/>
    <col min="5378" max="5378" width="11.140625" style="53" customWidth="1"/>
    <col min="5379" max="5379" width="72.140625" style="53" customWidth="1"/>
    <col min="5380" max="5380" width="7.28515625" style="53" bestFit="1" customWidth="1"/>
    <col min="5381" max="5381" width="8.85546875" style="53" customWidth="1"/>
    <col min="5382" max="5384" width="0" style="53" hidden="1" customWidth="1"/>
    <col min="5385" max="5385" width="15.7109375" style="53" customWidth="1"/>
    <col min="5386" max="5388" width="0" style="53" hidden="1" customWidth="1"/>
    <col min="5389" max="5389" width="17.85546875" style="53" customWidth="1"/>
    <col min="5390" max="5632" width="11.42578125" style="53"/>
    <col min="5633" max="5633" width="8" style="53" customWidth="1"/>
    <col min="5634" max="5634" width="11.140625" style="53" customWidth="1"/>
    <col min="5635" max="5635" width="72.140625" style="53" customWidth="1"/>
    <col min="5636" max="5636" width="7.28515625" style="53" bestFit="1" customWidth="1"/>
    <col min="5637" max="5637" width="8.85546875" style="53" customWidth="1"/>
    <col min="5638" max="5640" width="0" style="53" hidden="1" customWidth="1"/>
    <col min="5641" max="5641" width="15.7109375" style="53" customWidth="1"/>
    <col min="5642" max="5644" width="0" style="53" hidden="1" customWidth="1"/>
    <col min="5645" max="5645" width="17.85546875" style="53" customWidth="1"/>
    <col min="5646" max="5888" width="11.42578125" style="53"/>
    <col min="5889" max="5889" width="8" style="53" customWidth="1"/>
    <col min="5890" max="5890" width="11.140625" style="53" customWidth="1"/>
    <col min="5891" max="5891" width="72.140625" style="53" customWidth="1"/>
    <col min="5892" max="5892" width="7.28515625" style="53" bestFit="1" customWidth="1"/>
    <col min="5893" max="5893" width="8.85546875" style="53" customWidth="1"/>
    <col min="5894" max="5896" width="0" style="53" hidden="1" customWidth="1"/>
    <col min="5897" max="5897" width="15.7109375" style="53" customWidth="1"/>
    <col min="5898" max="5900" width="0" style="53" hidden="1" customWidth="1"/>
    <col min="5901" max="5901" width="17.85546875" style="53" customWidth="1"/>
    <col min="5902" max="6144" width="11.42578125" style="53"/>
    <col min="6145" max="6145" width="8" style="53" customWidth="1"/>
    <col min="6146" max="6146" width="11.140625" style="53" customWidth="1"/>
    <col min="6147" max="6147" width="72.140625" style="53" customWidth="1"/>
    <col min="6148" max="6148" width="7.28515625" style="53" bestFit="1" customWidth="1"/>
    <col min="6149" max="6149" width="8.85546875" style="53" customWidth="1"/>
    <col min="6150" max="6152" width="0" style="53" hidden="1" customWidth="1"/>
    <col min="6153" max="6153" width="15.7109375" style="53" customWidth="1"/>
    <col min="6154" max="6156" width="0" style="53" hidden="1" customWidth="1"/>
    <col min="6157" max="6157" width="17.85546875" style="53" customWidth="1"/>
    <col min="6158" max="6400" width="11.42578125" style="53"/>
    <col min="6401" max="6401" width="8" style="53" customWidth="1"/>
    <col min="6402" max="6402" width="11.140625" style="53" customWidth="1"/>
    <col min="6403" max="6403" width="72.140625" style="53" customWidth="1"/>
    <col min="6404" max="6404" width="7.28515625" style="53" bestFit="1" customWidth="1"/>
    <col min="6405" max="6405" width="8.85546875" style="53" customWidth="1"/>
    <col min="6406" max="6408" width="0" style="53" hidden="1" customWidth="1"/>
    <col min="6409" max="6409" width="15.7109375" style="53" customWidth="1"/>
    <col min="6410" max="6412" width="0" style="53" hidden="1" customWidth="1"/>
    <col min="6413" max="6413" width="17.85546875" style="53" customWidth="1"/>
    <col min="6414" max="6656" width="11.42578125" style="53"/>
    <col min="6657" max="6657" width="8" style="53" customWidth="1"/>
    <col min="6658" max="6658" width="11.140625" style="53" customWidth="1"/>
    <col min="6659" max="6659" width="72.140625" style="53" customWidth="1"/>
    <col min="6660" max="6660" width="7.28515625" style="53" bestFit="1" customWidth="1"/>
    <col min="6661" max="6661" width="8.85546875" style="53" customWidth="1"/>
    <col min="6662" max="6664" width="0" style="53" hidden="1" customWidth="1"/>
    <col min="6665" max="6665" width="15.7109375" style="53" customWidth="1"/>
    <col min="6666" max="6668" width="0" style="53" hidden="1" customWidth="1"/>
    <col min="6669" max="6669" width="17.85546875" style="53" customWidth="1"/>
    <col min="6670" max="6912" width="11.42578125" style="53"/>
    <col min="6913" max="6913" width="8" style="53" customWidth="1"/>
    <col min="6914" max="6914" width="11.140625" style="53" customWidth="1"/>
    <col min="6915" max="6915" width="72.140625" style="53" customWidth="1"/>
    <col min="6916" max="6916" width="7.28515625" style="53" bestFit="1" customWidth="1"/>
    <col min="6917" max="6917" width="8.85546875" style="53" customWidth="1"/>
    <col min="6918" max="6920" width="0" style="53" hidden="1" customWidth="1"/>
    <col min="6921" max="6921" width="15.7109375" style="53" customWidth="1"/>
    <col min="6922" max="6924" width="0" style="53" hidden="1" customWidth="1"/>
    <col min="6925" max="6925" width="17.85546875" style="53" customWidth="1"/>
    <col min="6926" max="7168" width="11.42578125" style="53"/>
    <col min="7169" max="7169" width="8" style="53" customWidth="1"/>
    <col min="7170" max="7170" width="11.140625" style="53" customWidth="1"/>
    <col min="7171" max="7171" width="72.140625" style="53" customWidth="1"/>
    <col min="7172" max="7172" width="7.28515625" style="53" bestFit="1" customWidth="1"/>
    <col min="7173" max="7173" width="8.85546875" style="53" customWidth="1"/>
    <col min="7174" max="7176" width="0" style="53" hidden="1" customWidth="1"/>
    <col min="7177" max="7177" width="15.7109375" style="53" customWidth="1"/>
    <col min="7178" max="7180" width="0" style="53" hidden="1" customWidth="1"/>
    <col min="7181" max="7181" width="17.85546875" style="53" customWidth="1"/>
    <col min="7182" max="7424" width="11.42578125" style="53"/>
    <col min="7425" max="7425" width="8" style="53" customWidth="1"/>
    <col min="7426" max="7426" width="11.140625" style="53" customWidth="1"/>
    <col min="7427" max="7427" width="72.140625" style="53" customWidth="1"/>
    <col min="7428" max="7428" width="7.28515625" style="53" bestFit="1" customWidth="1"/>
    <col min="7429" max="7429" width="8.85546875" style="53" customWidth="1"/>
    <col min="7430" max="7432" width="0" style="53" hidden="1" customWidth="1"/>
    <col min="7433" max="7433" width="15.7109375" style="53" customWidth="1"/>
    <col min="7434" max="7436" width="0" style="53" hidden="1" customWidth="1"/>
    <col min="7437" max="7437" width="17.85546875" style="53" customWidth="1"/>
    <col min="7438" max="7680" width="11.42578125" style="53"/>
    <col min="7681" max="7681" width="8" style="53" customWidth="1"/>
    <col min="7682" max="7682" width="11.140625" style="53" customWidth="1"/>
    <col min="7683" max="7683" width="72.140625" style="53" customWidth="1"/>
    <col min="7684" max="7684" width="7.28515625" style="53" bestFit="1" customWidth="1"/>
    <col min="7685" max="7685" width="8.85546875" style="53" customWidth="1"/>
    <col min="7686" max="7688" width="0" style="53" hidden="1" customWidth="1"/>
    <col min="7689" max="7689" width="15.7109375" style="53" customWidth="1"/>
    <col min="7690" max="7692" width="0" style="53" hidden="1" customWidth="1"/>
    <col min="7693" max="7693" width="17.85546875" style="53" customWidth="1"/>
    <col min="7694" max="7936" width="11.42578125" style="53"/>
    <col min="7937" max="7937" width="8" style="53" customWidth="1"/>
    <col min="7938" max="7938" width="11.140625" style="53" customWidth="1"/>
    <col min="7939" max="7939" width="72.140625" style="53" customWidth="1"/>
    <col min="7940" max="7940" width="7.28515625" style="53" bestFit="1" customWidth="1"/>
    <col min="7941" max="7941" width="8.85546875" style="53" customWidth="1"/>
    <col min="7942" max="7944" width="0" style="53" hidden="1" customWidth="1"/>
    <col min="7945" max="7945" width="15.7109375" style="53" customWidth="1"/>
    <col min="7946" max="7948" width="0" style="53" hidden="1" customWidth="1"/>
    <col min="7949" max="7949" width="17.85546875" style="53" customWidth="1"/>
    <col min="7950" max="8192" width="11.42578125" style="53"/>
    <col min="8193" max="8193" width="8" style="53" customWidth="1"/>
    <col min="8194" max="8194" width="11.140625" style="53" customWidth="1"/>
    <col min="8195" max="8195" width="72.140625" style="53" customWidth="1"/>
    <col min="8196" max="8196" width="7.28515625" style="53" bestFit="1" customWidth="1"/>
    <col min="8197" max="8197" width="8.85546875" style="53" customWidth="1"/>
    <col min="8198" max="8200" width="0" style="53" hidden="1" customWidth="1"/>
    <col min="8201" max="8201" width="15.7109375" style="53" customWidth="1"/>
    <col min="8202" max="8204" width="0" style="53" hidden="1" customWidth="1"/>
    <col min="8205" max="8205" width="17.85546875" style="53" customWidth="1"/>
    <col min="8206" max="8448" width="11.42578125" style="53"/>
    <col min="8449" max="8449" width="8" style="53" customWidth="1"/>
    <col min="8450" max="8450" width="11.140625" style="53" customWidth="1"/>
    <col min="8451" max="8451" width="72.140625" style="53" customWidth="1"/>
    <col min="8452" max="8452" width="7.28515625" style="53" bestFit="1" customWidth="1"/>
    <col min="8453" max="8453" width="8.85546875" style="53" customWidth="1"/>
    <col min="8454" max="8456" width="0" style="53" hidden="1" customWidth="1"/>
    <col min="8457" max="8457" width="15.7109375" style="53" customWidth="1"/>
    <col min="8458" max="8460" width="0" style="53" hidden="1" customWidth="1"/>
    <col min="8461" max="8461" width="17.85546875" style="53" customWidth="1"/>
    <col min="8462" max="8704" width="11.42578125" style="53"/>
    <col min="8705" max="8705" width="8" style="53" customWidth="1"/>
    <col min="8706" max="8706" width="11.140625" style="53" customWidth="1"/>
    <col min="8707" max="8707" width="72.140625" style="53" customWidth="1"/>
    <col min="8708" max="8708" width="7.28515625" style="53" bestFit="1" customWidth="1"/>
    <col min="8709" max="8709" width="8.85546875" style="53" customWidth="1"/>
    <col min="8710" max="8712" width="0" style="53" hidden="1" customWidth="1"/>
    <col min="8713" max="8713" width="15.7109375" style="53" customWidth="1"/>
    <col min="8714" max="8716" width="0" style="53" hidden="1" customWidth="1"/>
    <col min="8717" max="8717" width="17.85546875" style="53" customWidth="1"/>
    <col min="8718" max="8960" width="11.42578125" style="53"/>
    <col min="8961" max="8961" width="8" style="53" customWidth="1"/>
    <col min="8962" max="8962" width="11.140625" style="53" customWidth="1"/>
    <col min="8963" max="8963" width="72.140625" style="53" customWidth="1"/>
    <col min="8964" max="8964" width="7.28515625" style="53" bestFit="1" customWidth="1"/>
    <col min="8965" max="8965" width="8.85546875" style="53" customWidth="1"/>
    <col min="8966" max="8968" width="0" style="53" hidden="1" customWidth="1"/>
    <col min="8969" max="8969" width="15.7109375" style="53" customWidth="1"/>
    <col min="8970" max="8972" width="0" style="53" hidden="1" customWidth="1"/>
    <col min="8973" max="8973" width="17.85546875" style="53" customWidth="1"/>
    <col min="8974" max="9216" width="11.42578125" style="53"/>
    <col min="9217" max="9217" width="8" style="53" customWidth="1"/>
    <col min="9218" max="9218" width="11.140625" style="53" customWidth="1"/>
    <col min="9219" max="9219" width="72.140625" style="53" customWidth="1"/>
    <col min="9220" max="9220" width="7.28515625" style="53" bestFit="1" customWidth="1"/>
    <col min="9221" max="9221" width="8.85546875" style="53" customWidth="1"/>
    <col min="9222" max="9224" width="0" style="53" hidden="1" customWidth="1"/>
    <col min="9225" max="9225" width="15.7109375" style="53" customWidth="1"/>
    <col min="9226" max="9228" width="0" style="53" hidden="1" customWidth="1"/>
    <col min="9229" max="9229" width="17.85546875" style="53" customWidth="1"/>
    <col min="9230" max="9472" width="11.42578125" style="53"/>
    <col min="9473" max="9473" width="8" style="53" customWidth="1"/>
    <col min="9474" max="9474" width="11.140625" style="53" customWidth="1"/>
    <col min="9475" max="9475" width="72.140625" style="53" customWidth="1"/>
    <col min="9476" max="9476" width="7.28515625" style="53" bestFit="1" customWidth="1"/>
    <col min="9477" max="9477" width="8.85546875" style="53" customWidth="1"/>
    <col min="9478" max="9480" width="0" style="53" hidden="1" customWidth="1"/>
    <col min="9481" max="9481" width="15.7109375" style="53" customWidth="1"/>
    <col min="9482" max="9484" width="0" style="53" hidden="1" customWidth="1"/>
    <col min="9485" max="9485" width="17.85546875" style="53" customWidth="1"/>
    <col min="9486" max="9728" width="11.42578125" style="53"/>
    <col min="9729" max="9729" width="8" style="53" customWidth="1"/>
    <col min="9730" max="9730" width="11.140625" style="53" customWidth="1"/>
    <col min="9731" max="9731" width="72.140625" style="53" customWidth="1"/>
    <col min="9732" max="9732" width="7.28515625" style="53" bestFit="1" customWidth="1"/>
    <col min="9733" max="9733" width="8.85546875" style="53" customWidth="1"/>
    <col min="9734" max="9736" width="0" style="53" hidden="1" customWidth="1"/>
    <col min="9737" max="9737" width="15.7109375" style="53" customWidth="1"/>
    <col min="9738" max="9740" width="0" style="53" hidden="1" customWidth="1"/>
    <col min="9741" max="9741" width="17.85546875" style="53" customWidth="1"/>
    <col min="9742" max="9984" width="11.42578125" style="53"/>
    <col min="9985" max="9985" width="8" style="53" customWidth="1"/>
    <col min="9986" max="9986" width="11.140625" style="53" customWidth="1"/>
    <col min="9987" max="9987" width="72.140625" style="53" customWidth="1"/>
    <col min="9988" max="9988" width="7.28515625" style="53" bestFit="1" customWidth="1"/>
    <col min="9989" max="9989" width="8.85546875" style="53" customWidth="1"/>
    <col min="9990" max="9992" width="0" style="53" hidden="1" customWidth="1"/>
    <col min="9993" max="9993" width="15.7109375" style="53" customWidth="1"/>
    <col min="9994" max="9996" width="0" style="53" hidden="1" customWidth="1"/>
    <col min="9997" max="9997" width="17.85546875" style="53" customWidth="1"/>
    <col min="9998" max="10240" width="11.42578125" style="53"/>
    <col min="10241" max="10241" width="8" style="53" customWidth="1"/>
    <col min="10242" max="10242" width="11.140625" style="53" customWidth="1"/>
    <col min="10243" max="10243" width="72.140625" style="53" customWidth="1"/>
    <col min="10244" max="10244" width="7.28515625" style="53" bestFit="1" customWidth="1"/>
    <col min="10245" max="10245" width="8.85546875" style="53" customWidth="1"/>
    <col min="10246" max="10248" width="0" style="53" hidden="1" customWidth="1"/>
    <col min="10249" max="10249" width="15.7109375" style="53" customWidth="1"/>
    <col min="10250" max="10252" width="0" style="53" hidden="1" customWidth="1"/>
    <col min="10253" max="10253" width="17.85546875" style="53" customWidth="1"/>
    <col min="10254" max="10496" width="11.42578125" style="53"/>
    <col min="10497" max="10497" width="8" style="53" customWidth="1"/>
    <col min="10498" max="10498" width="11.140625" style="53" customWidth="1"/>
    <col min="10499" max="10499" width="72.140625" style="53" customWidth="1"/>
    <col min="10500" max="10500" width="7.28515625" style="53" bestFit="1" customWidth="1"/>
    <col min="10501" max="10501" width="8.85546875" style="53" customWidth="1"/>
    <col min="10502" max="10504" width="0" style="53" hidden="1" customWidth="1"/>
    <col min="10505" max="10505" width="15.7109375" style="53" customWidth="1"/>
    <col min="10506" max="10508" width="0" style="53" hidden="1" customWidth="1"/>
    <col min="10509" max="10509" width="17.85546875" style="53" customWidth="1"/>
    <col min="10510" max="10752" width="11.42578125" style="53"/>
    <col min="10753" max="10753" width="8" style="53" customWidth="1"/>
    <col min="10754" max="10754" width="11.140625" style="53" customWidth="1"/>
    <col min="10755" max="10755" width="72.140625" style="53" customWidth="1"/>
    <col min="10756" max="10756" width="7.28515625" style="53" bestFit="1" customWidth="1"/>
    <col min="10757" max="10757" width="8.85546875" style="53" customWidth="1"/>
    <col min="10758" max="10760" width="0" style="53" hidden="1" customWidth="1"/>
    <col min="10761" max="10761" width="15.7109375" style="53" customWidth="1"/>
    <col min="10762" max="10764" width="0" style="53" hidden="1" customWidth="1"/>
    <col min="10765" max="10765" width="17.85546875" style="53" customWidth="1"/>
    <col min="10766" max="11008" width="11.42578125" style="53"/>
    <col min="11009" max="11009" width="8" style="53" customWidth="1"/>
    <col min="11010" max="11010" width="11.140625" style="53" customWidth="1"/>
    <col min="11011" max="11011" width="72.140625" style="53" customWidth="1"/>
    <col min="11012" max="11012" width="7.28515625" style="53" bestFit="1" customWidth="1"/>
    <col min="11013" max="11013" width="8.85546875" style="53" customWidth="1"/>
    <col min="11014" max="11016" width="0" style="53" hidden="1" customWidth="1"/>
    <col min="11017" max="11017" width="15.7109375" style="53" customWidth="1"/>
    <col min="11018" max="11020" width="0" style="53" hidden="1" customWidth="1"/>
    <col min="11021" max="11021" width="17.85546875" style="53" customWidth="1"/>
    <col min="11022" max="11264" width="11.42578125" style="53"/>
    <col min="11265" max="11265" width="8" style="53" customWidth="1"/>
    <col min="11266" max="11266" width="11.140625" style="53" customWidth="1"/>
    <col min="11267" max="11267" width="72.140625" style="53" customWidth="1"/>
    <col min="11268" max="11268" width="7.28515625" style="53" bestFit="1" customWidth="1"/>
    <col min="11269" max="11269" width="8.85546875" style="53" customWidth="1"/>
    <col min="11270" max="11272" width="0" style="53" hidden="1" customWidth="1"/>
    <col min="11273" max="11273" width="15.7109375" style="53" customWidth="1"/>
    <col min="11274" max="11276" width="0" style="53" hidden="1" customWidth="1"/>
    <col min="11277" max="11277" width="17.85546875" style="53" customWidth="1"/>
    <col min="11278" max="11520" width="11.42578125" style="53"/>
    <col min="11521" max="11521" width="8" style="53" customWidth="1"/>
    <col min="11522" max="11522" width="11.140625" style="53" customWidth="1"/>
    <col min="11523" max="11523" width="72.140625" style="53" customWidth="1"/>
    <col min="11524" max="11524" width="7.28515625" style="53" bestFit="1" customWidth="1"/>
    <col min="11525" max="11525" width="8.85546875" style="53" customWidth="1"/>
    <col min="11526" max="11528" width="0" style="53" hidden="1" customWidth="1"/>
    <col min="11529" max="11529" width="15.7109375" style="53" customWidth="1"/>
    <col min="11530" max="11532" width="0" style="53" hidden="1" customWidth="1"/>
    <col min="11533" max="11533" width="17.85546875" style="53" customWidth="1"/>
    <col min="11534" max="11776" width="11.42578125" style="53"/>
    <col min="11777" max="11777" width="8" style="53" customWidth="1"/>
    <col min="11778" max="11778" width="11.140625" style="53" customWidth="1"/>
    <col min="11779" max="11779" width="72.140625" style="53" customWidth="1"/>
    <col min="11780" max="11780" width="7.28515625" style="53" bestFit="1" customWidth="1"/>
    <col min="11781" max="11781" width="8.85546875" style="53" customWidth="1"/>
    <col min="11782" max="11784" width="0" style="53" hidden="1" customWidth="1"/>
    <col min="11785" max="11785" width="15.7109375" style="53" customWidth="1"/>
    <col min="11786" max="11788" width="0" style="53" hidden="1" customWidth="1"/>
    <col min="11789" max="11789" width="17.85546875" style="53" customWidth="1"/>
    <col min="11790" max="12032" width="11.42578125" style="53"/>
    <col min="12033" max="12033" width="8" style="53" customWidth="1"/>
    <col min="12034" max="12034" width="11.140625" style="53" customWidth="1"/>
    <col min="12035" max="12035" width="72.140625" style="53" customWidth="1"/>
    <col min="12036" max="12036" width="7.28515625" style="53" bestFit="1" customWidth="1"/>
    <col min="12037" max="12037" width="8.85546875" style="53" customWidth="1"/>
    <col min="12038" max="12040" width="0" style="53" hidden="1" customWidth="1"/>
    <col min="12041" max="12041" width="15.7109375" style="53" customWidth="1"/>
    <col min="12042" max="12044" width="0" style="53" hidden="1" customWidth="1"/>
    <col min="12045" max="12045" width="17.85546875" style="53" customWidth="1"/>
    <col min="12046" max="12288" width="11.42578125" style="53"/>
    <col min="12289" max="12289" width="8" style="53" customWidth="1"/>
    <col min="12290" max="12290" width="11.140625" style="53" customWidth="1"/>
    <col min="12291" max="12291" width="72.140625" style="53" customWidth="1"/>
    <col min="12292" max="12292" width="7.28515625" style="53" bestFit="1" customWidth="1"/>
    <col min="12293" max="12293" width="8.85546875" style="53" customWidth="1"/>
    <col min="12294" max="12296" width="0" style="53" hidden="1" customWidth="1"/>
    <col min="12297" max="12297" width="15.7109375" style="53" customWidth="1"/>
    <col min="12298" max="12300" width="0" style="53" hidden="1" customWidth="1"/>
    <col min="12301" max="12301" width="17.85546875" style="53" customWidth="1"/>
    <col min="12302" max="12544" width="11.42578125" style="53"/>
    <col min="12545" max="12545" width="8" style="53" customWidth="1"/>
    <col min="12546" max="12546" width="11.140625" style="53" customWidth="1"/>
    <col min="12547" max="12547" width="72.140625" style="53" customWidth="1"/>
    <col min="12548" max="12548" width="7.28515625" style="53" bestFit="1" customWidth="1"/>
    <col min="12549" max="12549" width="8.85546875" style="53" customWidth="1"/>
    <col min="12550" max="12552" width="0" style="53" hidden="1" customWidth="1"/>
    <col min="12553" max="12553" width="15.7109375" style="53" customWidth="1"/>
    <col min="12554" max="12556" width="0" style="53" hidden="1" customWidth="1"/>
    <col min="12557" max="12557" width="17.85546875" style="53" customWidth="1"/>
    <col min="12558" max="12800" width="11.42578125" style="53"/>
    <col min="12801" max="12801" width="8" style="53" customWidth="1"/>
    <col min="12802" max="12802" width="11.140625" style="53" customWidth="1"/>
    <col min="12803" max="12803" width="72.140625" style="53" customWidth="1"/>
    <col min="12804" max="12804" width="7.28515625" style="53" bestFit="1" customWidth="1"/>
    <col min="12805" max="12805" width="8.85546875" style="53" customWidth="1"/>
    <col min="12806" max="12808" width="0" style="53" hidden="1" customWidth="1"/>
    <col min="12809" max="12809" width="15.7109375" style="53" customWidth="1"/>
    <col min="12810" max="12812" width="0" style="53" hidden="1" customWidth="1"/>
    <col min="12813" max="12813" width="17.85546875" style="53" customWidth="1"/>
    <col min="12814" max="13056" width="11.42578125" style="53"/>
    <col min="13057" max="13057" width="8" style="53" customWidth="1"/>
    <col min="13058" max="13058" width="11.140625" style="53" customWidth="1"/>
    <col min="13059" max="13059" width="72.140625" style="53" customWidth="1"/>
    <col min="13060" max="13060" width="7.28515625" style="53" bestFit="1" customWidth="1"/>
    <col min="13061" max="13061" width="8.85546875" style="53" customWidth="1"/>
    <col min="13062" max="13064" width="0" style="53" hidden="1" customWidth="1"/>
    <col min="13065" max="13065" width="15.7109375" style="53" customWidth="1"/>
    <col min="13066" max="13068" width="0" style="53" hidden="1" customWidth="1"/>
    <col min="13069" max="13069" width="17.85546875" style="53" customWidth="1"/>
    <col min="13070" max="13312" width="11.42578125" style="53"/>
    <col min="13313" max="13313" width="8" style="53" customWidth="1"/>
    <col min="13314" max="13314" width="11.140625" style="53" customWidth="1"/>
    <col min="13315" max="13315" width="72.140625" style="53" customWidth="1"/>
    <col min="13316" max="13316" width="7.28515625" style="53" bestFit="1" customWidth="1"/>
    <col min="13317" max="13317" width="8.85546875" style="53" customWidth="1"/>
    <col min="13318" max="13320" width="0" style="53" hidden="1" customWidth="1"/>
    <col min="13321" max="13321" width="15.7109375" style="53" customWidth="1"/>
    <col min="13322" max="13324" width="0" style="53" hidden="1" customWidth="1"/>
    <col min="13325" max="13325" width="17.85546875" style="53" customWidth="1"/>
    <col min="13326" max="13568" width="11.42578125" style="53"/>
    <col min="13569" max="13569" width="8" style="53" customWidth="1"/>
    <col min="13570" max="13570" width="11.140625" style="53" customWidth="1"/>
    <col min="13571" max="13571" width="72.140625" style="53" customWidth="1"/>
    <col min="13572" max="13572" width="7.28515625" style="53" bestFit="1" customWidth="1"/>
    <col min="13573" max="13573" width="8.85546875" style="53" customWidth="1"/>
    <col min="13574" max="13576" width="0" style="53" hidden="1" customWidth="1"/>
    <col min="13577" max="13577" width="15.7109375" style="53" customWidth="1"/>
    <col min="13578" max="13580" width="0" style="53" hidden="1" customWidth="1"/>
    <col min="13581" max="13581" width="17.85546875" style="53" customWidth="1"/>
    <col min="13582" max="13824" width="11.42578125" style="53"/>
    <col min="13825" max="13825" width="8" style="53" customWidth="1"/>
    <col min="13826" max="13826" width="11.140625" style="53" customWidth="1"/>
    <col min="13827" max="13827" width="72.140625" style="53" customWidth="1"/>
    <col min="13828" max="13828" width="7.28515625" style="53" bestFit="1" customWidth="1"/>
    <col min="13829" max="13829" width="8.85546875" style="53" customWidth="1"/>
    <col min="13830" max="13832" width="0" style="53" hidden="1" customWidth="1"/>
    <col min="13833" max="13833" width="15.7109375" style="53" customWidth="1"/>
    <col min="13834" max="13836" width="0" style="53" hidden="1" customWidth="1"/>
    <col min="13837" max="13837" width="17.85546875" style="53" customWidth="1"/>
    <col min="13838" max="14080" width="11.42578125" style="53"/>
    <col min="14081" max="14081" width="8" style="53" customWidth="1"/>
    <col min="14082" max="14082" width="11.140625" style="53" customWidth="1"/>
    <col min="14083" max="14083" width="72.140625" style="53" customWidth="1"/>
    <col min="14084" max="14084" width="7.28515625" style="53" bestFit="1" customWidth="1"/>
    <col min="14085" max="14085" width="8.85546875" style="53" customWidth="1"/>
    <col min="14086" max="14088" width="0" style="53" hidden="1" customWidth="1"/>
    <col min="14089" max="14089" width="15.7109375" style="53" customWidth="1"/>
    <col min="14090" max="14092" width="0" style="53" hidden="1" customWidth="1"/>
    <col min="14093" max="14093" width="17.85546875" style="53" customWidth="1"/>
    <col min="14094" max="14336" width="11.42578125" style="53"/>
    <col min="14337" max="14337" width="8" style="53" customWidth="1"/>
    <col min="14338" max="14338" width="11.140625" style="53" customWidth="1"/>
    <col min="14339" max="14339" width="72.140625" style="53" customWidth="1"/>
    <col min="14340" max="14340" width="7.28515625" style="53" bestFit="1" customWidth="1"/>
    <col min="14341" max="14341" width="8.85546875" style="53" customWidth="1"/>
    <col min="14342" max="14344" width="0" style="53" hidden="1" customWidth="1"/>
    <col min="14345" max="14345" width="15.7109375" style="53" customWidth="1"/>
    <col min="14346" max="14348" width="0" style="53" hidden="1" customWidth="1"/>
    <col min="14349" max="14349" width="17.85546875" style="53" customWidth="1"/>
    <col min="14350" max="14592" width="11.42578125" style="53"/>
    <col min="14593" max="14593" width="8" style="53" customWidth="1"/>
    <col min="14594" max="14594" width="11.140625" style="53" customWidth="1"/>
    <col min="14595" max="14595" width="72.140625" style="53" customWidth="1"/>
    <col min="14596" max="14596" width="7.28515625" style="53" bestFit="1" customWidth="1"/>
    <col min="14597" max="14597" width="8.85546875" style="53" customWidth="1"/>
    <col min="14598" max="14600" width="0" style="53" hidden="1" customWidth="1"/>
    <col min="14601" max="14601" width="15.7109375" style="53" customWidth="1"/>
    <col min="14602" max="14604" width="0" style="53" hidden="1" customWidth="1"/>
    <col min="14605" max="14605" width="17.85546875" style="53" customWidth="1"/>
    <col min="14606" max="14848" width="11.42578125" style="53"/>
    <col min="14849" max="14849" width="8" style="53" customWidth="1"/>
    <col min="14850" max="14850" width="11.140625" style="53" customWidth="1"/>
    <col min="14851" max="14851" width="72.140625" style="53" customWidth="1"/>
    <col min="14852" max="14852" width="7.28515625" style="53" bestFit="1" customWidth="1"/>
    <col min="14853" max="14853" width="8.85546875" style="53" customWidth="1"/>
    <col min="14854" max="14856" width="0" style="53" hidden="1" customWidth="1"/>
    <col min="14857" max="14857" width="15.7109375" style="53" customWidth="1"/>
    <col min="14858" max="14860" width="0" style="53" hidden="1" customWidth="1"/>
    <col min="14861" max="14861" width="17.85546875" style="53" customWidth="1"/>
    <col min="14862" max="15104" width="11.42578125" style="53"/>
    <col min="15105" max="15105" width="8" style="53" customWidth="1"/>
    <col min="15106" max="15106" width="11.140625" style="53" customWidth="1"/>
    <col min="15107" max="15107" width="72.140625" style="53" customWidth="1"/>
    <col min="15108" max="15108" width="7.28515625" style="53" bestFit="1" customWidth="1"/>
    <col min="15109" max="15109" width="8.85546875" style="53" customWidth="1"/>
    <col min="15110" max="15112" width="0" style="53" hidden="1" customWidth="1"/>
    <col min="15113" max="15113" width="15.7109375" style="53" customWidth="1"/>
    <col min="15114" max="15116" width="0" style="53" hidden="1" customWidth="1"/>
    <col min="15117" max="15117" width="17.85546875" style="53" customWidth="1"/>
    <col min="15118" max="15360" width="11.42578125" style="53"/>
    <col min="15361" max="15361" width="8" style="53" customWidth="1"/>
    <col min="15362" max="15362" width="11.140625" style="53" customWidth="1"/>
    <col min="15363" max="15363" width="72.140625" style="53" customWidth="1"/>
    <col min="15364" max="15364" width="7.28515625" style="53" bestFit="1" customWidth="1"/>
    <col min="15365" max="15365" width="8.85546875" style="53" customWidth="1"/>
    <col min="15366" max="15368" width="0" style="53" hidden="1" customWidth="1"/>
    <col min="15369" max="15369" width="15.7109375" style="53" customWidth="1"/>
    <col min="15370" max="15372" width="0" style="53" hidden="1" customWidth="1"/>
    <col min="15373" max="15373" width="17.85546875" style="53" customWidth="1"/>
    <col min="15374" max="15616" width="11.42578125" style="53"/>
    <col min="15617" max="15617" width="8" style="53" customWidth="1"/>
    <col min="15618" max="15618" width="11.140625" style="53" customWidth="1"/>
    <col min="15619" max="15619" width="72.140625" style="53" customWidth="1"/>
    <col min="15620" max="15620" width="7.28515625" style="53" bestFit="1" customWidth="1"/>
    <col min="15621" max="15621" width="8.85546875" style="53" customWidth="1"/>
    <col min="15622" max="15624" width="0" style="53" hidden="1" customWidth="1"/>
    <col min="15625" max="15625" width="15.7109375" style="53" customWidth="1"/>
    <col min="15626" max="15628" width="0" style="53" hidden="1" customWidth="1"/>
    <col min="15629" max="15629" width="17.85546875" style="53" customWidth="1"/>
    <col min="15630" max="15872" width="11.42578125" style="53"/>
    <col min="15873" max="15873" width="8" style="53" customWidth="1"/>
    <col min="15874" max="15874" width="11.140625" style="53" customWidth="1"/>
    <col min="15875" max="15875" width="72.140625" style="53" customWidth="1"/>
    <col min="15876" max="15876" width="7.28515625" style="53" bestFit="1" customWidth="1"/>
    <col min="15877" max="15877" width="8.85546875" style="53" customWidth="1"/>
    <col min="15878" max="15880" width="0" style="53" hidden="1" customWidth="1"/>
    <col min="15881" max="15881" width="15.7109375" style="53" customWidth="1"/>
    <col min="15882" max="15884" width="0" style="53" hidden="1" customWidth="1"/>
    <col min="15885" max="15885" width="17.85546875" style="53" customWidth="1"/>
    <col min="15886" max="16128" width="11.42578125" style="53"/>
    <col min="16129" max="16129" width="8" style="53" customWidth="1"/>
    <col min="16130" max="16130" width="11.140625" style="53" customWidth="1"/>
    <col min="16131" max="16131" width="72.140625" style="53" customWidth="1"/>
    <col min="16132" max="16132" width="7.28515625" style="53" bestFit="1" customWidth="1"/>
    <col min="16133" max="16133" width="8.85546875" style="53" customWidth="1"/>
    <col min="16134" max="16136" width="0" style="53" hidden="1" customWidth="1"/>
    <col min="16137" max="16137" width="15.7109375" style="53" customWidth="1"/>
    <col min="16138" max="16140" width="0" style="53" hidden="1" customWidth="1"/>
    <col min="16141" max="16141" width="17.85546875" style="53" customWidth="1"/>
    <col min="16142" max="16384" width="11.42578125" style="53"/>
  </cols>
  <sheetData>
    <row r="1" spans="1:22" s="51" customFormat="1" ht="15" customHeight="1">
      <c r="A1" s="216"/>
      <c r="B1" s="50"/>
      <c r="C1" s="241"/>
      <c r="D1" s="241"/>
      <c r="E1" s="241"/>
      <c r="F1" s="241"/>
      <c r="G1" s="241"/>
      <c r="H1" s="241"/>
      <c r="N1" s="6">
        <f ca="1">RANDBETWEEN(2000000,999999999)</f>
        <v>845473238</v>
      </c>
      <c r="O1" s="92" t="str">
        <f ca="1">DEC2HEX(N1)</f>
        <v>3264E5D6</v>
      </c>
      <c r="P1" s="93" t="s">
        <v>482</v>
      </c>
      <c r="Q1" s="93" t="str">
        <f ca="1">_xlfn.CONCAT(O1,P1)</f>
        <v>3264E5D6-</v>
      </c>
      <c r="R1" s="94"/>
      <c r="S1" s="94"/>
      <c r="T1" s="94"/>
      <c r="U1" s="94"/>
      <c r="V1" s="94"/>
    </row>
    <row r="2" spans="1:22" s="51" customFormat="1" ht="15" customHeight="1">
      <c r="A2" s="216"/>
      <c r="B2" s="50"/>
      <c r="C2" s="241"/>
      <c r="D2" s="241"/>
      <c r="E2" s="241"/>
      <c r="F2" s="241"/>
      <c r="G2" s="241"/>
      <c r="H2" s="241"/>
      <c r="N2" s="6">
        <v>7</v>
      </c>
      <c r="O2" s="93"/>
      <c r="P2" s="93"/>
      <c r="Q2" s="93"/>
      <c r="R2" s="94"/>
      <c r="S2" s="94"/>
      <c r="T2" s="94"/>
      <c r="U2" s="94"/>
      <c r="V2" s="94"/>
    </row>
    <row r="3" spans="1:22" s="51" customFormat="1" ht="15" customHeight="1">
      <c r="A3" s="216"/>
      <c r="B3" s="52"/>
      <c r="C3" s="241"/>
      <c r="D3" s="241"/>
      <c r="E3" s="241"/>
      <c r="F3" s="241"/>
      <c r="G3" s="241"/>
      <c r="H3" s="241"/>
      <c r="N3" s="6">
        <f ca="1">RANDBETWEEN(1210000,9999999)</f>
        <v>3802779</v>
      </c>
      <c r="O3" s="93"/>
      <c r="P3" s="93"/>
      <c r="Q3" s="93"/>
      <c r="R3" s="94"/>
      <c r="S3" s="94"/>
      <c r="T3" s="94"/>
      <c r="U3" s="94"/>
      <c r="V3" s="94"/>
    </row>
    <row r="4" spans="1:22" ht="14.25" thickBot="1">
      <c r="E4" s="200"/>
    </row>
    <row r="5" spans="1:22" ht="7.15" customHeight="1">
      <c r="B5" s="55"/>
      <c r="C5" s="55"/>
      <c r="D5" s="56"/>
      <c r="E5" s="201"/>
      <c r="F5" s="57"/>
      <c r="G5" s="58"/>
      <c r="H5" s="58"/>
      <c r="I5" s="58"/>
      <c r="J5" s="59"/>
      <c r="K5" s="59"/>
      <c r="L5" s="59"/>
      <c r="M5" s="55"/>
    </row>
    <row r="6" spans="1:22">
      <c r="A6" s="219" t="s">
        <v>396</v>
      </c>
      <c r="B6" s="60" t="s">
        <v>397</v>
      </c>
      <c r="C6" s="60" t="s">
        <v>398</v>
      </c>
      <c r="D6" s="61" t="s">
        <v>399</v>
      </c>
      <c r="E6" s="202" t="s">
        <v>400</v>
      </c>
      <c r="F6" s="62" t="s">
        <v>401</v>
      </c>
      <c r="G6" s="60" t="s">
        <v>402</v>
      </c>
      <c r="H6" s="60" t="s">
        <v>403</v>
      </c>
      <c r="I6" s="60" t="s">
        <v>404</v>
      </c>
      <c r="J6" s="60" t="s">
        <v>401</v>
      </c>
      <c r="K6" s="60" t="s">
        <v>402</v>
      </c>
      <c r="L6" s="60" t="s">
        <v>403</v>
      </c>
      <c r="M6" s="60" t="s">
        <v>405</v>
      </c>
      <c r="N6" s="95" t="s">
        <v>407</v>
      </c>
      <c r="O6" s="95" t="s">
        <v>534</v>
      </c>
      <c r="P6" s="95" t="s">
        <v>535</v>
      </c>
      <c r="Q6" s="95" t="s">
        <v>536</v>
      </c>
    </row>
    <row r="7" spans="1:22" ht="8.4499999999999993" customHeight="1" thickBot="1">
      <c r="B7" s="63"/>
      <c r="C7" s="63"/>
      <c r="D7" s="64"/>
      <c r="E7" s="203"/>
      <c r="F7" s="65"/>
      <c r="G7" s="63"/>
      <c r="H7" s="66"/>
      <c r="I7" s="66"/>
      <c r="J7" s="63"/>
      <c r="K7" s="63"/>
      <c r="L7" s="66"/>
      <c r="M7" s="63"/>
    </row>
    <row r="8" spans="1:22" ht="13.5" customHeight="1">
      <c r="B8" s="67"/>
      <c r="C8" s="68"/>
      <c r="D8" s="69"/>
      <c r="E8" s="204"/>
      <c r="F8" s="70"/>
      <c r="G8" s="70"/>
      <c r="H8" s="71"/>
      <c r="I8" s="72"/>
      <c r="J8" s="70"/>
      <c r="K8" s="70"/>
      <c r="L8" s="71"/>
      <c r="M8" s="73"/>
    </row>
    <row r="9" spans="1:22" ht="13.5" customHeight="1">
      <c r="B9" s="96"/>
      <c r="C9" s="97" t="s">
        <v>408</v>
      </c>
      <c r="D9" s="84"/>
      <c r="E9" s="205"/>
      <c r="F9" s="75"/>
      <c r="G9" s="75"/>
      <c r="H9" s="76"/>
      <c r="I9" s="77"/>
      <c r="J9" s="75"/>
      <c r="K9" s="75"/>
      <c r="L9" s="76"/>
      <c r="M9" s="78"/>
    </row>
    <row r="10" spans="1:22">
      <c r="A10" s="220">
        <v>1</v>
      </c>
      <c r="B10" s="96" t="s">
        <v>483</v>
      </c>
      <c r="C10" s="83" t="s">
        <v>409</v>
      </c>
      <c r="D10" s="74" t="s">
        <v>9</v>
      </c>
      <c r="E10" s="206">
        <v>0</v>
      </c>
      <c r="F10" s="99">
        <f>_xlfn.XLOOKUP(O10,APU!$B$2:$B$10000,APU!$G$2:$G$10000,,0,1)</f>
        <v>9490</v>
      </c>
      <c r="G10" s="99">
        <f>_xlfn.XLOOKUP(P10,APU!$B$2:$B$10000,APU!$G$2:$G$10000,,0,1)</f>
        <v>1025.3529599999999</v>
      </c>
      <c r="H10" s="99">
        <f>_xlfn.XLOOKUP(Q10,APU!$B$2:$B$10000,APU!$G$2:$G$10000,,0,1)</f>
        <v>28431.38408598979</v>
      </c>
      <c r="I10" s="81">
        <f t="shared" ref="I10:I18" si="0">+(F10+G10+H10)</f>
        <v>38946.737045989794</v>
      </c>
      <c r="J10" s="80">
        <f t="shared" ref="J10:J18" si="1">+E10*F10</f>
        <v>0</v>
      </c>
      <c r="K10" s="80">
        <f t="shared" ref="K10:K18" si="2">+G10*E10</f>
        <v>0</v>
      </c>
      <c r="L10" s="80">
        <f t="shared" ref="L10:L18" si="3">+H10*E10</f>
        <v>0</v>
      </c>
      <c r="M10" s="82">
        <f t="shared" ref="M10:M18" si="4">SUM(J10:L10)</f>
        <v>0</v>
      </c>
      <c r="N10" s="98">
        <v>8411111</v>
      </c>
      <c r="O10" s="94" t="str">
        <f>_xlfn.CONCAT(B10,"V")</f>
        <v>B399EA4-V</v>
      </c>
      <c r="P10" s="94" t="str">
        <f>_xlfn.CONCAT(B10,"ae")</f>
        <v>B399EA4-ae</v>
      </c>
      <c r="Q10" s="94" t="str">
        <f>_xlfn.CONCAT(B10,"ak")</f>
        <v>B399EA4-ak</v>
      </c>
    </row>
    <row r="11" spans="1:22">
      <c r="A11" s="220">
        <f>1+A10</f>
        <v>2</v>
      </c>
      <c r="B11" s="96" t="s">
        <v>539</v>
      </c>
      <c r="C11" s="83" t="s">
        <v>538</v>
      </c>
      <c r="D11" s="74" t="s">
        <v>7</v>
      </c>
      <c r="E11" s="206">
        <v>2</v>
      </c>
      <c r="F11" s="99">
        <f ca="1">_xlfn.XLOOKUP(O11,APU!$B$2:$B$10000,APU!$G$2:$G$10000,,0,1)</f>
        <v>5840</v>
      </c>
      <c r="G11" s="99">
        <f ca="1">_xlfn.XLOOKUP(P11,APU!$B$2:$B$10000,APU!$G$2:$G$10000,,0,1)</f>
        <v>1025.3529599999999</v>
      </c>
      <c r="H11" s="99">
        <f ca="1">_xlfn.XLOOKUP(Q11,APU!$B$2:$B$10000,APU!$G$2:$G$10000,,0,1)</f>
        <v>40580.685139112509</v>
      </c>
      <c r="I11" s="81">
        <f t="shared" ca="1" si="0"/>
        <v>47446.038099112513</v>
      </c>
      <c r="J11" s="80">
        <f t="shared" ca="1" si="1"/>
        <v>11680</v>
      </c>
      <c r="K11" s="80">
        <f t="shared" ca="1" si="2"/>
        <v>2050.7059199999999</v>
      </c>
      <c r="L11" s="80">
        <f t="shared" ca="1" si="3"/>
        <v>81161.370278225018</v>
      </c>
      <c r="M11" s="82">
        <f t="shared" ca="1" si="4"/>
        <v>94892.076198225026</v>
      </c>
      <c r="N11" s="98">
        <v>7791605</v>
      </c>
      <c r="O11" s="94" t="str">
        <f>_xlfn.CONCAT(B11,"V")</f>
        <v>2D39E71-V</v>
      </c>
      <c r="P11" s="94" t="str">
        <f>_xlfn.CONCAT(B11,"ae")</f>
        <v>2D39E71-ae</v>
      </c>
      <c r="Q11" s="94" t="str">
        <f>_xlfn.CONCAT(B11,"ak")</f>
        <v>2D39E71-ak</v>
      </c>
    </row>
    <row r="12" spans="1:22">
      <c r="A12" s="220">
        <f>1+A11</f>
        <v>3</v>
      </c>
      <c r="B12" s="96" t="s">
        <v>540</v>
      </c>
      <c r="C12" s="83" t="s">
        <v>537</v>
      </c>
      <c r="D12" s="74" t="s">
        <v>7</v>
      </c>
      <c r="E12" s="206">
        <v>7</v>
      </c>
      <c r="F12" s="99">
        <f ca="1">_xlfn.XLOOKUP(O12,APU!$B$2:$B$10000,APU!$G$2:$G$10000,,0,1)</f>
        <v>1460</v>
      </c>
      <c r="G12" s="99">
        <f ca="1">_xlfn.XLOOKUP(P12,APU!$B$2:$B$10000,APU!$G$2:$G$10000,,0,1)</f>
        <v>1025.3529599999999</v>
      </c>
      <c r="H12" s="99">
        <f ca="1">_xlfn.XLOOKUP(Q12,APU!$B$2:$B$10000,APU!$G$2:$G$10000,,0,1)</f>
        <v>15324.875894488687</v>
      </c>
      <c r="I12" s="81">
        <f t="shared" ca="1" si="0"/>
        <v>17810.228854488687</v>
      </c>
      <c r="J12" s="80">
        <f t="shared" ca="1" si="1"/>
        <v>10220</v>
      </c>
      <c r="K12" s="80">
        <f t="shared" ca="1" si="2"/>
        <v>7177.4707199999993</v>
      </c>
      <c r="L12" s="80">
        <f t="shared" ca="1" si="3"/>
        <v>107274.13126142081</v>
      </c>
      <c r="M12" s="82">
        <f t="shared" ca="1" si="4"/>
        <v>124671.60198142081</v>
      </c>
      <c r="N12" s="98">
        <v>4697088</v>
      </c>
      <c r="O12" s="94" t="str">
        <f>_xlfn.CONCAT(B12,"V")</f>
        <v>E47DA25-V</v>
      </c>
      <c r="P12" s="94" t="str">
        <f>_xlfn.CONCAT(B12,"ae")</f>
        <v>E47DA25-ae</v>
      </c>
      <c r="Q12" s="94" t="str">
        <f>_xlfn.CONCAT(B12,"ak")</f>
        <v>E47DA25-ak</v>
      </c>
    </row>
    <row r="13" spans="1:22">
      <c r="A13" s="220">
        <f t="shared" ref="A13:A76" si="5">1+A12</f>
        <v>4</v>
      </c>
      <c r="B13" s="96" t="s">
        <v>1261</v>
      </c>
      <c r="C13" s="83" t="s">
        <v>1260</v>
      </c>
      <c r="D13" s="74" t="s">
        <v>7</v>
      </c>
      <c r="E13" s="206">
        <v>10</v>
      </c>
      <c r="F13" s="99">
        <f ca="1">_xlfn.XLOOKUP(O13,APU!$B$2:$B$10000,APU!$G$2:$G$10000,,0,1)</f>
        <v>21900</v>
      </c>
      <c r="G13" s="99">
        <f ca="1">_xlfn.XLOOKUP(P13,APU!$B$2:$B$10000,APU!$G$2:$G$10000,,0,1)</f>
        <v>23179.831249999996</v>
      </c>
      <c r="H13" s="99">
        <f ca="1">_xlfn.XLOOKUP(Q13,APU!$B$2:$B$10000,APU!$G$2:$G$10000,,0,1)</f>
        <v>317589.35640471161</v>
      </c>
      <c r="I13" s="81">
        <f t="shared" ca="1" si="0"/>
        <v>362669.1876547116</v>
      </c>
      <c r="J13" s="80">
        <f t="shared" ca="1" si="1"/>
        <v>219000</v>
      </c>
      <c r="K13" s="80">
        <f t="shared" ca="1" si="2"/>
        <v>231798.31249999994</v>
      </c>
      <c r="L13" s="80">
        <f t="shared" ca="1" si="3"/>
        <v>3175893.5640471159</v>
      </c>
      <c r="M13" s="82">
        <f t="shared" ca="1" si="4"/>
        <v>3626691.8765471159</v>
      </c>
      <c r="N13" s="98">
        <v>3393950</v>
      </c>
      <c r="O13" s="94" t="str">
        <f t="shared" ref="O13:O20" si="6">_xlfn.CONCAT(B13,"V")</f>
        <v>3B73F99E-V</v>
      </c>
      <c r="P13" s="94" t="str">
        <f t="shared" ref="P13:P20" si="7">_xlfn.CONCAT(B13,"ae")</f>
        <v>3B73F99E-ae</v>
      </c>
      <c r="Q13" s="94" t="str">
        <f t="shared" ref="Q13:Q20" si="8">_xlfn.CONCAT(B13,"ak")</f>
        <v>3B73F99E-ak</v>
      </c>
    </row>
    <row r="14" spans="1:22">
      <c r="A14" s="220">
        <f t="shared" si="5"/>
        <v>5</v>
      </c>
      <c r="B14" s="96" t="s">
        <v>1263</v>
      </c>
      <c r="C14" s="83" t="s">
        <v>1262</v>
      </c>
      <c r="D14" s="74" t="s">
        <v>162</v>
      </c>
      <c r="E14" s="206">
        <v>1</v>
      </c>
      <c r="F14" s="99">
        <f ca="1">_xlfn.XLOOKUP(O14,APU!$B$2:$B$10000,APU!$G$2:$G$10000,,0,1)</f>
        <v>219000</v>
      </c>
      <c r="G14" s="99">
        <f ca="1">_xlfn.XLOOKUP(P14,APU!$B$2:$B$10000,APU!$G$2:$G$10000,,0,1)</f>
        <v>231798.31249999997</v>
      </c>
      <c r="H14" s="99">
        <f ca="1">_xlfn.XLOOKUP(Q14,APU!$B$2:$B$10000,APU!$G$2:$G$10000,,0,1)</f>
        <v>3175893.5640471163</v>
      </c>
      <c r="I14" s="81">
        <f t="shared" ca="1" si="0"/>
        <v>3626691.8765471163</v>
      </c>
      <c r="J14" s="80">
        <f t="shared" ca="1" si="1"/>
        <v>219000</v>
      </c>
      <c r="K14" s="80">
        <f t="shared" ca="1" si="2"/>
        <v>231798.31249999997</v>
      </c>
      <c r="L14" s="80">
        <f t="shared" ca="1" si="3"/>
        <v>3175893.5640471163</v>
      </c>
      <c r="M14" s="82">
        <f t="shared" ca="1" si="4"/>
        <v>3626691.8765471163</v>
      </c>
      <c r="N14" s="1">
        <v>3607271</v>
      </c>
      <c r="O14" s="94" t="str">
        <f t="shared" si="6"/>
        <v>3B73F99E+10-V</v>
      </c>
      <c r="P14" s="94" t="str">
        <f t="shared" si="7"/>
        <v>3B73F99E+10-ae</v>
      </c>
      <c r="Q14" s="94" t="str">
        <f t="shared" si="8"/>
        <v>3B73F99E+10-ak</v>
      </c>
    </row>
    <row r="15" spans="1:22">
      <c r="A15" s="220">
        <f t="shared" si="5"/>
        <v>6</v>
      </c>
      <c r="B15" s="96" t="s">
        <v>542</v>
      </c>
      <c r="C15" s="83" t="s">
        <v>541</v>
      </c>
      <c r="D15" s="74" t="s">
        <v>7</v>
      </c>
      <c r="E15" s="206">
        <v>12</v>
      </c>
      <c r="F15" s="99">
        <f ca="1">_xlfn.XLOOKUP(O15,APU!$B$2:$B$10000,APU!$G$2:$G$10000,,0,1)</f>
        <v>876</v>
      </c>
      <c r="G15" s="99">
        <f ca="1">_xlfn.XLOOKUP(P15,APU!$B$2:$B$10000,APU!$G$2:$G$10000,,0,1)</f>
        <v>819.67742249999992</v>
      </c>
      <c r="H15" s="99">
        <f ca="1">_xlfn.XLOOKUP(Q15,APU!$B$2:$B$10000,APU!$G$2:$G$10000,,0,1)</f>
        <v>10359.409219421115</v>
      </c>
      <c r="I15" s="81">
        <f t="shared" ca="1" si="0"/>
        <v>12055.086641921116</v>
      </c>
      <c r="J15" s="80">
        <f t="shared" ca="1" si="1"/>
        <v>10512</v>
      </c>
      <c r="K15" s="80">
        <f t="shared" ca="1" si="2"/>
        <v>9836.129069999999</v>
      </c>
      <c r="L15" s="80">
        <f t="shared" ca="1" si="3"/>
        <v>124312.91063305338</v>
      </c>
      <c r="M15" s="82">
        <f t="shared" ca="1" si="4"/>
        <v>144661.03970305339</v>
      </c>
      <c r="N15" s="1">
        <v>6180983</v>
      </c>
      <c r="O15" s="94" t="str">
        <f t="shared" si="6"/>
        <v>1AADBAF6-V</v>
      </c>
      <c r="P15" s="94" t="str">
        <f t="shared" si="7"/>
        <v>1AADBAF6-ae</v>
      </c>
      <c r="Q15" s="94" t="str">
        <f t="shared" si="8"/>
        <v>1AADBAF6-ak</v>
      </c>
    </row>
    <row r="16" spans="1:22">
      <c r="A16" s="220">
        <f t="shared" si="5"/>
        <v>7</v>
      </c>
      <c r="B16" s="96" t="s">
        <v>544</v>
      </c>
      <c r="C16" s="83" t="s">
        <v>543</v>
      </c>
      <c r="D16" s="74" t="s">
        <v>9</v>
      </c>
      <c r="E16" s="206">
        <v>1</v>
      </c>
      <c r="F16" s="99">
        <f ca="1">_xlfn.XLOOKUP(O16,APU!$B$2:$B$10000,APU!$G$2:$G$10000,,0,1)</f>
        <v>1898</v>
      </c>
      <c r="G16" s="99">
        <f ca="1">_xlfn.XLOOKUP(P16,APU!$B$2:$B$10000,APU!$G$2:$G$10000,,0,1)</f>
        <v>815.04639999999984</v>
      </c>
      <c r="H16" s="99">
        <f ca="1">_xlfn.XLOOKUP(Q16,APU!$B$2:$B$10000,APU!$G$2:$G$10000,,0,1)</f>
        <v>27221.94483468957</v>
      </c>
      <c r="I16" s="81">
        <f t="shared" ca="1" si="0"/>
        <v>29934.991234689569</v>
      </c>
      <c r="J16" s="80">
        <f t="shared" ca="1" si="1"/>
        <v>1898</v>
      </c>
      <c r="K16" s="80">
        <f t="shared" ca="1" si="2"/>
        <v>815.04639999999984</v>
      </c>
      <c r="L16" s="80">
        <f t="shared" ca="1" si="3"/>
        <v>27221.94483468957</v>
      </c>
      <c r="M16" s="82">
        <f t="shared" ca="1" si="4"/>
        <v>29934.991234689569</v>
      </c>
      <c r="N16" s="1">
        <v>9625690</v>
      </c>
      <c r="O16" s="94" t="str">
        <f t="shared" si="6"/>
        <v>AE6EC23-V</v>
      </c>
      <c r="P16" s="94" t="str">
        <f t="shared" si="7"/>
        <v>AE6EC23-ae</v>
      </c>
      <c r="Q16" s="94" t="str">
        <f t="shared" si="8"/>
        <v>AE6EC23-ak</v>
      </c>
    </row>
    <row r="17" spans="1:17">
      <c r="A17" s="220">
        <f t="shared" si="5"/>
        <v>8</v>
      </c>
      <c r="B17" s="96" t="s">
        <v>546</v>
      </c>
      <c r="C17" s="83" t="s">
        <v>545</v>
      </c>
      <c r="D17" s="74" t="s">
        <v>9</v>
      </c>
      <c r="E17" s="206">
        <v>0</v>
      </c>
      <c r="F17" s="99">
        <f ca="1">_xlfn.XLOOKUP(O17,APU!$B$2:$B$10000,APU!$G$2:$G$10000,,0,1)</f>
        <v>8030.0000000000009</v>
      </c>
      <c r="G17" s="99">
        <f ca="1">_xlfn.XLOOKUP(P17,APU!$B$2:$B$10000,APU!$G$2:$G$10000,,0,1)</f>
        <v>1097.0039999999999</v>
      </c>
      <c r="H17" s="99">
        <f ca="1">_xlfn.XLOOKUP(Q17,APU!$B$2:$B$10000,APU!$G$2:$G$10000,,0,1)</f>
        <v>71683.179840624594</v>
      </c>
      <c r="I17" s="81">
        <f t="shared" ca="1" si="0"/>
        <v>80810.183840624595</v>
      </c>
      <c r="J17" s="80">
        <f t="shared" ca="1" si="1"/>
        <v>0</v>
      </c>
      <c r="K17" s="80">
        <f t="shared" ca="1" si="2"/>
        <v>0</v>
      </c>
      <c r="L17" s="80">
        <f t="shared" ca="1" si="3"/>
        <v>0</v>
      </c>
      <c r="M17" s="82">
        <f t="shared" ca="1" si="4"/>
        <v>0</v>
      </c>
      <c r="N17" s="1">
        <v>5963766</v>
      </c>
      <c r="O17" s="94" t="str">
        <f t="shared" si="6"/>
        <v>2F32F435-V</v>
      </c>
      <c r="P17" s="94" t="str">
        <f t="shared" si="7"/>
        <v>2F32F435-ae</v>
      </c>
      <c r="Q17" s="94" t="str">
        <f t="shared" si="8"/>
        <v>2F32F435-ak</v>
      </c>
    </row>
    <row r="18" spans="1:17">
      <c r="A18" s="220">
        <f t="shared" si="5"/>
        <v>9</v>
      </c>
      <c r="B18" s="96" t="s">
        <v>546</v>
      </c>
      <c r="C18" s="83" t="s">
        <v>547</v>
      </c>
      <c r="D18" s="74" t="s">
        <v>9</v>
      </c>
      <c r="E18" s="206">
        <v>0</v>
      </c>
      <c r="F18" s="99">
        <f ca="1">_xlfn.XLOOKUP(O18,APU!$B$2:$B$10000,APU!$G$2:$G$10000,,0,1)</f>
        <v>8030.0000000000009</v>
      </c>
      <c r="G18" s="99">
        <f ca="1">_xlfn.XLOOKUP(P18,APU!$B$2:$B$10000,APU!$G$2:$G$10000,,0,1)</f>
        <v>1097.0039999999999</v>
      </c>
      <c r="H18" s="99">
        <f ca="1">_xlfn.XLOOKUP(Q18,APU!$B$2:$B$10000,APU!$G$2:$G$10000,,0,1)</f>
        <v>71683.179840624594</v>
      </c>
      <c r="I18" s="81">
        <f t="shared" ca="1" si="0"/>
        <v>80810.183840624595</v>
      </c>
      <c r="J18" s="80">
        <f t="shared" ca="1" si="1"/>
        <v>0</v>
      </c>
      <c r="K18" s="80">
        <f t="shared" ca="1" si="2"/>
        <v>0</v>
      </c>
      <c r="L18" s="80">
        <f t="shared" ca="1" si="3"/>
        <v>0</v>
      </c>
      <c r="M18" s="82">
        <f t="shared" ca="1" si="4"/>
        <v>0</v>
      </c>
      <c r="N18" s="1">
        <v>9563181</v>
      </c>
      <c r="O18" s="94" t="str">
        <f t="shared" si="6"/>
        <v>2F32F435-V</v>
      </c>
      <c r="P18" s="94" t="str">
        <f t="shared" si="7"/>
        <v>2F32F435-ae</v>
      </c>
      <c r="Q18" s="94" t="str">
        <f t="shared" si="8"/>
        <v>2F32F435-ak</v>
      </c>
    </row>
    <row r="19" spans="1:17">
      <c r="A19" s="220">
        <f t="shared" si="5"/>
        <v>10</v>
      </c>
      <c r="B19" s="96" t="s">
        <v>549</v>
      </c>
      <c r="C19" s="83" t="s">
        <v>548</v>
      </c>
      <c r="D19" s="74" t="s">
        <v>9</v>
      </c>
      <c r="E19" s="206">
        <v>1</v>
      </c>
      <c r="F19" s="99">
        <f ca="1">_xlfn.XLOOKUP(O19,APU!$B$2:$B$10000,APU!$G$2:$G$10000,,0,1)</f>
        <v>1460</v>
      </c>
      <c r="G19" s="99">
        <f ca="1">_xlfn.XLOOKUP(P19,APU!$B$2:$B$10000,APU!$G$2:$G$10000,,0,1)</f>
        <v>1097.0039999999999</v>
      </c>
      <c r="H19" s="99">
        <f ca="1">_xlfn.XLOOKUP(Q19,APU!$B$2:$B$10000,APU!$G$2:$G$10000,,0,1)</f>
        <v>4536.9908057815946</v>
      </c>
      <c r="I19" s="81">
        <f ca="1">+(F19+G19+H19)</f>
        <v>7093.9948057815946</v>
      </c>
      <c r="J19" s="80">
        <f ca="1">+E19*F19</f>
        <v>1460</v>
      </c>
      <c r="K19" s="80">
        <f ca="1">+G19*E19</f>
        <v>1097.0039999999999</v>
      </c>
      <c r="L19" s="80">
        <f ca="1">+H19*E19</f>
        <v>4536.9908057815946</v>
      </c>
      <c r="M19" s="82">
        <f ca="1">SUM(J19:L19)</f>
        <v>7093.9948057815946</v>
      </c>
      <c r="N19" s="1">
        <v>3386487</v>
      </c>
      <c r="O19" s="94" t="str">
        <f t="shared" si="6"/>
        <v>1564C36B-V</v>
      </c>
      <c r="P19" s="94" t="str">
        <f t="shared" si="7"/>
        <v>1564C36B-ae</v>
      </c>
      <c r="Q19" s="94" t="str">
        <f t="shared" si="8"/>
        <v>1564C36B-ak</v>
      </c>
    </row>
    <row r="20" spans="1:17">
      <c r="A20" s="220">
        <f t="shared" si="5"/>
        <v>11</v>
      </c>
      <c r="B20" s="96" t="s">
        <v>552</v>
      </c>
      <c r="C20" s="83" t="s">
        <v>551</v>
      </c>
      <c r="D20" s="74" t="s">
        <v>9</v>
      </c>
      <c r="E20" s="206">
        <v>1</v>
      </c>
      <c r="F20" s="99">
        <f ca="1">_xlfn.XLOOKUP(O20,APU!$B$2:$B$10000,APU!$G$2:$G$10000,,0,1)</f>
        <v>4780490</v>
      </c>
      <c r="G20" s="99">
        <f ca="1">_xlfn.XLOOKUP(P20,APU!$B$2:$B$10000,APU!$G$2:$G$10000,,0,1)</f>
        <v>136609.93749999997</v>
      </c>
      <c r="H20" s="99">
        <f ca="1">_xlfn.XLOOKUP(Q20,APU!$B$2:$B$10000,APU!$G$2:$G$10000,,0,1)</f>
        <v>715829.24440818164</v>
      </c>
      <c r="I20" s="81">
        <f ca="1">+(F20+G20+H20)</f>
        <v>5632929.1819081819</v>
      </c>
      <c r="J20" s="80">
        <f ca="1">+E20*F20</f>
        <v>4780490</v>
      </c>
      <c r="K20" s="80">
        <f ca="1">+G20*E20</f>
        <v>136609.93749999997</v>
      </c>
      <c r="L20" s="80">
        <f ca="1">+H20*E20</f>
        <v>715829.24440818164</v>
      </c>
      <c r="M20" s="82">
        <f ca="1">SUM(J20:L20)</f>
        <v>5632929.1819081819</v>
      </c>
      <c r="N20" s="1">
        <v>4611552</v>
      </c>
      <c r="O20" s="94" t="str">
        <f t="shared" si="6"/>
        <v>20F92DB3-V</v>
      </c>
      <c r="P20" s="94" t="str">
        <f t="shared" si="7"/>
        <v>20F92DB3-ae</v>
      </c>
      <c r="Q20" s="94" t="str">
        <f t="shared" si="8"/>
        <v>20F92DB3-ak</v>
      </c>
    </row>
    <row r="21" spans="1:17">
      <c r="A21" s="220">
        <f ca="1">HYPERLINK("#"&amp;CELL("direccion",APU!A486),IF(E21&gt;0,A20+1,""))</f>
        <v>12</v>
      </c>
      <c r="B21" s="96" t="s">
        <v>554</v>
      </c>
      <c r="C21" s="83" t="s">
        <v>1253</v>
      </c>
      <c r="D21" s="74" t="s">
        <v>9</v>
      </c>
      <c r="E21" s="206">
        <v>1</v>
      </c>
      <c r="F21" s="99">
        <f ca="1">_xlfn.XLOOKUP(O21,APU!$B$2:$B$10000,APU!$G$2:$G$10000,,0,1)</f>
        <v>426100</v>
      </c>
      <c r="G21" s="99">
        <f ca="1">_xlfn.XLOOKUP(P21,APU!$B$2:$B$10000,APU!$G$2:$G$10000,,0,1)</f>
        <v>8560.4562499999993</v>
      </c>
      <c r="H21" s="99">
        <f ca="1">_xlfn.XLOOKUP(Q21,APU!$B$2:$B$10000,APU!$G$2:$G$10000,,0,1)</f>
        <v>72087.388666661835</v>
      </c>
      <c r="I21" s="81">
        <f ca="1">+(F21+G21+H21)</f>
        <v>506747.84491666185</v>
      </c>
      <c r="J21" s="80">
        <f ca="1">+E21*F21</f>
        <v>426100</v>
      </c>
      <c r="K21" s="80">
        <f ca="1">+G21*E21</f>
        <v>8560.4562499999993</v>
      </c>
      <c r="L21" s="80">
        <f ca="1">+H21*E21</f>
        <v>72087.388666661835</v>
      </c>
      <c r="M21" s="82">
        <f ca="1">SUM(J21:L21)</f>
        <v>506747.84491666185</v>
      </c>
      <c r="N21" s="1">
        <v>4239877</v>
      </c>
      <c r="O21" s="94" t="str">
        <f t="shared" ref="O21:O29" si="9">_xlfn.CONCAT(B21,"V")</f>
        <v>182BF30B-V</v>
      </c>
      <c r="P21" s="94" t="str">
        <f t="shared" ref="P21:P29" si="10">_xlfn.CONCAT(B21,"ae")</f>
        <v>182BF30B-ae</v>
      </c>
      <c r="Q21" s="94" t="str">
        <f t="shared" ref="Q21:Q29" si="11">_xlfn.CONCAT(B21,"ak")</f>
        <v>182BF30B-ak</v>
      </c>
    </row>
    <row r="22" spans="1:17">
      <c r="A22" s="220">
        <f t="shared" ca="1" si="5"/>
        <v>13</v>
      </c>
      <c r="B22" s="96" t="s">
        <v>555</v>
      </c>
      <c r="C22" s="83" t="s">
        <v>1111</v>
      </c>
      <c r="D22" s="74" t="s">
        <v>9</v>
      </c>
      <c r="E22" s="206">
        <v>12</v>
      </c>
      <c r="F22" s="99">
        <f ca="1">_xlfn.XLOOKUP(O22,APU!$B$2:$B$10000,APU!$G$2:$G$10000,,0,1)</f>
        <v>15300</v>
      </c>
      <c r="G22" s="99">
        <f ca="1">_xlfn.XLOOKUP(P22,APU!$B$2:$B$10000,APU!$G$2:$G$10000,,0,1)</f>
        <v>1879.401875</v>
      </c>
      <c r="H22" s="99">
        <f ca="1">_xlfn.XLOOKUP(Q22,APU!$B$2:$B$10000,APU!$G$2:$G$10000,,0,1)</f>
        <v>5444.3889669379132</v>
      </c>
      <c r="I22" s="81">
        <f ca="1">+(F22+G22+H22)</f>
        <v>22623.790841937913</v>
      </c>
      <c r="J22" s="80">
        <f ca="1">+E22*F22</f>
        <v>183600</v>
      </c>
      <c r="K22" s="80">
        <f ca="1">+G22*E22</f>
        <v>22552.822500000002</v>
      </c>
      <c r="L22" s="80">
        <f ca="1">+H22*E22</f>
        <v>65332.667603254959</v>
      </c>
      <c r="M22" s="82">
        <f ca="1">SUM(J22:L22)</f>
        <v>271485.49010325497</v>
      </c>
      <c r="N22" s="1">
        <v>7461206</v>
      </c>
      <c r="O22" s="94" t="str">
        <f t="shared" si="9"/>
        <v>12A5B4D1-V</v>
      </c>
      <c r="P22" s="94" t="str">
        <f t="shared" si="10"/>
        <v>12A5B4D1-ae</v>
      </c>
      <c r="Q22" s="94" t="str">
        <f t="shared" si="11"/>
        <v>12A5B4D1-ak</v>
      </c>
    </row>
    <row r="23" spans="1:17">
      <c r="A23" s="220">
        <f t="shared" ca="1" si="5"/>
        <v>14</v>
      </c>
      <c r="B23" s="96" t="s">
        <v>557</v>
      </c>
      <c r="C23" s="83" t="s">
        <v>556</v>
      </c>
      <c r="D23" s="74" t="s">
        <v>9</v>
      </c>
      <c r="E23" s="206">
        <v>1</v>
      </c>
      <c r="F23" s="99">
        <f ca="1">_xlfn.XLOOKUP(O23,APU!$B$2:$B$10000,APU!$G$2:$G$10000,,0,1)</f>
        <v>286700</v>
      </c>
      <c r="G23" s="99">
        <f ca="1">_xlfn.XLOOKUP(P23,APU!$B$2:$B$10000,APU!$G$2:$G$10000,,0,1)</f>
        <v>3195.1456250000001</v>
      </c>
      <c r="H23" s="99">
        <f ca="1">_xlfn.XLOOKUP(Q23,APU!$B$2:$B$10000,APU!$G$2:$G$10000,,0,1)</f>
        <v>40832.917252034356</v>
      </c>
      <c r="I23" s="81">
        <f ca="1">+(F23+G23+H23)</f>
        <v>330728.06287703436</v>
      </c>
      <c r="J23" s="80">
        <f ca="1">+E23*F23</f>
        <v>286700</v>
      </c>
      <c r="K23" s="80">
        <f ca="1">+G23*E23</f>
        <v>3195.1456250000001</v>
      </c>
      <c r="L23" s="80">
        <f ca="1">+H23*E23</f>
        <v>40832.917252034356</v>
      </c>
      <c r="M23" s="82">
        <f ca="1">SUM(J23:L23)</f>
        <v>330728.06287703436</v>
      </c>
      <c r="N23" s="1">
        <v>1477100</v>
      </c>
      <c r="O23" s="94" t="str">
        <f t="shared" si="9"/>
        <v>34F286E3-V</v>
      </c>
      <c r="P23" s="94" t="str">
        <f t="shared" si="10"/>
        <v>34F286E3-ae</v>
      </c>
      <c r="Q23" s="94" t="str">
        <f t="shared" si="11"/>
        <v>34F286E3-ak</v>
      </c>
    </row>
    <row r="24" spans="1:17">
      <c r="A24" s="220">
        <f t="shared" ca="1" si="5"/>
        <v>15</v>
      </c>
      <c r="B24" s="96" t="s">
        <v>564</v>
      </c>
      <c r="C24" s="83" t="s">
        <v>565</v>
      </c>
      <c r="D24" s="74" t="s">
        <v>7</v>
      </c>
      <c r="E24" s="206">
        <v>3</v>
      </c>
      <c r="F24" s="99">
        <f ca="1">_xlfn.XLOOKUP(O24,APU!$B$2:$B$10000,APU!$G$2:$G$10000,,0,1)</f>
        <v>181548.97999999998</v>
      </c>
      <c r="G24" s="99">
        <f ca="1">_xlfn.XLOOKUP(P24,APU!$B$2:$B$10000,APU!$G$2:$G$10000,,0,1)</f>
        <v>3703.5749999999998</v>
      </c>
      <c r="H24" s="99">
        <f ca="1">_xlfn.XLOOKUP(Q24,APU!$B$2:$B$10000,APU!$G$2:$G$10000,,0,1)</f>
        <v>48999.500702441226</v>
      </c>
      <c r="I24" s="81">
        <f t="shared" ref="I24:I30" ca="1" si="12">+(F24+G24+H24)</f>
        <v>234252.05570244123</v>
      </c>
      <c r="J24" s="80">
        <f t="shared" ref="J24:J30" ca="1" si="13">+E24*F24</f>
        <v>544646.93999999994</v>
      </c>
      <c r="K24" s="80">
        <f t="shared" ref="K24:K30" ca="1" si="14">+G24*E24</f>
        <v>11110.724999999999</v>
      </c>
      <c r="L24" s="80">
        <f t="shared" ref="L24:L30" ca="1" si="15">+H24*E24</f>
        <v>146998.50210732367</v>
      </c>
      <c r="M24" s="82">
        <f t="shared" ref="M24:M30" ca="1" si="16">SUM(J24:L24)</f>
        <v>702756.16710732365</v>
      </c>
      <c r="N24" s="1">
        <v>1477100</v>
      </c>
      <c r="O24" s="94" t="str">
        <f t="shared" si="9"/>
        <v>2CE82924-V</v>
      </c>
      <c r="P24" s="94" t="str">
        <f t="shared" si="10"/>
        <v>2CE82924-ae</v>
      </c>
      <c r="Q24" s="94" t="str">
        <f t="shared" si="11"/>
        <v>2CE82924-ak</v>
      </c>
    </row>
    <row r="25" spans="1:17">
      <c r="A25" s="220">
        <f t="shared" ca="1" si="5"/>
        <v>16</v>
      </c>
      <c r="B25" s="96" t="s">
        <v>566</v>
      </c>
      <c r="C25" s="83" t="s">
        <v>1141</v>
      </c>
      <c r="D25" s="74" t="s">
        <v>7</v>
      </c>
      <c r="E25" s="206">
        <v>7</v>
      </c>
      <c r="F25" s="99">
        <f ca="1">_xlfn.XLOOKUP(O25,APU!$B$2:$B$10000,APU!$G$2:$G$10000,,0,1)</f>
        <v>32975.75</v>
      </c>
      <c r="G25" s="99">
        <f ca="1">_xlfn.XLOOKUP(P25,APU!$B$2:$B$10000,APU!$G$2:$G$10000,,0,1)</f>
        <v>4467.03125</v>
      </c>
      <c r="H25" s="99">
        <f ca="1">_xlfn.XLOOKUP(Q25,APU!$B$2:$B$10000,APU!$G$2:$G$10000,,0,1)</f>
        <v>15244.289107426159</v>
      </c>
      <c r="I25" s="81">
        <f t="shared" ca="1" si="12"/>
        <v>52687.070357426157</v>
      </c>
      <c r="J25" s="80">
        <f t="shared" ca="1" si="13"/>
        <v>230830.25</v>
      </c>
      <c r="K25" s="80">
        <f t="shared" ca="1" si="14"/>
        <v>31269.21875</v>
      </c>
      <c r="L25" s="80">
        <f t="shared" ca="1" si="15"/>
        <v>106710.02375198311</v>
      </c>
      <c r="M25" s="82">
        <f t="shared" ca="1" si="16"/>
        <v>368809.49250198313</v>
      </c>
      <c r="N25" s="1">
        <v>4660068</v>
      </c>
      <c r="O25" s="94" t="str">
        <f t="shared" si="9"/>
        <v>165F5D86-V</v>
      </c>
      <c r="P25" s="94" t="str">
        <f t="shared" si="10"/>
        <v>165F5D86-ae</v>
      </c>
      <c r="Q25" s="94" t="str">
        <f t="shared" si="11"/>
        <v>165F5D86-ak</v>
      </c>
    </row>
    <row r="26" spans="1:17">
      <c r="A26" s="220">
        <f t="shared" ca="1" si="5"/>
        <v>17</v>
      </c>
      <c r="B26" s="96" t="s">
        <v>1271</v>
      </c>
      <c r="C26" s="83" t="s">
        <v>1703</v>
      </c>
      <c r="D26" s="74" t="s">
        <v>7</v>
      </c>
      <c r="E26" s="206">
        <v>8</v>
      </c>
      <c r="F26" s="99">
        <f ca="1">_xlfn.XLOOKUP(O26,APU!$B$2:$B$10000,APU!$G$2:$G$10000,,0,1)</f>
        <v>27380</v>
      </c>
      <c r="G26" s="99">
        <f ca="1">_xlfn.XLOOKUP(P26,APU!$B$2:$B$10000,APU!$G$2:$G$10000,,0,1)</f>
        <v>4467.03125</v>
      </c>
      <c r="H26" s="99">
        <f ca="1">_xlfn.XLOOKUP(Q26,APU!$B$2:$B$10000,APU!$G$2:$G$10000,,0,1)</f>
        <v>14064.671497922944</v>
      </c>
      <c r="I26" s="81">
        <f t="shared" ca="1" si="12"/>
        <v>45911.702747922944</v>
      </c>
      <c r="J26" s="80">
        <f t="shared" ca="1" si="13"/>
        <v>219040</v>
      </c>
      <c r="K26" s="80">
        <f t="shared" ca="1" si="14"/>
        <v>35736.25</v>
      </c>
      <c r="L26" s="80">
        <f t="shared" ca="1" si="15"/>
        <v>112517.37198338355</v>
      </c>
      <c r="M26" s="82">
        <f t="shared" ca="1" si="16"/>
        <v>367293.62198338355</v>
      </c>
      <c r="N26" s="1">
        <v>8267769</v>
      </c>
      <c r="O26" s="94" t="str">
        <f t="shared" si="9"/>
        <v>165F5D87-V</v>
      </c>
      <c r="P26" s="94" t="str">
        <f t="shared" si="10"/>
        <v>165F5D87-ae</v>
      </c>
      <c r="Q26" s="94" t="str">
        <f t="shared" si="11"/>
        <v>165F5D87-ak</v>
      </c>
    </row>
    <row r="27" spans="1:17">
      <c r="A27" s="220">
        <f t="shared" ca="1" si="5"/>
        <v>18</v>
      </c>
      <c r="B27" s="96" t="s">
        <v>1702</v>
      </c>
      <c r="C27" s="83" t="s">
        <v>1270</v>
      </c>
      <c r="D27" s="74" t="s">
        <v>7</v>
      </c>
      <c r="E27" s="206">
        <v>12</v>
      </c>
      <c r="F27" s="99">
        <f ca="1">_xlfn.XLOOKUP(O27,APU!$B$2:$B$10000,APU!$G$2:$G$10000,,0,1)</f>
        <v>31851.5</v>
      </c>
      <c r="G27" s="99">
        <f ca="1">_xlfn.XLOOKUP(P27,APU!$B$2:$B$10000,APU!$G$2:$G$10000,,0,1)</f>
        <v>4467.03125</v>
      </c>
      <c r="H27" s="99">
        <f ca="1">_xlfn.XLOOKUP(Q27,APU!$B$2:$B$10000,APU!$G$2:$G$10000,,0,1)</f>
        <v>15244.289107426159</v>
      </c>
      <c r="I27" s="81">
        <f t="shared" ca="1" si="12"/>
        <v>51562.820357426157</v>
      </c>
      <c r="J27" s="80">
        <f t="shared" ca="1" si="13"/>
        <v>382218</v>
      </c>
      <c r="K27" s="80">
        <f t="shared" ca="1" si="14"/>
        <v>53604.375</v>
      </c>
      <c r="L27" s="80">
        <f t="shared" ca="1" si="15"/>
        <v>182931.46928911391</v>
      </c>
      <c r="M27" s="82">
        <f t="shared" ca="1" si="16"/>
        <v>618753.84428911388</v>
      </c>
      <c r="N27" s="1">
        <v>9971146</v>
      </c>
      <c r="O27" s="94" t="str">
        <f t="shared" si="9"/>
        <v>165F5D88-V</v>
      </c>
      <c r="P27" s="94" t="str">
        <f t="shared" si="10"/>
        <v>165F5D88-ae</v>
      </c>
      <c r="Q27" s="94" t="str">
        <f t="shared" si="11"/>
        <v>165F5D88-ak</v>
      </c>
    </row>
    <row r="28" spans="1:17">
      <c r="A28" s="220">
        <f t="shared" ca="1" si="5"/>
        <v>19</v>
      </c>
      <c r="B28" s="96" t="s">
        <v>567</v>
      </c>
      <c r="C28" s="83" t="s">
        <v>1431</v>
      </c>
      <c r="D28" s="74" t="s">
        <v>7</v>
      </c>
      <c r="E28" s="206">
        <v>25</v>
      </c>
      <c r="F28" s="99">
        <f ca="1">_xlfn.XLOOKUP(O28,APU!$B$2:$B$10000,APU!$G$2:$G$10000,,0,1)</f>
        <v>23530</v>
      </c>
      <c r="G28" s="99">
        <f ca="1">_xlfn.XLOOKUP(P28,APU!$B$2:$B$10000,APU!$G$2:$G$10000,,0,1)</f>
        <v>622.94781249999994</v>
      </c>
      <c r="H28" s="99">
        <f ca="1">_xlfn.XLOOKUP(Q28,APU!$B$2:$B$10000,APU!$G$2:$G$10000,,0,1)</f>
        <v>9981.3797727195088</v>
      </c>
      <c r="I28" s="81">
        <f t="shared" ca="1" si="12"/>
        <v>34134.327585219507</v>
      </c>
      <c r="J28" s="80">
        <f t="shared" ca="1" si="13"/>
        <v>588250</v>
      </c>
      <c r="K28" s="80">
        <f t="shared" ca="1" si="14"/>
        <v>15573.695312499998</v>
      </c>
      <c r="L28" s="80">
        <f t="shared" ca="1" si="15"/>
        <v>249534.49431798773</v>
      </c>
      <c r="M28" s="82">
        <f t="shared" ca="1" si="16"/>
        <v>853358.1896304877</v>
      </c>
      <c r="N28" s="1">
        <v>2587463</v>
      </c>
      <c r="O28" s="94" t="str">
        <f t="shared" si="9"/>
        <v>30D57FC1-V</v>
      </c>
      <c r="P28" s="94" t="str">
        <f t="shared" si="10"/>
        <v>30D57FC1-ae</v>
      </c>
      <c r="Q28" s="94" t="str">
        <f t="shared" si="11"/>
        <v>30D57FC1-ak</v>
      </c>
    </row>
    <row r="29" spans="1:17">
      <c r="A29" s="220">
        <f t="shared" ca="1" si="5"/>
        <v>20</v>
      </c>
      <c r="B29" s="96" t="s">
        <v>569</v>
      </c>
      <c r="C29" s="83" t="s">
        <v>568</v>
      </c>
      <c r="D29" s="74" t="s">
        <v>7</v>
      </c>
      <c r="E29" s="206">
        <v>8</v>
      </c>
      <c r="F29" s="99">
        <f ca="1">_xlfn.XLOOKUP(O29,APU!$B$2:$B$10000,APU!$G$2:$G$10000,,0,1)</f>
        <v>9664</v>
      </c>
      <c r="G29" s="99">
        <f ca="1">_xlfn.XLOOKUP(P29,APU!$B$2:$B$10000,APU!$G$2:$G$10000,,0,1)</f>
        <v>622.94781249999994</v>
      </c>
      <c r="H29" s="99">
        <f ca="1">_xlfn.XLOOKUP(Q29,APU!$B$2:$B$10000,APU!$G$2:$G$10000,,0,1)</f>
        <v>4083.2917252034354</v>
      </c>
      <c r="I29" s="81">
        <f t="shared" ca="1" si="12"/>
        <v>14370.239537703435</v>
      </c>
      <c r="J29" s="80">
        <f t="shared" ca="1" si="13"/>
        <v>77312</v>
      </c>
      <c r="K29" s="80">
        <f t="shared" ca="1" si="14"/>
        <v>4983.5824999999995</v>
      </c>
      <c r="L29" s="80">
        <f t="shared" ca="1" si="15"/>
        <v>32666.333801627483</v>
      </c>
      <c r="M29" s="82">
        <f t="shared" ca="1" si="16"/>
        <v>114961.91630162748</v>
      </c>
      <c r="N29" s="1">
        <v>2189194</v>
      </c>
      <c r="O29" s="94" t="str">
        <f t="shared" si="9"/>
        <v>2A75A7A-V</v>
      </c>
      <c r="P29" s="94" t="str">
        <f t="shared" si="10"/>
        <v>2A75A7A-ae</v>
      </c>
      <c r="Q29" s="94" t="str">
        <f t="shared" si="11"/>
        <v>2A75A7A-ak</v>
      </c>
    </row>
    <row r="30" spans="1:17">
      <c r="A30" s="220">
        <f t="shared" ca="1" si="5"/>
        <v>21</v>
      </c>
      <c r="B30" s="96" t="s">
        <v>1645</v>
      </c>
      <c r="C30" s="83" t="s">
        <v>1646</v>
      </c>
      <c r="D30" s="74" t="s">
        <v>7</v>
      </c>
      <c r="E30" s="206">
        <v>12</v>
      </c>
      <c r="F30" s="99">
        <f ca="1">_xlfn.XLOOKUP(O30,APU!$B$2:$B$10000,APU!$G$2:$G$10000,,0,1)</f>
        <v>14122.5</v>
      </c>
      <c r="G30" s="99">
        <f ca="1">_xlfn.XLOOKUP(P30,APU!$B$2:$B$10000,APU!$G$2:$G$10000,,0,1)</f>
        <v>1689.35</v>
      </c>
      <c r="H30" s="99">
        <f ca="1">_xlfn.XLOOKUP(Q30,APU!$B$2:$B$10000,APU!$G$2:$G$10000,,0,1)</f>
        <v>4536.9908057815946</v>
      </c>
      <c r="I30" s="81">
        <f t="shared" ca="1" si="12"/>
        <v>20348.840805781594</v>
      </c>
      <c r="J30" s="80">
        <f t="shared" ca="1" si="13"/>
        <v>169470</v>
      </c>
      <c r="K30" s="80">
        <f t="shared" ca="1" si="14"/>
        <v>20272.199999999997</v>
      </c>
      <c r="L30" s="80">
        <f t="shared" ca="1" si="15"/>
        <v>54443.889669379132</v>
      </c>
      <c r="M30" s="82">
        <f t="shared" ca="1" si="16"/>
        <v>244186.08966937914</v>
      </c>
      <c r="N30" s="1">
        <v>5461042</v>
      </c>
      <c r="O30" s="94" t="str">
        <f t="shared" ref="O30:O39" si="17">_xlfn.CONCAT(B30,"V")</f>
        <v>2A75A7B-V</v>
      </c>
      <c r="P30" s="94" t="str">
        <f t="shared" ref="P30:P39" si="18">_xlfn.CONCAT(B30,"ae")</f>
        <v>2A75A7B-ae</v>
      </c>
      <c r="Q30" s="94" t="str">
        <f t="shared" ref="Q30:Q39" si="19">_xlfn.CONCAT(B30,"ak")</f>
        <v>2A75A7B-ak</v>
      </c>
    </row>
    <row r="31" spans="1:17" ht="40.5">
      <c r="A31" s="220">
        <f t="shared" ca="1" si="5"/>
        <v>22</v>
      </c>
      <c r="B31" s="96" t="s">
        <v>571</v>
      </c>
      <c r="C31" s="83" t="s">
        <v>570</v>
      </c>
      <c r="D31" s="74" t="s">
        <v>7</v>
      </c>
      <c r="E31" s="206">
        <v>12</v>
      </c>
      <c r="F31" s="99">
        <f ca="1">_xlfn.XLOOKUP(O31,APU!$B$2:$B$10000,APU!$G$2:$G$10000,,0,1)</f>
        <v>5539.5</v>
      </c>
      <c r="G31" s="99">
        <f ca="1">_xlfn.XLOOKUP(P31,APU!$B$2:$B$10000,APU!$G$2:$G$10000,,0,1)</f>
        <v>281.13495999999998</v>
      </c>
      <c r="H31" s="99">
        <f ca="1">_xlfn.XLOOKUP(Q31,APU!$B$2:$B$10000,APU!$G$2:$G$10000,,0,1)</f>
        <v>4536.9908057815946</v>
      </c>
      <c r="I31" s="81">
        <f t="shared" ref="I31:I39" ca="1" si="20">+(F31+G31+H31)</f>
        <v>10357.625765781595</v>
      </c>
      <c r="J31" s="80">
        <f t="shared" ref="J31:J39" ca="1" si="21">+E31*F31</f>
        <v>66474</v>
      </c>
      <c r="K31" s="80">
        <f t="shared" ref="K31:K39" ca="1" si="22">+G31*E31</f>
        <v>3373.6195199999997</v>
      </c>
      <c r="L31" s="80">
        <f t="shared" ref="L31:L39" ca="1" si="23">+H31*E31</f>
        <v>54443.889669379132</v>
      </c>
      <c r="M31" s="82">
        <f t="shared" ref="M31:M39" ca="1" si="24">SUM(J31:L31)</f>
        <v>124291.50918937913</v>
      </c>
      <c r="N31" s="1">
        <v>6462314</v>
      </c>
      <c r="O31" s="94" t="str">
        <f t="shared" si="17"/>
        <v>307EA178-V</v>
      </c>
      <c r="P31" s="94" t="str">
        <f t="shared" si="18"/>
        <v>307EA178-ae</v>
      </c>
      <c r="Q31" s="94" t="str">
        <f t="shared" si="19"/>
        <v>307EA178-ak</v>
      </c>
    </row>
    <row r="32" spans="1:17">
      <c r="A32" s="220">
        <f t="shared" ca="1" si="5"/>
        <v>23</v>
      </c>
      <c r="B32" s="96" t="s">
        <v>583</v>
      </c>
      <c r="C32" s="83" t="s">
        <v>582</v>
      </c>
      <c r="D32" s="74" t="s">
        <v>7</v>
      </c>
      <c r="E32" s="206">
        <v>85</v>
      </c>
      <c r="F32" s="99">
        <f ca="1">_xlfn.XLOOKUP(O32,APU!$B$2:$B$10000,APU!$G$2:$G$10000,,0,1)</f>
        <v>15759.65</v>
      </c>
      <c r="G32" s="99">
        <f ca="1">_xlfn.XLOOKUP(P32,APU!$B$2:$B$10000,APU!$G$2:$G$10000,,0,1)</f>
        <v>1591.8874999999998</v>
      </c>
      <c r="H32" s="99">
        <f ca="1">_xlfn.XLOOKUP(Q32,APU!$B$2:$B$10000,APU!$G$2:$G$10000,,0,1)</f>
        <v>15425.768739657424</v>
      </c>
      <c r="I32" s="81">
        <f t="shared" ca="1" si="20"/>
        <v>32777.306239657424</v>
      </c>
      <c r="J32" s="80">
        <f t="shared" ca="1" si="21"/>
        <v>1339570.25</v>
      </c>
      <c r="K32" s="80">
        <f t="shared" ca="1" si="22"/>
        <v>135310.43749999997</v>
      </c>
      <c r="L32" s="80">
        <f t="shared" ca="1" si="23"/>
        <v>1311190.3428708811</v>
      </c>
      <c r="M32" s="82">
        <f t="shared" ca="1" si="24"/>
        <v>2786071.0303708808</v>
      </c>
      <c r="N32" s="1">
        <v>6045800</v>
      </c>
      <c r="O32" s="94" t="str">
        <f t="shared" si="17"/>
        <v>20D1A895-V</v>
      </c>
      <c r="P32" s="94" t="str">
        <f t="shared" si="18"/>
        <v>20D1A895-ae</v>
      </c>
      <c r="Q32" s="94" t="str">
        <f t="shared" si="19"/>
        <v>20D1A895-ak</v>
      </c>
    </row>
    <row r="33" spans="1:17" ht="27">
      <c r="A33" s="220">
        <f t="shared" ca="1" si="5"/>
        <v>24</v>
      </c>
      <c r="B33" s="96" t="s">
        <v>585</v>
      </c>
      <c r="C33" s="83" t="s">
        <v>584</v>
      </c>
      <c r="D33" s="74" t="s">
        <v>7</v>
      </c>
      <c r="E33" s="206">
        <v>15</v>
      </c>
      <c r="F33" s="99">
        <f ca="1">_xlfn.XLOOKUP(O33,APU!$B$2:$B$10000,APU!$G$2:$G$10000,,0,1)</f>
        <v>60716.250000000007</v>
      </c>
      <c r="G33" s="99">
        <f ca="1">_xlfn.XLOOKUP(P33,APU!$B$2:$B$10000,APU!$G$2:$G$10000,,0,1)</f>
        <v>1421.3281249999998</v>
      </c>
      <c r="H33" s="99">
        <f ca="1">_xlfn.XLOOKUP(Q33,APU!$B$2:$B$10000,APU!$G$2:$G$10000,,0,1)</f>
        <v>16333.166900813741</v>
      </c>
      <c r="I33" s="81">
        <f t="shared" ca="1" si="20"/>
        <v>78470.745025813754</v>
      </c>
      <c r="J33" s="80">
        <f t="shared" ca="1" si="21"/>
        <v>910743.75000000012</v>
      </c>
      <c r="K33" s="80">
        <f t="shared" ca="1" si="22"/>
        <v>21319.921874999996</v>
      </c>
      <c r="L33" s="80">
        <f t="shared" ca="1" si="23"/>
        <v>244997.50351220611</v>
      </c>
      <c r="M33" s="82">
        <f t="shared" ca="1" si="24"/>
        <v>1177061.1753872063</v>
      </c>
      <c r="N33" s="1">
        <v>1902166</v>
      </c>
      <c r="O33" s="94" t="str">
        <f t="shared" si="17"/>
        <v>97DEC52-V</v>
      </c>
      <c r="P33" s="94" t="str">
        <f t="shared" si="18"/>
        <v>97DEC52-ae</v>
      </c>
      <c r="Q33" s="94" t="str">
        <f t="shared" si="19"/>
        <v>97DEC52-ak</v>
      </c>
    </row>
    <row r="34" spans="1:17" ht="27">
      <c r="A34" s="220">
        <f t="shared" ca="1" si="5"/>
        <v>25</v>
      </c>
      <c r="B34" s="96" t="s">
        <v>590</v>
      </c>
      <c r="C34" s="83" t="s">
        <v>591</v>
      </c>
      <c r="D34" s="74" t="s">
        <v>9</v>
      </c>
      <c r="E34" s="206">
        <v>7</v>
      </c>
      <c r="F34" s="99">
        <f ca="1">_xlfn.XLOOKUP(O34,APU!$B$2:$B$10000,APU!$G$2:$G$10000,,0,1)</f>
        <v>90621.8</v>
      </c>
      <c r="G34" s="99">
        <f ca="1">_xlfn.XLOOKUP(P34,APU!$B$2:$B$10000,APU!$G$2:$G$10000,,0,1)</f>
        <v>1749.8637599999997</v>
      </c>
      <c r="H34" s="99">
        <f ca="1">_xlfn.XLOOKUP(Q34,APU!$B$2:$B$10000,APU!$G$2:$G$10000,,0,1)</f>
        <v>34228.898011018282</v>
      </c>
      <c r="I34" s="81">
        <f t="shared" ca="1" si="20"/>
        <v>126600.56177101829</v>
      </c>
      <c r="J34" s="80">
        <f t="shared" ca="1" si="21"/>
        <v>634352.6</v>
      </c>
      <c r="K34" s="80">
        <f t="shared" ca="1" si="22"/>
        <v>12249.046319999998</v>
      </c>
      <c r="L34" s="80">
        <f t="shared" ca="1" si="23"/>
        <v>239602.28607712797</v>
      </c>
      <c r="M34" s="82">
        <f t="shared" ca="1" si="24"/>
        <v>886203.93239712785</v>
      </c>
      <c r="N34" s="1">
        <v>7075536</v>
      </c>
      <c r="O34" s="94" t="str">
        <f t="shared" si="17"/>
        <v>140743BF-V</v>
      </c>
      <c r="P34" s="94" t="str">
        <f t="shared" si="18"/>
        <v>140743BF-ae</v>
      </c>
      <c r="Q34" s="94" t="str">
        <f t="shared" si="19"/>
        <v>140743BF-ak</v>
      </c>
    </row>
    <row r="35" spans="1:17" ht="40.5">
      <c r="A35" s="220">
        <f t="shared" ca="1" si="5"/>
        <v>26</v>
      </c>
      <c r="B35" s="96" t="s">
        <v>610</v>
      </c>
      <c r="C35" s="83" t="s">
        <v>617</v>
      </c>
      <c r="D35" s="74" t="s">
        <v>9</v>
      </c>
      <c r="E35" s="206">
        <v>9</v>
      </c>
      <c r="F35" s="99">
        <f ca="1">_xlfn.XLOOKUP(O35,APU!$B$2:$B$10000,APU!$G$2:$G$10000,,0,1)</f>
        <v>90260.800000000003</v>
      </c>
      <c r="G35" s="99">
        <f ca="1">_xlfn.XLOOKUP(P35,APU!$B$2:$B$10000,APU!$G$2:$G$10000,,0,1)</f>
        <v>2583.0059799999995</v>
      </c>
      <c r="H35" s="99">
        <f ca="1">_xlfn.XLOOKUP(Q35,APU!$B$2:$B$10000,APU!$G$2:$G$10000,,0,1)</f>
        <v>31506.703527549325</v>
      </c>
      <c r="I35" s="81">
        <f t="shared" ca="1" si="20"/>
        <v>124350.50950754933</v>
      </c>
      <c r="J35" s="80">
        <f t="shared" ca="1" si="21"/>
        <v>812347.20000000007</v>
      </c>
      <c r="K35" s="80">
        <f t="shared" ca="1" si="22"/>
        <v>23247.053819999994</v>
      </c>
      <c r="L35" s="80">
        <f t="shared" ca="1" si="23"/>
        <v>283560.33174794394</v>
      </c>
      <c r="M35" s="82">
        <f t="shared" ca="1" si="24"/>
        <v>1119154.585567944</v>
      </c>
      <c r="N35" s="1">
        <v>1004899</v>
      </c>
      <c r="O35" s="94" t="str">
        <f t="shared" si="17"/>
        <v>1C70FA60-V</v>
      </c>
      <c r="P35" s="94" t="str">
        <f t="shared" si="18"/>
        <v>1C70FA60-ae</v>
      </c>
      <c r="Q35" s="94" t="str">
        <f t="shared" si="19"/>
        <v>1C70FA60-ak</v>
      </c>
    </row>
    <row r="36" spans="1:17" ht="40.5">
      <c r="A36" s="220">
        <f t="shared" ca="1" si="5"/>
        <v>27</v>
      </c>
      <c r="B36" s="96" t="s">
        <v>1816</v>
      </c>
      <c r="C36" s="83" t="s">
        <v>1817</v>
      </c>
      <c r="D36" s="74" t="s">
        <v>9</v>
      </c>
      <c r="E36" s="206">
        <v>1</v>
      </c>
      <c r="F36" s="99">
        <f ca="1">_xlfn.XLOOKUP(O36,APU!$B$2:$B$10000,APU!$G$2:$G$10000,,0,1)</f>
        <v>66316.3</v>
      </c>
      <c r="G36" s="99">
        <f ca="1">_xlfn.XLOOKUP(P36,APU!$B$2:$B$10000,APU!$G$2:$G$10000,,0,1)</f>
        <v>2583.0059799999995</v>
      </c>
      <c r="H36" s="99">
        <f ca="1">_xlfn.XLOOKUP(Q36,APU!$B$2:$B$10000,APU!$G$2:$G$10000,,0,1)</f>
        <v>31506.703527549325</v>
      </c>
      <c r="I36" s="81">
        <f t="shared" ca="1" si="20"/>
        <v>100406.00950754933</v>
      </c>
      <c r="J36" s="80">
        <f t="shared" ca="1" si="21"/>
        <v>66316.3</v>
      </c>
      <c r="K36" s="80">
        <f t="shared" ca="1" si="22"/>
        <v>2583.0059799999995</v>
      </c>
      <c r="L36" s="80">
        <f t="shared" ca="1" si="23"/>
        <v>31506.703527549325</v>
      </c>
      <c r="M36" s="82">
        <f t="shared" ca="1" si="24"/>
        <v>100406.00950754933</v>
      </c>
      <c r="N36" s="1">
        <v>3460662</v>
      </c>
      <c r="O36" s="94" t="str">
        <f t="shared" si="17"/>
        <v>31B2542C-V</v>
      </c>
      <c r="P36" s="94" t="str">
        <f t="shared" si="18"/>
        <v>31B2542C-ae</v>
      </c>
      <c r="Q36" s="94" t="str">
        <f t="shared" si="19"/>
        <v>31B2542C-ak</v>
      </c>
    </row>
    <row r="37" spans="1:17" ht="40.5">
      <c r="A37" s="220">
        <f t="shared" ca="1" si="5"/>
        <v>28</v>
      </c>
      <c r="B37" s="96" t="s">
        <v>620</v>
      </c>
      <c r="C37" s="83" t="s">
        <v>619</v>
      </c>
      <c r="D37" s="74" t="s">
        <v>9</v>
      </c>
      <c r="E37" s="206">
        <v>25</v>
      </c>
      <c r="F37" s="99">
        <f ca="1">_xlfn.XLOOKUP(O37,APU!$B$2:$B$10000,APU!$G$2:$G$10000,,0,1)</f>
        <v>90460.800000000003</v>
      </c>
      <c r="G37" s="99">
        <f ca="1">_xlfn.XLOOKUP(P37,APU!$B$2:$B$10000,APU!$G$2:$G$10000,,0,1)</f>
        <v>2583.0059799999995</v>
      </c>
      <c r="H37" s="99">
        <f ca="1">_xlfn.XLOOKUP(Q37,APU!$B$2:$B$10000,APU!$G$2:$G$10000,,0,1)</f>
        <v>31506.703527549325</v>
      </c>
      <c r="I37" s="81">
        <f t="shared" ca="1" si="20"/>
        <v>124550.50950754933</v>
      </c>
      <c r="J37" s="80">
        <f t="shared" ca="1" si="21"/>
        <v>2261520</v>
      </c>
      <c r="K37" s="80">
        <f t="shared" ca="1" si="22"/>
        <v>64575.149499999985</v>
      </c>
      <c r="L37" s="80">
        <f t="shared" ca="1" si="23"/>
        <v>787667.58818873309</v>
      </c>
      <c r="M37" s="82">
        <f t="shared" ca="1" si="24"/>
        <v>3113762.7376887328</v>
      </c>
      <c r="N37" s="1">
        <v>7887288</v>
      </c>
      <c r="O37" s="94" t="str">
        <f t="shared" si="17"/>
        <v>3AB56E40-V</v>
      </c>
      <c r="P37" s="94" t="str">
        <f t="shared" si="18"/>
        <v>3AB56E40-ae</v>
      </c>
      <c r="Q37" s="94" t="str">
        <f t="shared" si="19"/>
        <v>3AB56E40-ak</v>
      </c>
    </row>
    <row r="38" spans="1:17" ht="40.5">
      <c r="A38" s="220">
        <f t="shared" ca="1" si="5"/>
        <v>29</v>
      </c>
      <c r="B38" s="96" t="s">
        <v>612</v>
      </c>
      <c r="C38" s="83" t="s">
        <v>618</v>
      </c>
      <c r="D38" s="74" t="s">
        <v>9</v>
      </c>
      <c r="E38" s="206">
        <v>12</v>
      </c>
      <c r="F38" s="99" t="e">
        <f ca="1">_xlfn.XLOOKUP(O38,APU!$B$2:$B$10000,APU!$G$2:$G$10000,,0,1)</f>
        <v>#N/A</v>
      </c>
      <c r="G38" s="99" t="e">
        <f ca="1">_xlfn.XLOOKUP(P38,APU!$B$2:$B$10000,APU!$G$2:$G$10000,,0,1)</f>
        <v>#N/A</v>
      </c>
      <c r="H38" s="99" t="e">
        <f ca="1">_xlfn.XLOOKUP(Q38,APU!$B$2:$B$10000,APU!$G$2:$G$10000,,0,1)</f>
        <v>#N/A</v>
      </c>
      <c r="I38" s="81" t="e">
        <f t="shared" ca="1" si="20"/>
        <v>#N/A</v>
      </c>
      <c r="J38" s="80" t="e">
        <f t="shared" ca="1" si="21"/>
        <v>#N/A</v>
      </c>
      <c r="K38" s="80" t="e">
        <f t="shared" ca="1" si="22"/>
        <v>#N/A</v>
      </c>
      <c r="L38" s="80" t="e">
        <f t="shared" ca="1" si="23"/>
        <v>#N/A</v>
      </c>
      <c r="M38" s="82" t="e">
        <f t="shared" ca="1" si="24"/>
        <v>#N/A</v>
      </c>
      <c r="N38" s="1">
        <v>3388485</v>
      </c>
      <c r="O38" s="94" t="str">
        <f t="shared" si="17"/>
        <v>31B25428-V</v>
      </c>
      <c r="P38" s="94" t="str">
        <f t="shared" si="18"/>
        <v>31B25428-ae</v>
      </c>
      <c r="Q38" s="94" t="str">
        <f t="shared" si="19"/>
        <v>31B25428-ak</v>
      </c>
    </row>
    <row r="39" spans="1:17" ht="40.5">
      <c r="A39" s="220">
        <f t="shared" ca="1" si="5"/>
        <v>30</v>
      </c>
      <c r="B39" s="96" t="s">
        <v>620</v>
      </c>
      <c r="C39" s="83" t="s">
        <v>621</v>
      </c>
      <c r="D39" s="74" t="s">
        <v>9</v>
      </c>
      <c r="E39" s="206">
        <v>9</v>
      </c>
      <c r="F39" s="99">
        <f ca="1">_xlfn.XLOOKUP(O39,APU!$B$2:$B$10000,APU!$G$2:$G$10000,,0,1)</f>
        <v>90460.800000000003</v>
      </c>
      <c r="G39" s="99">
        <f ca="1">_xlfn.XLOOKUP(P39,APU!$B$2:$B$10000,APU!$G$2:$G$10000,,0,1)</f>
        <v>2583.0059799999995</v>
      </c>
      <c r="H39" s="99">
        <f ca="1">_xlfn.XLOOKUP(Q39,APU!$B$2:$B$10000,APU!$G$2:$G$10000,,0,1)</f>
        <v>31506.703527549325</v>
      </c>
      <c r="I39" s="81">
        <f t="shared" ca="1" si="20"/>
        <v>124550.50950754933</v>
      </c>
      <c r="J39" s="80">
        <f t="shared" ca="1" si="21"/>
        <v>814147.20000000007</v>
      </c>
      <c r="K39" s="80">
        <f t="shared" ca="1" si="22"/>
        <v>23247.053819999994</v>
      </c>
      <c r="L39" s="80">
        <f t="shared" ca="1" si="23"/>
        <v>283560.33174794394</v>
      </c>
      <c r="M39" s="82">
        <f t="shared" ca="1" si="24"/>
        <v>1120954.585567944</v>
      </c>
      <c r="N39" s="1">
        <v>9103917</v>
      </c>
      <c r="O39" s="94" t="str">
        <f t="shared" si="17"/>
        <v>3AB56E40-V</v>
      </c>
      <c r="P39" s="94" t="str">
        <f t="shared" si="18"/>
        <v>3AB56E40-ae</v>
      </c>
      <c r="Q39" s="94" t="str">
        <f t="shared" si="19"/>
        <v>3AB56E40-ak</v>
      </c>
    </row>
    <row r="40" spans="1:17" ht="40.5">
      <c r="A40" s="220">
        <f t="shared" ca="1" si="5"/>
        <v>31</v>
      </c>
      <c r="B40" s="96" t="s">
        <v>622</v>
      </c>
      <c r="C40" s="83" t="s">
        <v>623</v>
      </c>
      <c r="D40" s="74" t="s">
        <v>9</v>
      </c>
      <c r="E40" s="206">
        <v>1</v>
      </c>
      <c r="F40" s="99">
        <f ca="1">_xlfn.XLOOKUP(O40,APU!$B$2:$B$10000,APU!$G$2:$G$10000,,0,1)</f>
        <v>49073.133333333331</v>
      </c>
      <c r="G40" s="99">
        <f ca="1">_xlfn.XLOOKUP(P40,APU!$B$2:$B$10000,APU!$G$2:$G$10000,,0,1)</f>
        <v>3273.1156249999999</v>
      </c>
      <c r="H40" s="99">
        <f ca="1">_xlfn.XLOOKUP(Q40,APU!$B$2:$B$10000,APU!$G$2:$G$10000,,0,1)</f>
        <v>22684.954028907974</v>
      </c>
      <c r="I40" s="81">
        <f t="shared" ref="I40:I47" ca="1" si="25">+(F40+G40+H40)</f>
        <v>75031.202987241297</v>
      </c>
      <c r="J40" s="80">
        <f t="shared" ref="J40:J47" ca="1" si="26">+E40*F40</f>
        <v>49073.133333333331</v>
      </c>
      <c r="K40" s="80">
        <f t="shared" ref="K40:K47" ca="1" si="27">+G40*E40</f>
        <v>3273.1156249999999</v>
      </c>
      <c r="L40" s="80">
        <f t="shared" ref="L40:L47" ca="1" si="28">+H40*E40</f>
        <v>22684.954028907974</v>
      </c>
      <c r="M40" s="82">
        <f t="shared" ref="M40:M47" ca="1" si="29">SUM(J40:L40)</f>
        <v>75031.202987241297</v>
      </c>
      <c r="N40" s="1">
        <v>5251106</v>
      </c>
      <c r="O40" s="94" t="str">
        <f t="shared" ref="O40:O47" si="30">_xlfn.CONCAT(B40,"V")</f>
        <v>1986EAB3-V</v>
      </c>
      <c r="P40" s="94" t="str">
        <f t="shared" ref="P40:P47" si="31">_xlfn.CONCAT(B40,"ae")</f>
        <v>1986EAB3-ae</v>
      </c>
      <c r="Q40" s="94" t="str">
        <f t="shared" ref="Q40:Q47" si="32">_xlfn.CONCAT(B40,"ak")</f>
        <v>1986EAB3-ak</v>
      </c>
    </row>
    <row r="41" spans="1:17" ht="40.5">
      <c r="A41" s="220">
        <f t="shared" ca="1" si="5"/>
        <v>32</v>
      </c>
      <c r="B41" s="96" t="s">
        <v>625</v>
      </c>
      <c r="C41" s="83" t="s">
        <v>624</v>
      </c>
      <c r="D41" s="74" t="s">
        <v>9</v>
      </c>
      <c r="E41" s="206">
        <v>1</v>
      </c>
      <c r="F41" s="99">
        <f ca="1">_xlfn.XLOOKUP(O41,APU!$B$2:$B$10000,APU!$G$2:$G$10000,,0,1)</f>
        <v>53439.8</v>
      </c>
      <c r="G41" s="99">
        <f ca="1">_xlfn.XLOOKUP(P41,APU!$B$2:$B$10000,APU!$G$2:$G$10000,,0,1)</f>
        <v>3273.1156249999999</v>
      </c>
      <c r="H41" s="99">
        <f ca="1">_xlfn.XLOOKUP(Q41,APU!$B$2:$B$10000,APU!$G$2:$G$10000,,0,1)</f>
        <v>22684.954028907974</v>
      </c>
      <c r="I41" s="81">
        <f t="shared" ca="1" si="25"/>
        <v>79397.869653907983</v>
      </c>
      <c r="J41" s="80">
        <f t="shared" ca="1" si="26"/>
        <v>53439.8</v>
      </c>
      <c r="K41" s="80">
        <f t="shared" ca="1" si="27"/>
        <v>3273.1156249999999</v>
      </c>
      <c r="L41" s="80">
        <f t="shared" ca="1" si="28"/>
        <v>22684.954028907974</v>
      </c>
      <c r="M41" s="82">
        <f t="shared" ca="1" si="29"/>
        <v>79397.869653907983</v>
      </c>
      <c r="N41" s="1">
        <v>5251106</v>
      </c>
      <c r="O41" s="94" t="str">
        <f t="shared" si="30"/>
        <v>1BB7370-V</v>
      </c>
      <c r="P41" s="94" t="str">
        <f t="shared" si="31"/>
        <v>1BB7370-ae</v>
      </c>
      <c r="Q41" s="94" t="str">
        <f t="shared" si="32"/>
        <v>1BB7370-ak</v>
      </c>
    </row>
    <row r="42" spans="1:17" ht="40.5">
      <c r="A42" s="220">
        <f t="shared" ca="1" si="5"/>
        <v>33</v>
      </c>
      <c r="B42" s="96" t="s">
        <v>627</v>
      </c>
      <c r="C42" s="83" t="s">
        <v>626</v>
      </c>
      <c r="D42" s="74" t="s">
        <v>9</v>
      </c>
      <c r="E42" s="206">
        <v>1</v>
      </c>
      <c r="F42" s="99">
        <f ca="1">_xlfn.XLOOKUP(O42,APU!$B$2:$B$10000,APU!$G$2:$G$10000,,0,1)</f>
        <v>66659.8</v>
      </c>
      <c r="G42" s="99">
        <f ca="1">_xlfn.XLOOKUP(P42,APU!$B$2:$B$10000,APU!$G$2:$G$10000,,0,1)</f>
        <v>3273.1156249999999</v>
      </c>
      <c r="H42" s="99">
        <f ca="1">_xlfn.XLOOKUP(Q42,APU!$B$2:$B$10000,APU!$G$2:$G$10000,,0,1)</f>
        <v>25407.148512376934</v>
      </c>
      <c r="I42" s="81">
        <f t="shared" ca="1" si="25"/>
        <v>95340.064137376947</v>
      </c>
      <c r="J42" s="80">
        <f t="shared" ca="1" si="26"/>
        <v>66659.8</v>
      </c>
      <c r="K42" s="80">
        <f t="shared" ca="1" si="27"/>
        <v>3273.1156249999999</v>
      </c>
      <c r="L42" s="80">
        <f t="shared" ca="1" si="28"/>
        <v>25407.148512376934</v>
      </c>
      <c r="M42" s="82">
        <f t="shared" ca="1" si="29"/>
        <v>95340.064137376947</v>
      </c>
      <c r="N42" s="1">
        <v>5251106</v>
      </c>
      <c r="O42" s="94" t="str">
        <f t="shared" si="30"/>
        <v>2A7256AD-V</v>
      </c>
      <c r="P42" s="94" t="str">
        <f t="shared" si="31"/>
        <v>2A7256AD-ae</v>
      </c>
      <c r="Q42" s="94" t="str">
        <f t="shared" si="32"/>
        <v>2A7256AD-ak</v>
      </c>
    </row>
    <row r="43" spans="1:17" ht="40.5">
      <c r="A43" s="220">
        <f t="shared" ca="1" si="5"/>
        <v>34</v>
      </c>
      <c r="B43" s="96" t="s">
        <v>629</v>
      </c>
      <c r="C43" s="83" t="s">
        <v>628</v>
      </c>
      <c r="D43" s="74" t="s">
        <v>9</v>
      </c>
      <c r="E43" s="206">
        <v>2</v>
      </c>
      <c r="F43" s="99">
        <f ca="1">_xlfn.XLOOKUP(O43,APU!$B$2:$B$10000,APU!$G$2:$G$10000,,0,1)</f>
        <v>49449.133333333331</v>
      </c>
      <c r="G43" s="99">
        <f ca="1">_xlfn.XLOOKUP(P43,APU!$B$2:$B$10000,APU!$G$2:$G$10000,,0,1)</f>
        <v>3273.1156249999999</v>
      </c>
      <c r="H43" s="99">
        <f ca="1">_xlfn.XLOOKUP(Q43,APU!$B$2:$B$10000,APU!$G$2:$G$10000,,0,1)</f>
        <v>27221.94483468957</v>
      </c>
      <c r="I43" s="81">
        <f t="shared" ca="1" si="25"/>
        <v>79944.193793022903</v>
      </c>
      <c r="J43" s="80">
        <f t="shared" ca="1" si="26"/>
        <v>98898.266666666663</v>
      </c>
      <c r="K43" s="80">
        <f t="shared" ca="1" si="27"/>
        <v>6546.2312499999998</v>
      </c>
      <c r="L43" s="80">
        <f t="shared" ca="1" si="28"/>
        <v>54443.889669379139</v>
      </c>
      <c r="M43" s="82">
        <f t="shared" ca="1" si="29"/>
        <v>159888.38758604581</v>
      </c>
      <c r="N43" s="1">
        <v>3177554</v>
      </c>
      <c r="O43" s="94" t="str">
        <f t="shared" si="30"/>
        <v>C8A8E96-V</v>
      </c>
      <c r="P43" s="94" t="str">
        <f t="shared" si="31"/>
        <v>C8A8E96-ae</v>
      </c>
      <c r="Q43" s="94" t="str">
        <f t="shared" si="32"/>
        <v>C8A8E96-ak</v>
      </c>
    </row>
    <row r="44" spans="1:17" ht="40.5">
      <c r="A44" s="220">
        <f t="shared" ca="1" si="5"/>
        <v>35</v>
      </c>
      <c r="B44" s="96" t="s">
        <v>633</v>
      </c>
      <c r="C44" s="83" t="s">
        <v>632</v>
      </c>
      <c r="D44" s="74" t="s">
        <v>9</v>
      </c>
      <c r="E44" s="206">
        <v>2</v>
      </c>
      <c r="F44" s="99">
        <f ca="1">_xlfn.XLOOKUP(O44,APU!$B$2:$B$10000,APU!$G$2:$G$10000,,0,1)</f>
        <v>113295.13333333333</v>
      </c>
      <c r="G44" s="99">
        <f ca="1">_xlfn.XLOOKUP(P44,APU!$B$2:$B$10000,APU!$G$2:$G$10000,,0,1)</f>
        <v>1749.8637599999997</v>
      </c>
      <c r="H44" s="99">
        <f ca="1">_xlfn.XLOOKUP(Q44,APU!$B$2:$B$10000,APU!$G$2:$G$10000,,0,1)</f>
        <v>36043.694333330917</v>
      </c>
      <c r="I44" s="81">
        <f t="shared" ca="1" si="25"/>
        <v>151088.69142666424</v>
      </c>
      <c r="J44" s="80">
        <f t="shared" ca="1" si="26"/>
        <v>226590.26666666666</v>
      </c>
      <c r="K44" s="80">
        <f t="shared" ca="1" si="27"/>
        <v>3499.7275199999995</v>
      </c>
      <c r="L44" s="80">
        <f t="shared" ca="1" si="28"/>
        <v>72087.388666661835</v>
      </c>
      <c r="M44" s="82">
        <f t="shared" ca="1" si="29"/>
        <v>302177.38285332848</v>
      </c>
      <c r="N44" s="1">
        <v>3177554</v>
      </c>
      <c r="O44" s="94" t="str">
        <f t="shared" si="30"/>
        <v>E769842-V</v>
      </c>
      <c r="P44" s="94" t="str">
        <f t="shared" si="31"/>
        <v>E769842-ae</v>
      </c>
      <c r="Q44" s="94" t="str">
        <f t="shared" si="32"/>
        <v>E769842-ak</v>
      </c>
    </row>
    <row r="45" spans="1:17" ht="27">
      <c r="A45" s="220">
        <f t="shared" ca="1" si="5"/>
        <v>36</v>
      </c>
      <c r="B45" s="96" t="s">
        <v>633</v>
      </c>
      <c r="C45" s="83" t="s">
        <v>634</v>
      </c>
      <c r="D45" s="74" t="s">
        <v>9</v>
      </c>
      <c r="E45" s="206">
        <v>4</v>
      </c>
      <c r="F45" s="99">
        <f ca="1">_xlfn.XLOOKUP(O45,APU!$B$2:$B$10000,APU!$G$2:$G$10000,,0,1)</f>
        <v>113295.13333333333</v>
      </c>
      <c r="G45" s="99">
        <f ca="1">_xlfn.XLOOKUP(P45,APU!$B$2:$B$10000,APU!$G$2:$G$10000,,0,1)</f>
        <v>1749.8637599999997</v>
      </c>
      <c r="H45" s="99">
        <f ca="1">_xlfn.XLOOKUP(Q45,APU!$B$2:$B$10000,APU!$G$2:$G$10000,,0,1)</f>
        <v>36043.694333330917</v>
      </c>
      <c r="I45" s="81">
        <f t="shared" ca="1" si="25"/>
        <v>151088.69142666424</v>
      </c>
      <c r="J45" s="80">
        <f t="shared" ca="1" si="26"/>
        <v>453180.53333333333</v>
      </c>
      <c r="K45" s="80">
        <f t="shared" ca="1" si="27"/>
        <v>6999.4550399999989</v>
      </c>
      <c r="L45" s="80">
        <f t="shared" ca="1" si="28"/>
        <v>144174.77733332367</v>
      </c>
      <c r="M45" s="82">
        <f t="shared" ca="1" si="29"/>
        <v>604354.76570665697</v>
      </c>
      <c r="N45" s="1">
        <v>7749340</v>
      </c>
      <c r="O45" s="94" t="str">
        <f t="shared" si="30"/>
        <v>E769842-V</v>
      </c>
      <c r="P45" s="94" t="str">
        <f t="shared" si="31"/>
        <v>E769842-ae</v>
      </c>
      <c r="Q45" s="94" t="str">
        <f t="shared" si="32"/>
        <v>E769842-ak</v>
      </c>
    </row>
    <row r="46" spans="1:17" ht="40.5">
      <c r="A46" s="220">
        <f t="shared" ca="1" si="5"/>
        <v>37</v>
      </c>
      <c r="B46" s="96" t="s">
        <v>633</v>
      </c>
      <c r="C46" s="83" t="s">
        <v>635</v>
      </c>
      <c r="D46" s="74" t="s">
        <v>9</v>
      </c>
      <c r="E46" s="206">
        <v>8</v>
      </c>
      <c r="F46" s="99">
        <f ca="1">_xlfn.XLOOKUP(O46,APU!$B$2:$B$10000,APU!$G$2:$G$10000,,0,1)</f>
        <v>113295.13333333333</v>
      </c>
      <c r="G46" s="99">
        <f ca="1">_xlfn.XLOOKUP(P46,APU!$B$2:$B$10000,APU!$G$2:$G$10000,,0,1)</f>
        <v>1749.8637599999997</v>
      </c>
      <c r="H46" s="99">
        <f ca="1">_xlfn.XLOOKUP(Q46,APU!$B$2:$B$10000,APU!$G$2:$G$10000,,0,1)</f>
        <v>36043.694333330917</v>
      </c>
      <c r="I46" s="81">
        <f t="shared" ca="1" si="25"/>
        <v>151088.69142666424</v>
      </c>
      <c r="J46" s="80">
        <f t="shared" ca="1" si="26"/>
        <v>906361.06666666665</v>
      </c>
      <c r="K46" s="80">
        <f t="shared" ca="1" si="27"/>
        <v>13998.910079999998</v>
      </c>
      <c r="L46" s="80">
        <f t="shared" ca="1" si="28"/>
        <v>288349.55466664734</v>
      </c>
      <c r="M46" s="82">
        <f t="shared" ca="1" si="29"/>
        <v>1208709.5314133139</v>
      </c>
      <c r="N46" s="1">
        <v>8543190</v>
      </c>
      <c r="O46" s="94" t="str">
        <f t="shared" si="30"/>
        <v>E769842-V</v>
      </c>
      <c r="P46" s="94" t="str">
        <f t="shared" si="31"/>
        <v>E769842-ae</v>
      </c>
      <c r="Q46" s="94" t="str">
        <f t="shared" si="32"/>
        <v>E769842-ak</v>
      </c>
    </row>
    <row r="47" spans="1:17" ht="40.5">
      <c r="A47" s="220">
        <f t="shared" ca="1" si="5"/>
        <v>38</v>
      </c>
      <c r="B47" s="96" t="s">
        <v>638</v>
      </c>
      <c r="C47" s="83" t="s">
        <v>637</v>
      </c>
      <c r="D47" s="74" t="s">
        <v>9</v>
      </c>
      <c r="E47" s="206">
        <v>9</v>
      </c>
      <c r="F47" s="99">
        <f ca="1">_xlfn.XLOOKUP(O47,APU!$B$2:$B$10000,APU!$G$2:$G$10000,,0,1)</f>
        <v>65468.466666666667</v>
      </c>
      <c r="G47" s="99">
        <f ca="1">_xlfn.XLOOKUP(P47,APU!$B$2:$B$10000,APU!$G$2:$G$10000,,0,1)</f>
        <v>1749.8637599999997</v>
      </c>
      <c r="H47" s="99">
        <f ca="1">_xlfn.XLOOKUP(Q47,APU!$B$2:$B$10000,APU!$G$2:$G$10000,,0,1)</f>
        <v>31506.703527549325</v>
      </c>
      <c r="I47" s="81">
        <f t="shared" ca="1" si="25"/>
        <v>98725.033954215993</v>
      </c>
      <c r="J47" s="80">
        <f t="shared" ca="1" si="26"/>
        <v>589216.19999999995</v>
      </c>
      <c r="K47" s="80">
        <f t="shared" ca="1" si="27"/>
        <v>15748.773839999998</v>
      </c>
      <c r="L47" s="80">
        <f t="shared" ca="1" si="28"/>
        <v>283560.33174794394</v>
      </c>
      <c r="M47" s="82">
        <f t="shared" ca="1" si="29"/>
        <v>888525.30558794388</v>
      </c>
      <c r="N47" s="1">
        <v>6826885</v>
      </c>
      <c r="O47" s="94" t="str">
        <f t="shared" si="30"/>
        <v>1D88FCEF-V</v>
      </c>
      <c r="P47" s="94" t="str">
        <f t="shared" si="31"/>
        <v>1D88FCEF-ae</v>
      </c>
      <c r="Q47" s="94" t="str">
        <f t="shared" si="32"/>
        <v>1D88FCEF-ak</v>
      </c>
    </row>
    <row r="48" spans="1:17" ht="40.5">
      <c r="A48" s="220">
        <f t="shared" ca="1" si="5"/>
        <v>39</v>
      </c>
      <c r="B48" s="96" t="s">
        <v>640</v>
      </c>
      <c r="C48" s="83" t="s">
        <v>639</v>
      </c>
      <c r="D48" s="74" t="s">
        <v>9</v>
      </c>
      <c r="E48" s="206">
        <v>2</v>
      </c>
      <c r="F48" s="99">
        <f ca="1">_xlfn.XLOOKUP(O48,APU!$B$2:$B$10000,APU!$G$2:$G$10000,,0,1)</f>
        <v>62501.8</v>
      </c>
      <c r="G48" s="99">
        <f ca="1">_xlfn.XLOOKUP(P48,APU!$B$2:$B$10000,APU!$G$2:$G$10000,,0,1)</f>
        <v>1749.8637599999997</v>
      </c>
      <c r="H48" s="99">
        <f ca="1">_xlfn.XLOOKUP(Q48,APU!$B$2:$B$10000,APU!$G$2:$G$10000,,0,1)</f>
        <v>31506.703527549325</v>
      </c>
      <c r="I48" s="81">
        <f t="shared" ref="I48:I58" ca="1" si="33">+(F48+G48+H48)</f>
        <v>95758.367287549336</v>
      </c>
      <c r="J48" s="80">
        <f t="shared" ref="J48:J58" ca="1" si="34">+E48*F48</f>
        <v>125003.6</v>
      </c>
      <c r="K48" s="80">
        <f t="shared" ref="K48:K58" ca="1" si="35">+G48*E48</f>
        <v>3499.7275199999995</v>
      </c>
      <c r="L48" s="80">
        <f t="shared" ref="L48:L58" ca="1" si="36">+H48*E48</f>
        <v>63013.407055098651</v>
      </c>
      <c r="M48" s="82">
        <f t="shared" ref="M48:M58" ca="1" si="37">SUM(J48:L48)</f>
        <v>191516.73457509867</v>
      </c>
      <c r="N48" s="1">
        <v>5866256</v>
      </c>
      <c r="O48" s="94" t="str">
        <f t="shared" ref="O48:O58" si="38">_xlfn.CONCAT(B48,"V")</f>
        <v>C1D1F7D-V</v>
      </c>
      <c r="P48" s="94" t="str">
        <f t="shared" ref="P48:P58" si="39">_xlfn.CONCAT(B48,"ae")</f>
        <v>C1D1F7D-ae</v>
      </c>
      <c r="Q48" s="94" t="str">
        <f t="shared" ref="Q48:Q58" si="40">_xlfn.CONCAT(B48,"ak")</f>
        <v>C1D1F7D-ak</v>
      </c>
    </row>
    <row r="49" spans="1:17" ht="40.5">
      <c r="A49" s="220">
        <f t="shared" ca="1" si="5"/>
        <v>40</v>
      </c>
      <c r="B49" s="96" t="s">
        <v>642</v>
      </c>
      <c r="C49" s="83" t="s">
        <v>641</v>
      </c>
      <c r="D49" s="74" t="s">
        <v>9</v>
      </c>
      <c r="E49" s="206">
        <v>8</v>
      </c>
      <c r="F49" s="99">
        <f ca="1">_xlfn.XLOOKUP(O49,APU!$B$2:$B$10000,APU!$G$2:$G$10000,,0,1)</f>
        <v>70711.8</v>
      </c>
      <c r="G49" s="99">
        <f ca="1">_xlfn.XLOOKUP(P49,APU!$B$2:$B$10000,APU!$G$2:$G$10000,,0,1)</f>
        <v>1749.8637599999997</v>
      </c>
      <c r="H49" s="99">
        <f ca="1">_xlfn.XLOOKUP(Q49,APU!$B$2:$B$10000,APU!$G$2:$G$10000,,0,1)</f>
        <v>36043.694333330917</v>
      </c>
      <c r="I49" s="81">
        <f t="shared" ca="1" si="33"/>
        <v>108505.35809333091</v>
      </c>
      <c r="J49" s="80">
        <f t="shared" ca="1" si="34"/>
        <v>565694.4</v>
      </c>
      <c r="K49" s="80">
        <f t="shared" ca="1" si="35"/>
        <v>13998.910079999998</v>
      </c>
      <c r="L49" s="80">
        <f t="shared" ca="1" si="36"/>
        <v>288349.55466664734</v>
      </c>
      <c r="M49" s="82">
        <f t="shared" ca="1" si="37"/>
        <v>868042.8647466473</v>
      </c>
      <c r="N49" s="1">
        <v>4918703</v>
      </c>
      <c r="O49" s="94" t="str">
        <f t="shared" si="38"/>
        <v>3033662F-V</v>
      </c>
      <c r="P49" s="94" t="str">
        <f t="shared" si="39"/>
        <v>3033662F-ae</v>
      </c>
      <c r="Q49" s="94" t="str">
        <f t="shared" si="40"/>
        <v>3033662F-ak</v>
      </c>
    </row>
    <row r="50" spans="1:17" ht="40.5">
      <c r="A50" s="220">
        <f t="shared" ca="1" si="5"/>
        <v>41</v>
      </c>
      <c r="B50" s="96" t="s">
        <v>644</v>
      </c>
      <c r="C50" s="83" t="s">
        <v>643</v>
      </c>
      <c r="D50" s="74" t="s">
        <v>9</v>
      </c>
      <c r="E50" s="206">
        <v>5</v>
      </c>
      <c r="F50" s="99">
        <f ca="1">_xlfn.XLOOKUP(O50,APU!$B$2:$B$10000,APU!$G$2:$G$10000,,0,1)</f>
        <v>78185.133333333331</v>
      </c>
      <c r="G50" s="99">
        <f ca="1">_xlfn.XLOOKUP(P50,APU!$B$2:$B$10000,APU!$G$2:$G$10000,,0,1)</f>
        <v>1749.8637599999997</v>
      </c>
      <c r="H50" s="99">
        <f ca="1">_xlfn.XLOOKUP(Q50,APU!$B$2:$B$10000,APU!$G$2:$G$10000,,0,1)</f>
        <v>36043.694333330917</v>
      </c>
      <c r="I50" s="81">
        <f t="shared" ca="1" si="33"/>
        <v>115978.69142666424</v>
      </c>
      <c r="J50" s="80">
        <f t="shared" ca="1" si="34"/>
        <v>390925.66666666663</v>
      </c>
      <c r="K50" s="80">
        <f t="shared" ca="1" si="35"/>
        <v>8749.3187999999991</v>
      </c>
      <c r="L50" s="80">
        <f t="shared" ca="1" si="36"/>
        <v>180218.47166665457</v>
      </c>
      <c r="M50" s="82">
        <f t="shared" ca="1" si="37"/>
        <v>579893.45713332121</v>
      </c>
      <c r="N50" s="1">
        <v>7660168</v>
      </c>
      <c r="O50" s="94" t="str">
        <f t="shared" si="38"/>
        <v>14D86AED-V</v>
      </c>
      <c r="P50" s="94" t="str">
        <f t="shared" si="39"/>
        <v>14D86AED-ae</v>
      </c>
      <c r="Q50" s="94" t="str">
        <f t="shared" si="40"/>
        <v>14D86AED-ak</v>
      </c>
    </row>
    <row r="51" spans="1:17" ht="40.5">
      <c r="A51" s="220">
        <f t="shared" ca="1" si="5"/>
        <v>42</v>
      </c>
      <c r="B51" s="96" t="s">
        <v>646</v>
      </c>
      <c r="C51" s="83" t="s">
        <v>645</v>
      </c>
      <c r="D51" s="74" t="s">
        <v>9</v>
      </c>
      <c r="E51" s="206">
        <v>15</v>
      </c>
      <c r="F51" s="99">
        <f ca="1">_xlfn.XLOOKUP(O51,APU!$B$2:$B$10000,APU!$G$2:$G$10000,,0,1)</f>
        <v>68925.133333333331</v>
      </c>
      <c r="G51" s="99">
        <f ca="1">_xlfn.XLOOKUP(P51,APU!$B$2:$B$10000,APU!$G$2:$G$10000,,0,1)</f>
        <v>1749.8637599999997</v>
      </c>
      <c r="H51" s="99">
        <f ca="1">_xlfn.XLOOKUP(Q51,APU!$B$2:$B$10000,APU!$G$2:$G$10000,,0,1)</f>
        <v>36043.694333330917</v>
      </c>
      <c r="I51" s="81">
        <f t="shared" ca="1" si="33"/>
        <v>106718.69142666424</v>
      </c>
      <c r="J51" s="80">
        <f t="shared" ca="1" si="34"/>
        <v>1033877</v>
      </c>
      <c r="K51" s="80">
        <f t="shared" ca="1" si="35"/>
        <v>26247.956399999995</v>
      </c>
      <c r="L51" s="80">
        <f t="shared" ca="1" si="36"/>
        <v>540655.41499996372</v>
      </c>
      <c r="M51" s="82">
        <f t="shared" ca="1" si="37"/>
        <v>1600780.3713999637</v>
      </c>
      <c r="N51" s="1">
        <v>6511735</v>
      </c>
      <c r="O51" s="94" t="str">
        <f t="shared" si="38"/>
        <v>23A642FA-V</v>
      </c>
      <c r="P51" s="94" t="str">
        <f t="shared" si="39"/>
        <v>23A642FA-ae</v>
      </c>
      <c r="Q51" s="94" t="str">
        <f t="shared" si="40"/>
        <v>23A642FA-ak</v>
      </c>
    </row>
    <row r="52" spans="1:17" ht="40.5">
      <c r="A52" s="220">
        <f t="shared" ca="1" si="5"/>
        <v>43</v>
      </c>
      <c r="B52" s="96" t="s">
        <v>649</v>
      </c>
      <c r="C52" s="83" t="s">
        <v>648</v>
      </c>
      <c r="D52" s="74" t="s">
        <v>9</v>
      </c>
      <c r="E52" s="206">
        <v>29</v>
      </c>
      <c r="F52" s="99">
        <f ca="1">_xlfn.XLOOKUP(O52,APU!$B$2:$B$10000,APU!$G$2:$G$10000,,0,1)</f>
        <v>74818.466666666674</v>
      </c>
      <c r="G52" s="99">
        <f ca="1">_xlfn.XLOOKUP(P52,APU!$B$2:$B$10000,APU!$G$2:$G$10000,,0,1)</f>
        <v>1749.8637599999997</v>
      </c>
      <c r="H52" s="99">
        <f ca="1">_xlfn.XLOOKUP(Q52,APU!$B$2:$B$10000,APU!$G$2:$G$10000,,0,1)</f>
        <v>36043.694333330917</v>
      </c>
      <c r="I52" s="81">
        <f t="shared" ca="1" si="33"/>
        <v>112612.02475999758</v>
      </c>
      <c r="J52" s="80">
        <f t="shared" ca="1" si="34"/>
        <v>2169735.5333333337</v>
      </c>
      <c r="K52" s="80">
        <f t="shared" ca="1" si="35"/>
        <v>50746.049039999991</v>
      </c>
      <c r="L52" s="80">
        <f t="shared" ca="1" si="36"/>
        <v>1045267.1356665966</v>
      </c>
      <c r="M52" s="82">
        <f t="shared" ca="1" si="37"/>
        <v>3265748.7180399303</v>
      </c>
      <c r="N52" s="1">
        <v>7175940</v>
      </c>
      <c r="O52" s="94" t="str">
        <f t="shared" si="38"/>
        <v>229CF12D-V</v>
      </c>
      <c r="P52" s="94" t="str">
        <f t="shared" si="39"/>
        <v>229CF12D-ae</v>
      </c>
      <c r="Q52" s="94" t="str">
        <f t="shared" si="40"/>
        <v>229CF12D-ak</v>
      </c>
    </row>
    <row r="53" spans="1:17" ht="40.5">
      <c r="A53" s="220">
        <f t="shared" ca="1" si="5"/>
        <v>44</v>
      </c>
      <c r="B53" s="96" t="s">
        <v>650</v>
      </c>
      <c r="C53" s="83" t="s">
        <v>647</v>
      </c>
      <c r="D53" s="74" t="s">
        <v>9</v>
      </c>
      <c r="E53" s="206">
        <v>11</v>
      </c>
      <c r="F53" s="99">
        <f ca="1">_xlfn.XLOOKUP(O53,APU!$B$2:$B$10000,APU!$G$2:$G$10000,,0,1)</f>
        <v>67235.133333333331</v>
      </c>
      <c r="G53" s="99">
        <f ca="1">_xlfn.XLOOKUP(P53,APU!$B$2:$B$10000,APU!$G$2:$G$10000,,0,1)</f>
        <v>1749.8637599999997</v>
      </c>
      <c r="H53" s="99">
        <f ca="1">_xlfn.XLOOKUP(Q53,APU!$B$2:$B$10000,APU!$G$2:$G$10000,,0,1)</f>
        <v>36043.694333330917</v>
      </c>
      <c r="I53" s="81">
        <f t="shared" ca="1" si="33"/>
        <v>105028.69142666424</v>
      </c>
      <c r="J53" s="80">
        <f t="shared" ca="1" si="34"/>
        <v>739586.46666666667</v>
      </c>
      <c r="K53" s="80">
        <f t="shared" ca="1" si="35"/>
        <v>19248.501359999998</v>
      </c>
      <c r="L53" s="80">
        <f t="shared" ca="1" si="36"/>
        <v>396480.6376666401</v>
      </c>
      <c r="M53" s="82">
        <f t="shared" ca="1" si="37"/>
        <v>1155315.6056933068</v>
      </c>
      <c r="N53" s="1">
        <v>1940529</v>
      </c>
      <c r="O53" s="94" t="str">
        <f t="shared" si="38"/>
        <v>CF5A4DF-V</v>
      </c>
      <c r="P53" s="94" t="str">
        <f t="shared" si="39"/>
        <v>CF5A4DF-ae</v>
      </c>
      <c r="Q53" s="94" t="str">
        <f t="shared" si="40"/>
        <v>CF5A4DF-ak</v>
      </c>
    </row>
    <row r="54" spans="1:17" ht="40.5">
      <c r="A54" s="220">
        <f t="shared" ca="1" si="5"/>
        <v>45</v>
      </c>
      <c r="B54" s="96" t="s">
        <v>652</v>
      </c>
      <c r="C54" s="83" t="s">
        <v>651</v>
      </c>
      <c r="D54" s="74" t="s">
        <v>9</v>
      </c>
      <c r="E54" s="206">
        <v>9</v>
      </c>
      <c r="F54" s="99">
        <f ca="1">_xlfn.XLOOKUP(O54,APU!$B$2:$B$10000,APU!$G$2:$G$10000,,0,1)</f>
        <v>71761.8</v>
      </c>
      <c r="G54" s="99">
        <f ca="1">_xlfn.XLOOKUP(P54,APU!$B$2:$B$10000,APU!$G$2:$G$10000,,0,1)</f>
        <v>1749.8637599999997</v>
      </c>
      <c r="H54" s="99">
        <f ca="1">_xlfn.XLOOKUP(Q54,APU!$B$2:$B$10000,APU!$G$2:$G$10000,,0,1)</f>
        <v>36043.694333330917</v>
      </c>
      <c r="I54" s="81">
        <f t="shared" ca="1" si="33"/>
        <v>109555.35809333091</v>
      </c>
      <c r="J54" s="80">
        <f t="shared" ca="1" si="34"/>
        <v>645856.20000000007</v>
      </c>
      <c r="K54" s="80">
        <f t="shared" ca="1" si="35"/>
        <v>15748.773839999998</v>
      </c>
      <c r="L54" s="80">
        <f t="shared" ca="1" si="36"/>
        <v>324393.24899997824</v>
      </c>
      <c r="M54" s="82">
        <f t="shared" ca="1" si="37"/>
        <v>985998.22283997829</v>
      </c>
      <c r="N54" s="1">
        <v>5692492</v>
      </c>
      <c r="O54" s="94" t="str">
        <f t="shared" si="38"/>
        <v>377C8D31-V</v>
      </c>
      <c r="P54" s="94" t="str">
        <f t="shared" si="39"/>
        <v>377C8D31-ae</v>
      </c>
      <c r="Q54" s="94" t="str">
        <f t="shared" si="40"/>
        <v>377C8D31-ak</v>
      </c>
    </row>
    <row r="55" spans="1:17" ht="40.5">
      <c r="A55" s="220">
        <f t="shared" ca="1" si="5"/>
        <v>46</v>
      </c>
      <c r="B55" s="96" t="s">
        <v>653</v>
      </c>
      <c r="C55" s="83" t="s">
        <v>656</v>
      </c>
      <c r="D55" s="74" t="s">
        <v>9</v>
      </c>
      <c r="E55" s="206">
        <v>11</v>
      </c>
      <c r="F55" s="99">
        <f ca="1">_xlfn.XLOOKUP(O55,APU!$B$2:$B$10000,APU!$G$2:$G$10000,,0,1)</f>
        <v>67325.133333333331</v>
      </c>
      <c r="G55" s="99">
        <f ca="1">_xlfn.XLOOKUP(P55,APU!$B$2:$B$10000,APU!$G$2:$G$10000,,0,1)</f>
        <v>1749.8637599999997</v>
      </c>
      <c r="H55" s="99">
        <f ca="1">_xlfn.XLOOKUP(Q55,APU!$B$2:$B$10000,APU!$G$2:$G$10000,,0,1)</f>
        <v>36043.694333330917</v>
      </c>
      <c r="I55" s="81">
        <f t="shared" ca="1" si="33"/>
        <v>105118.69142666424</v>
      </c>
      <c r="J55" s="80">
        <f t="shared" ca="1" si="34"/>
        <v>740576.46666666667</v>
      </c>
      <c r="K55" s="80">
        <f t="shared" ca="1" si="35"/>
        <v>19248.501359999998</v>
      </c>
      <c r="L55" s="80">
        <f t="shared" ca="1" si="36"/>
        <v>396480.6376666401</v>
      </c>
      <c r="M55" s="82">
        <f t="shared" ca="1" si="37"/>
        <v>1156305.6056933068</v>
      </c>
      <c r="N55" s="1">
        <v>1063125</v>
      </c>
      <c r="O55" s="94" t="str">
        <f t="shared" si="38"/>
        <v>11FC98CD-V</v>
      </c>
      <c r="P55" s="94" t="str">
        <f t="shared" si="39"/>
        <v>11FC98CD-ae</v>
      </c>
      <c r="Q55" s="94" t="str">
        <f t="shared" si="40"/>
        <v>11FC98CD-ak</v>
      </c>
    </row>
    <row r="56" spans="1:17" ht="40.5">
      <c r="A56" s="220">
        <f t="shared" ca="1" si="5"/>
        <v>47</v>
      </c>
      <c r="B56" s="96" t="s">
        <v>658</v>
      </c>
      <c r="C56" s="83" t="s">
        <v>657</v>
      </c>
      <c r="D56" s="74" t="s">
        <v>9</v>
      </c>
      <c r="E56" s="206">
        <v>10</v>
      </c>
      <c r="F56" s="99">
        <f ca="1">_xlfn.XLOOKUP(O56,APU!$B$2:$B$10000,APU!$G$2:$G$10000,,0,1)</f>
        <v>71851.8</v>
      </c>
      <c r="G56" s="99">
        <f ca="1">_xlfn.XLOOKUP(P56,APU!$B$2:$B$10000,APU!$G$2:$G$10000,,0,1)</f>
        <v>1749.8637599999997</v>
      </c>
      <c r="H56" s="99">
        <f ca="1">_xlfn.XLOOKUP(Q56,APU!$B$2:$B$10000,APU!$G$2:$G$10000,,0,1)</f>
        <v>36043.694333330917</v>
      </c>
      <c r="I56" s="81">
        <f t="shared" ca="1" si="33"/>
        <v>109645.35809333091</v>
      </c>
      <c r="J56" s="80">
        <f t="shared" ca="1" si="34"/>
        <v>718518</v>
      </c>
      <c r="K56" s="80">
        <f t="shared" ca="1" si="35"/>
        <v>17498.637599999998</v>
      </c>
      <c r="L56" s="80">
        <f t="shared" ca="1" si="36"/>
        <v>360436.94333330914</v>
      </c>
      <c r="M56" s="82">
        <f t="shared" ca="1" si="37"/>
        <v>1096453.5809333092</v>
      </c>
      <c r="N56" s="1">
        <v>3695328</v>
      </c>
      <c r="O56" s="94" t="str">
        <f t="shared" si="38"/>
        <v>16B7AF49-V</v>
      </c>
      <c r="P56" s="94" t="str">
        <f t="shared" si="39"/>
        <v>16B7AF49-ae</v>
      </c>
      <c r="Q56" s="94" t="str">
        <f t="shared" si="40"/>
        <v>16B7AF49-ak</v>
      </c>
    </row>
    <row r="57" spans="1:17" ht="40.5">
      <c r="A57" s="220">
        <f t="shared" ca="1" si="5"/>
        <v>48</v>
      </c>
      <c r="B57" s="96" t="s">
        <v>660</v>
      </c>
      <c r="C57" s="83" t="s">
        <v>659</v>
      </c>
      <c r="D57" s="74" t="s">
        <v>7</v>
      </c>
      <c r="E57" s="206">
        <v>114</v>
      </c>
      <c r="F57" s="99">
        <f ca="1">_xlfn.XLOOKUP(O57,APU!$B$2:$B$10000,APU!$G$2:$G$10000,,0,1)</f>
        <v>10164</v>
      </c>
      <c r="G57" s="99">
        <f ca="1">_xlfn.XLOOKUP(P57,APU!$B$2:$B$10000,APU!$G$2:$G$10000,,0,1)</f>
        <v>484.06374999999991</v>
      </c>
      <c r="H57" s="99">
        <f ca="1">_xlfn.XLOOKUP(Q57,APU!$B$2:$B$10000,APU!$G$2:$G$10000,,0,1)</f>
        <v>4536.9908057815946</v>
      </c>
      <c r="I57" s="81">
        <f t="shared" ca="1" si="33"/>
        <v>15185.054555781593</v>
      </c>
      <c r="J57" s="80">
        <f t="shared" ca="1" si="34"/>
        <v>1158696</v>
      </c>
      <c r="K57" s="80">
        <f t="shared" ca="1" si="35"/>
        <v>55183.267499999987</v>
      </c>
      <c r="L57" s="80">
        <f t="shared" ca="1" si="36"/>
        <v>517216.95185910177</v>
      </c>
      <c r="M57" s="82">
        <f t="shared" ca="1" si="37"/>
        <v>1731096.2193591017</v>
      </c>
      <c r="N57" s="1">
        <v>2602015</v>
      </c>
      <c r="O57" s="94" t="str">
        <f t="shared" si="38"/>
        <v>2E5A15E7-V</v>
      </c>
      <c r="P57" s="94" t="str">
        <f t="shared" si="39"/>
        <v>2E5A15E7-ae</v>
      </c>
      <c r="Q57" s="94" t="str">
        <f t="shared" si="40"/>
        <v>2E5A15E7-ak</v>
      </c>
    </row>
    <row r="58" spans="1:17" ht="27">
      <c r="A58" s="220">
        <f t="shared" ca="1" si="5"/>
        <v>49</v>
      </c>
      <c r="B58" s="96" t="s">
        <v>662</v>
      </c>
      <c r="C58" s="83" t="s">
        <v>661</v>
      </c>
      <c r="D58" s="74" t="s">
        <v>9</v>
      </c>
      <c r="E58" s="206">
        <v>1</v>
      </c>
      <c r="F58" s="99">
        <f ca="1">_xlfn.XLOOKUP(O58,APU!$B$2:$B$10000,APU!$G$2:$G$10000,,0,1)</f>
        <v>9100</v>
      </c>
      <c r="G58" s="99">
        <f ca="1">_xlfn.XLOOKUP(P58,APU!$B$2:$B$10000,APU!$G$2:$G$10000,,0,1)</f>
        <v>484.06374999999991</v>
      </c>
      <c r="H58" s="99">
        <f ca="1">_xlfn.XLOOKUP(Q58,APU!$B$2:$B$10000,APU!$G$2:$G$10000,,0,1)</f>
        <v>5444.3889669379132</v>
      </c>
      <c r="I58" s="81">
        <f t="shared" ca="1" si="33"/>
        <v>15028.452716937913</v>
      </c>
      <c r="J58" s="80">
        <f t="shared" ca="1" si="34"/>
        <v>9100</v>
      </c>
      <c r="K58" s="80">
        <f t="shared" ca="1" si="35"/>
        <v>484.06374999999991</v>
      </c>
      <c r="L58" s="80">
        <f t="shared" ca="1" si="36"/>
        <v>5444.3889669379132</v>
      </c>
      <c r="M58" s="82">
        <f t="shared" ca="1" si="37"/>
        <v>15028.452716937913</v>
      </c>
      <c r="N58" s="1">
        <v>5129404</v>
      </c>
      <c r="O58" s="94" t="str">
        <f t="shared" si="38"/>
        <v>185615BA-V</v>
      </c>
      <c r="P58" s="94" t="str">
        <f t="shared" si="39"/>
        <v>185615BA-ae</v>
      </c>
      <c r="Q58" s="94" t="str">
        <f t="shared" si="40"/>
        <v>185615BA-ak</v>
      </c>
    </row>
    <row r="59" spans="1:17" ht="27">
      <c r="A59" s="220">
        <f t="shared" ca="1" si="5"/>
        <v>50</v>
      </c>
      <c r="B59" s="96" t="s">
        <v>664</v>
      </c>
      <c r="C59" s="83" t="s">
        <v>663</v>
      </c>
      <c r="D59" s="74" t="s">
        <v>9</v>
      </c>
      <c r="E59" s="206">
        <v>13</v>
      </c>
      <c r="F59" s="99">
        <f ca="1">_xlfn.XLOOKUP(O59,APU!$B$2:$B$10000,APU!$G$2:$G$10000,,0,1)</f>
        <v>59000</v>
      </c>
      <c r="G59" s="99">
        <f ca="1">_xlfn.XLOOKUP(P59,APU!$B$2:$B$10000,APU!$G$2:$G$10000,,0,1)</f>
        <v>484.06374999999991</v>
      </c>
      <c r="H59" s="99">
        <f ca="1">_xlfn.XLOOKUP(Q59,APU!$B$2:$B$10000,APU!$G$2:$G$10000,,0,1)</f>
        <v>5898.0880475160739</v>
      </c>
      <c r="I59" s="81">
        <f t="shared" ref="I59:I69" ca="1" si="41">+(F59+G59+H59)</f>
        <v>65382.151797516075</v>
      </c>
      <c r="J59" s="80">
        <f t="shared" ref="J59:J69" ca="1" si="42">+E59*F59</f>
        <v>767000</v>
      </c>
      <c r="K59" s="80">
        <f t="shared" ref="K59:K69" ca="1" si="43">+G59*E59</f>
        <v>6292.8287499999988</v>
      </c>
      <c r="L59" s="80">
        <f t="shared" ref="L59:L69" ca="1" si="44">+H59*E59</f>
        <v>76675.144617708953</v>
      </c>
      <c r="M59" s="82">
        <f t="shared" ref="M59:M69" ca="1" si="45">SUM(J59:L59)</f>
        <v>849967.97336770897</v>
      </c>
      <c r="N59" s="1">
        <v>1850443</v>
      </c>
      <c r="O59" s="94" t="str">
        <f t="shared" ref="O59:O69" si="46">_xlfn.CONCAT(B59,"V")</f>
        <v>20D6EE03-V</v>
      </c>
      <c r="P59" s="94" t="str">
        <f t="shared" ref="P59:P69" si="47">_xlfn.CONCAT(B59,"ae")</f>
        <v>20D6EE03-ae</v>
      </c>
      <c r="Q59" s="94" t="str">
        <f t="shared" ref="Q59:Q69" si="48">_xlfn.CONCAT(B59,"ak")</f>
        <v>20D6EE03-ak</v>
      </c>
    </row>
    <row r="60" spans="1:17" ht="27">
      <c r="A60" s="220">
        <f t="shared" ca="1" si="5"/>
        <v>51</v>
      </c>
      <c r="B60" s="96" t="s">
        <v>667</v>
      </c>
      <c r="C60" s="83" t="s">
        <v>666</v>
      </c>
      <c r="D60" s="74" t="s">
        <v>9</v>
      </c>
      <c r="E60" s="206">
        <v>1</v>
      </c>
      <c r="F60" s="99">
        <f ca="1">_xlfn.XLOOKUP(O60,APU!$B$2:$B$10000,APU!$G$2:$G$10000,,0,1)</f>
        <v>7820</v>
      </c>
      <c r="G60" s="99">
        <f ca="1">_xlfn.XLOOKUP(P60,APU!$B$2:$B$10000,APU!$G$2:$G$10000,,0,1)</f>
        <v>484.06374999999991</v>
      </c>
      <c r="H60" s="99">
        <f ca="1">_xlfn.XLOOKUP(Q60,APU!$B$2:$B$10000,APU!$G$2:$G$10000,,0,1)</f>
        <v>4536.9908057815946</v>
      </c>
      <c r="I60" s="81">
        <f t="shared" ca="1" si="41"/>
        <v>12841.054555781593</v>
      </c>
      <c r="J60" s="80">
        <f t="shared" ca="1" si="42"/>
        <v>7820</v>
      </c>
      <c r="K60" s="80">
        <f t="shared" ca="1" si="43"/>
        <v>484.06374999999991</v>
      </c>
      <c r="L60" s="80">
        <f t="shared" ca="1" si="44"/>
        <v>4536.9908057815946</v>
      </c>
      <c r="M60" s="82">
        <f t="shared" ca="1" si="45"/>
        <v>12841.054555781593</v>
      </c>
      <c r="N60" s="1">
        <v>3687146</v>
      </c>
      <c r="O60" s="94" t="str">
        <f t="shared" si="46"/>
        <v>107EDD33-V</v>
      </c>
      <c r="P60" s="94" t="str">
        <f t="shared" si="47"/>
        <v>107EDD33-ae</v>
      </c>
      <c r="Q60" s="94" t="str">
        <f t="shared" si="48"/>
        <v>107EDD33-ak</v>
      </c>
    </row>
    <row r="61" spans="1:17" ht="27">
      <c r="A61" s="220">
        <f t="shared" ca="1" si="5"/>
        <v>52</v>
      </c>
      <c r="B61" s="96" t="s">
        <v>672</v>
      </c>
      <c r="C61" s="83" t="s">
        <v>671</v>
      </c>
      <c r="D61" s="74" t="s">
        <v>9</v>
      </c>
      <c r="E61" s="206">
        <v>9</v>
      </c>
      <c r="F61" s="99">
        <f ca="1">_xlfn.XLOOKUP(O61,APU!$B$2:$B$10000,APU!$G$2:$G$10000,,0,1)</f>
        <v>12712</v>
      </c>
      <c r="G61" s="99">
        <f ca="1">_xlfn.XLOOKUP(P61,APU!$B$2:$B$10000,APU!$G$2:$G$10000,,0,1)</f>
        <v>484.06374999999991</v>
      </c>
      <c r="H61" s="99">
        <f ca="1">_xlfn.XLOOKUP(Q61,APU!$B$2:$B$10000,APU!$G$2:$G$10000,,0,1)</f>
        <v>5444.3889669379132</v>
      </c>
      <c r="I61" s="81">
        <f t="shared" ca="1" si="41"/>
        <v>18640.452716937914</v>
      </c>
      <c r="J61" s="80">
        <f t="shared" ca="1" si="42"/>
        <v>114408</v>
      </c>
      <c r="K61" s="80">
        <f t="shared" ca="1" si="43"/>
        <v>4356.5737499999996</v>
      </c>
      <c r="L61" s="80">
        <f t="shared" ca="1" si="44"/>
        <v>48999.500702441219</v>
      </c>
      <c r="M61" s="82">
        <f t="shared" ca="1" si="45"/>
        <v>167764.07445244121</v>
      </c>
      <c r="N61" s="1">
        <v>6873848</v>
      </c>
      <c r="O61" s="94" t="str">
        <f t="shared" si="46"/>
        <v>33B4D718-V</v>
      </c>
      <c r="P61" s="94" t="str">
        <f t="shared" si="47"/>
        <v>33B4D718-ae</v>
      </c>
      <c r="Q61" s="94" t="str">
        <f t="shared" si="48"/>
        <v>33B4D718-ak</v>
      </c>
    </row>
    <row r="62" spans="1:17" ht="27">
      <c r="A62" s="220">
        <f t="shared" ca="1" si="5"/>
        <v>53</v>
      </c>
      <c r="B62" s="96" t="s">
        <v>676</v>
      </c>
      <c r="C62" s="83" t="s">
        <v>675</v>
      </c>
      <c r="D62" s="74" t="s">
        <v>9</v>
      </c>
      <c r="E62" s="206">
        <v>2</v>
      </c>
      <c r="F62" s="99">
        <f ca="1">_xlfn.XLOOKUP(O62,APU!$B$2:$B$10000,APU!$G$2:$G$10000,,0,1)</f>
        <v>6100</v>
      </c>
      <c r="G62" s="99">
        <f ca="1">_xlfn.XLOOKUP(P62,APU!$B$2:$B$10000,APU!$G$2:$G$10000,,0,1)</f>
        <v>484.06374999999991</v>
      </c>
      <c r="H62" s="99">
        <f ca="1">_xlfn.XLOOKUP(Q62,APU!$B$2:$B$10000,APU!$G$2:$G$10000,,0,1)</f>
        <v>4990.6898863597544</v>
      </c>
      <c r="I62" s="81">
        <f t="shared" ca="1" si="41"/>
        <v>11574.753636359754</v>
      </c>
      <c r="J62" s="80">
        <f t="shared" ca="1" si="42"/>
        <v>12200</v>
      </c>
      <c r="K62" s="80">
        <f t="shared" ca="1" si="43"/>
        <v>968.12749999999983</v>
      </c>
      <c r="L62" s="80">
        <f t="shared" ca="1" si="44"/>
        <v>9981.3797727195088</v>
      </c>
      <c r="M62" s="82">
        <f t="shared" ca="1" si="45"/>
        <v>23149.507272719507</v>
      </c>
      <c r="N62" s="1">
        <v>5023742</v>
      </c>
      <c r="O62" s="94" t="str">
        <f t="shared" si="46"/>
        <v>145A0ECD-V</v>
      </c>
      <c r="P62" s="94" t="str">
        <f t="shared" si="47"/>
        <v>145A0ECD-ae</v>
      </c>
      <c r="Q62" s="94" t="str">
        <f t="shared" si="48"/>
        <v>145A0ECD-ak</v>
      </c>
    </row>
    <row r="63" spans="1:17" ht="27">
      <c r="A63" s="220">
        <f t="shared" ca="1" si="5"/>
        <v>54</v>
      </c>
      <c r="B63" s="96" t="s">
        <v>678</v>
      </c>
      <c r="C63" s="83" t="s">
        <v>677</v>
      </c>
      <c r="D63" s="74" t="s">
        <v>9</v>
      </c>
      <c r="E63" s="206">
        <v>5</v>
      </c>
      <c r="F63" s="99">
        <f ca="1">_xlfn.XLOOKUP(O63,APU!$B$2:$B$10000,APU!$G$2:$G$10000,,0,1)</f>
        <v>86820</v>
      </c>
      <c r="G63" s="99">
        <f ca="1">_xlfn.XLOOKUP(P63,APU!$B$2:$B$10000,APU!$G$2:$G$10000,,0,1)</f>
        <v>484.06374999999991</v>
      </c>
      <c r="H63" s="99">
        <f ca="1">_xlfn.XLOOKUP(Q63,APU!$B$2:$B$10000,APU!$G$2:$G$10000,,0,1)</f>
        <v>7259.1852892505522</v>
      </c>
      <c r="I63" s="81">
        <f t="shared" ca="1" si="41"/>
        <v>94563.249039250557</v>
      </c>
      <c r="J63" s="80">
        <f t="shared" ca="1" si="42"/>
        <v>434100</v>
      </c>
      <c r="K63" s="80">
        <f t="shared" ca="1" si="43"/>
        <v>2420.3187499999995</v>
      </c>
      <c r="L63" s="80">
        <f t="shared" ca="1" si="44"/>
        <v>36295.926446252764</v>
      </c>
      <c r="M63" s="82">
        <f t="shared" ca="1" si="45"/>
        <v>472816.24519625271</v>
      </c>
      <c r="N63" s="1">
        <v>632443</v>
      </c>
      <c r="O63" s="94" t="str">
        <f t="shared" si="46"/>
        <v>E82DB5E-V</v>
      </c>
      <c r="P63" s="94" t="str">
        <f t="shared" si="47"/>
        <v>E82DB5E-ae</v>
      </c>
      <c r="Q63" s="94" t="str">
        <f t="shared" si="48"/>
        <v>E82DB5E-ak</v>
      </c>
    </row>
    <row r="64" spans="1:17" ht="40.5">
      <c r="A64" s="220">
        <f t="shared" ca="1" si="5"/>
        <v>55</v>
      </c>
      <c r="B64" s="96" t="s">
        <v>686</v>
      </c>
      <c r="C64" s="83" t="s">
        <v>683</v>
      </c>
      <c r="D64" s="74" t="s">
        <v>9</v>
      </c>
      <c r="E64" s="206">
        <v>4</v>
      </c>
      <c r="F64" s="99">
        <f ca="1">_xlfn.XLOOKUP(O64,APU!$B$2:$B$10000,APU!$G$2:$G$10000,,0,1)</f>
        <v>91850</v>
      </c>
      <c r="G64" s="99">
        <f ca="1">_xlfn.XLOOKUP(P64,APU!$B$2:$B$10000,APU!$G$2:$G$10000,,0,1)</f>
        <v>484.06374999999991</v>
      </c>
      <c r="H64" s="99">
        <f ca="1">_xlfn.XLOOKUP(Q64,APU!$B$2:$B$10000,APU!$G$2:$G$10000,,0,1)</f>
        <v>7259.1852892505522</v>
      </c>
      <c r="I64" s="81">
        <f t="shared" ca="1" si="41"/>
        <v>99593.249039250557</v>
      </c>
      <c r="J64" s="80">
        <f t="shared" ca="1" si="42"/>
        <v>367400</v>
      </c>
      <c r="K64" s="80">
        <f t="shared" ca="1" si="43"/>
        <v>1936.2549999999997</v>
      </c>
      <c r="L64" s="80">
        <f t="shared" ca="1" si="44"/>
        <v>29036.741157002209</v>
      </c>
      <c r="M64" s="82">
        <f t="shared" ca="1" si="45"/>
        <v>398372.99615700223</v>
      </c>
      <c r="N64" s="1">
        <v>6668727</v>
      </c>
      <c r="O64" s="94" t="str">
        <f t="shared" si="46"/>
        <v>12F23555-V</v>
      </c>
      <c r="P64" s="94" t="str">
        <f t="shared" si="47"/>
        <v>12F23555-ae</v>
      </c>
      <c r="Q64" s="94" t="str">
        <f t="shared" si="48"/>
        <v>12F23555-ak</v>
      </c>
    </row>
    <row r="65" spans="1:17" ht="40.5">
      <c r="A65" s="220">
        <f t="shared" ca="1" si="5"/>
        <v>56</v>
      </c>
      <c r="B65" s="96" t="s">
        <v>691</v>
      </c>
      <c r="C65" s="83" t="s">
        <v>687</v>
      </c>
      <c r="D65" s="74" t="s">
        <v>9</v>
      </c>
      <c r="E65" s="206">
        <v>15</v>
      </c>
      <c r="F65" s="99">
        <f ca="1">_xlfn.XLOOKUP(O65,APU!$B$2:$B$10000,APU!$G$2:$G$10000,,0,1)</f>
        <v>87540</v>
      </c>
      <c r="G65" s="99">
        <f ca="1">_xlfn.XLOOKUP(P65,APU!$B$2:$B$10000,APU!$G$2:$G$10000,,0,1)</f>
        <v>484.06374999999991</v>
      </c>
      <c r="H65" s="99">
        <f ca="1">_xlfn.XLOOKUP(Q65,APU!$B$2:$B$10000,APU!$G$2:$G$10000,,0,1)</f>
        <v>7259.1852892505522</v>
      </c>
      <c r="I65" s="81">
        <f t="shared" ca="1" si="41"/>
        <v>95283.249039250557</v>
      </c>
      <c r="J65" s="80">
        <f t="shared" ca="1" si="42"/>
        <v>1313100</v>
      </c>
      <c r="K65" s="80">
        <f t="shared" ca="1" si="43"/>
        <v>7260.9562499999984</v>
      </c>
      <c r="L65" s="80">
        <f t="shared" ca="1" si="44"/>
        <v>108887.77933875828</v>
      </c>
      <c r="M65" s="82">
        <f t="shared" ca="1" si="45"/>
        <v>1429248.7355887583</v>
      </c>
      <c r="N65" s="1">
        <v>6569088</v>
      </c>
      <c r="O65" s="94" t="str">
        <f t="shared" si="46"/>
        <v>6E73529-V</v>
      </c>
      <c r="P65" s="94" t="str">
        <f t="shared" si="47"/>
        <v>6E73529-ae</v>
      </c>
      <c r="Q65" s="94" t="str">
        <f t="shared" si="48"/>
        <v>6E73529-ak</v>
      </c>
    </row>
    <row r="66" spans="1:17" ht="40.5">
      <c r="A66" s="220">
        <f t="shared" ca="1" si="5"/>
        <v>57</v>
      </c>
      <c r="B66" s="96" t="s">
        <v>692</v>
      </c>
      <c r="C66" s="83" t="s">
        <v>690</v>
      </c>
      <c r="D66" s="74" t="s">
        <v>9</v>
      </c>
      <c r="E66" s="206">
        <v>9</v>
      </c>
      <c r="F66" s="99">
        <f ca="1">_xlfn.XLOOKUP(O66,APU!$B$2:$B$10000,APU!$G$2:$G$10000,,0,1)</f>
        <v>159310</v>
      </c>
      <c r="G66" s="99">
        <f ca="1">_xlfn.XLOOKUP(P66,APU!$B$2:$B$10000,APU!$G$2:$G$10000,,0,1)</f>
        <v>622.13562499999989</v>
      </c>
      <c r="H66" s="99">
        <f ca="1">_xlfn.XLOOKUP(Q66,APU!$B$2:$B$10000,APU!$G$2:$G$10000,,0,1)</f>
        <v>14518.370578501104</v>
      </c>
      <c r="I66" s="81">
        <f t="shared" ca="1" si="41"/>
        <v>174450.50620350111</v>
      </c>
      <c r="J66" s="80">
        <f t="shared" ca="1" si="42"/>
        <v>1433790</v>
      </c>
      <c r="K66" s="80">
        <f t="shared" ca="1" si="43"/>
        <v>5599.220624999999</v>
      </c>
      <c r="L66" s="80">
        <f t="shared" ca="1" si="44"/>
        <v>130665.33520650995</v>
      </c>
      <c r="M66" s="82">
        <f t="shared" ca="1" si="45"/>
        <v>1570054.5558315101</v>
      </c>
      <c r="N66" s="1">
        <v>5682663</v>
      </c>
      <c r="O66" s="94" t="str">
        <f t="shared" si="46"/>
        <v>2F3E06D5-V</v>
      </c>
      <c r="P66" s="94" t="str">
        <f t="shared" si="47"/>
        <v>2F3E06D5-ae</v>
      </c>
      <c r="Q66" s="94" t="str">
        <f t="shared" si="48"/>
        <v>2F3E06D5-ak</v>
      </c>
    </row>
    <row r="67" spans="1:17" ht="40.5">
      <c r="A67" s="220">
        <f t="shared" ca="1" si="5"/>
        <v>58</v>
      </c>
      <c r="B67" s="96" t="s">
        <v>696</v>
      </c>
      <c r="C67" s="83" t="s">
        <v>695</v>
      </c>
      <c r="D67" s="74" t="s">
        <v>9</v>
      </c>
      <c r="E67" s="206">
        <v>2</v>
      </c>
      <c r="F67" s="99">
        <f ca="1">_xlfn.XLOOKUP(O67,APU!$B$2:$B$10000,APU!$G$2:$G$10000,,0,1)</f>
        <v>84630</v>
      </c>
      <c r="G67" s="99">
        <f ca="1">_xlfn.XLOOKUP(P67,APU!$B$2:$B$10000,APU!$G$2:$G$10000,,0,1)</f>
        <v>2002.8543749999997</v>
      </c>
      <c r="H67" s="99">
        <f ca="1">_xlfn.XLOOKUP(Q67,APU!$B$2:$B$10000,APU!$G$2:$G$10000,,0,1)</f>
        <v>10888.777933875826</v>
      </c>
      <c r="I67" s="81">
        <f t="shared" ca="1" si="41"/>
        <v>97521.632308875822</v>
      </c>
      <c r="J67" s="80">
        <f t="shared" ca="1" si="42"/>
        <v>169260</v>
      </c>
      <c r="K67" s="80">
        <f t="shared" ca="1" si="43"/>
        <v>4005.7087499999993</v>
      </c>
      <c r="L67" s="80">
        <f t="shared" ca="1" si="44"/>
        <v>21777.555867751653</v>
      </c>
      <c r="M67" s="82">
        <f t="shared" ca="1" si="45"/>
        <v>195043.26461775164</v>
      </c>
      <c r="N67" s="1">
        <v>6519532</v>
      </c>
      <c r="O67" s="94" t="str">
        <f t="shared" si="46"/>
        <v>EC64CDE-V</v>
      </c>
      <c r="P67" s="94" t="str">
        <f t="shared" si="47"/>
        <v>EC64CDE-ae</v>
      </c>
      <c r="Q67" s="94" t="str">
        <f t="shared" si="48"/>
        <v>EC64CDE-ak</v>
      </c>
    </row>
    <row r="68" spans="1:17" ht="40.5">
      <c r="A68" s="220">
        <f t="shared" ca="1" si="5"/>
        <v>59</v>
      </c>
      <c r="B68" s="96" t="s">
        <v>700</v>
      </c>
      <c r="C68" s="83" t="s">
        <v>699</v>
      </c>
      <c r="D68" s="74" t="s">
        <v>9</v>
      </c>
      <c r="E68" s="206">
        <v>15</v>
      </c>
      <c r="F68" s="99">
        <f ca="1">_xlfn.XLOOKUP(O68,APU!$B$2:$B$10000,APU!$G$2:$G$10000,,0,1)</f>
        <v>45690</v>
      </c>
      <c r="G68" s="99">
        <f ca="1">_xlfn.XLOOKUP(P68,APU!$B$2:$B$10000,APU!$G$2:$G$10000,,0,1)</f>
        <v>622.13562499999989</v>
      </c>
      <c r="H68" s="99">
        <f ca="1">_xlfn.XLOOKUP(Q68,APU!$B$2:$B$10000,APU!$G$2:$G$10000,,0,1)</f>
        <v>9073.9816115631893</v>
      </c>
      <c r="I68" s="81">
        <f t="shared" ca="1" si="41"/>
        <v>55386.117236563194</v>
      </c>
      <c r="J68" s="80">
        <f t="shared" ca="1" si="42"/>
        <v>685350</v>
      </c>
      <c r="K68" s="80">
        <f t="shared" ca="1" si="43"/>
        <v>9332.0343749999993</v>
      </c>
      <c r="L68" s="80">
        <f t="shared" ca="1" si="44"/>
        <v>136109.72417344784</v>
      </c>
      <c r="M68" s="82">
        <f t="shared" ca="1" si="45"/>
        <v>830791.75854844786</v>
      </c>
      <c r="N68" s="1">
        <v>4622616</v>
      </c>
      <c r="O68" s="94" t="str">
        <f t="shared" si="46"/>
        <v>278E96BB-V</v>
      </c>
      <c r="P68" s="94" t="str">
        <f t="shared" si="47"/>
        <v>278E96BB-ae</v>
      </c>
      <c r="Q68" s="94" t="str">
        <f t="shared" si="48"/>
        <v>278E96BB-ak</v>
      </c>
    </row>
    <row r="69" spans="1:17" ht="27">
      <c r="A69" s="220">
        <f t="shared" ca="1" si="5"/>
        <v>60</v>
      </c>
      <c r="B69" s="96" t="s">
        <v>706</v>
      </c>
      <c r="C69" s="83" t="s">
        <v>705</v>
      </c>
      <c r="D69" s="74" t="s">
        <v>9</v>
      </c>
      <c r="E69" s="206">
        <v>1</v>
      </c>
      <c r="F69" s="99">
        <f ca="1">_xlfn.XLOOKUP(O69,APU!$B$2:$B$10000,APU!$G$2:$G$10000,,0,1)</f>
        <v>8600</v>
      </c>
      <c r="G69" s="99">
        <f ca="1">_xlfn.XLOOKUP(P69,APU!$B$2:$B$10000,APU!$G$2:$G$10000,,0,1)</f>
        <v>95.838124999999991</v>
      </c>
      <c r="H69" s="99">
        <f ca="1">_xlfn.XLOOKUP(Q69,APU!$B$2:$B$10000,APU!$G$2:$G$10000,,0,1)</f>
        <v>907.39816115631902</v>
      </c>
      <c r="I69" s="81">
        <f t="shared" ca="1" si="41"/>
        <v>9603.2362861563197</v>
      </c>
      <c r="J69" s="80">
        <f t="shared" ca="1" si="42"/>
        <v>8600</v>
      </c>
      <c r="K69" s="80">
        <f t="shared" ca="1" si="43"/>
        <v>95.838124999999991</v>
      </c>
      <c r="L69" s="80">
        <f t="shared" ca="1" si="44"/>
        <v>907.39816115631902</v>
      </c>
      <c r="M69" s="82">
        <f t="shared" ca="1" si="45"/>
        <v>9603.2362861563197</v>
      </c>
      <c r="N69" s="1">
        <v>7324033</v>
      </c>
      <c r="O69" s="94" t="str">
        <f t="shared" si="46"/>
        <v>3ABE3B01-V</v>
      </c>
      <c r="P69" s="94" t="str">
        <f t="shared" si="47"/>
        <v>3ABE3B01-ae</v>
      </c>
      <c r="Q69" s="94" t="str">
        <f t="shared" si="48"/>
        <v>3ABE3B01-ak</v>
      </c>
    </row>
    <row r="70" spans="1:17">
      <c r="A70" s="220">
        <f t="shared" ca="1" si="5"/>
        <v>61</v>
      </c>
      <c r="B70" s="96" t="s">
        <v>708</v>
      </c>
      <c r="C70" s="83" t="s">
        <v>707</v>
      </c>
      <c r="D70" s="74" t="s">
        <v>9</v>
      </c>
      <c r="E70" s="206">
        <v>1</v>
      </c>
      <c r="F70" s="99">
        <f ca="1">_xlfn.XLOOKUP(O70,APU!$B$2:$B$10000,APU!$G$2:$G$10000,,0,1)</f>
        <v>132620</v>
      </c>
      <c r="G70" s="99">
        <f ca="1">_xlfn.XLOOKUP(P70,APU!$B$2:$B$10000,APU!$G$2:$G$10000,,0,1)</f>
        <v>9291.4249999999993</v>
      </c>
      <c r="H70" s="99">
        <f ca="1">_xlfn.XLOOKUP(Q70,APU!$B$2:$B$10000,APU!$G$2:$G$10000,,0,1)</f>
        <v>40832.917252034356</v>
      </c>
      <c r="I70" s="81">
        <f t="shared" ref="I70:I90" ca="1" si="49">+(F70+G70+H70)</f>
        <v>182744.34225203434</v>
      </c>
      <c r="J70" s="80">
        <f t="shared" ref="J70:J90" ca="1" si="50">+E70*F70</f>
        <v>132620</v>
      </c>
      <c r="K70" s="80">
        <f t="shared" ref="K70:K90" ca="1" si="51">+G70*E70</f>
        <v>9291.4249999999993</v>
      </c>
      <c r="L70" s="80">
        <f t="shared" ref="L70:L90" ca="1" si="52">+H70*E70</f>
        <v>40832.917252034356</v>
      </c>
      <c r="M70" s="82">
        <f t="shared" ref="M70:M90" ca="1" si="53">SUM(J70:L70)</f>
        <v>182744.34225203434</v>
      </c>
      <c r="N70" s="1">
        <v>5336323</v>
      </c>
      <c r="O70" s="94" t="str">
        <f t="shared" ref="O70:O91" si="54">_xlfn.CONCAT(B70,"V")</f>
        <v>663ACA1-V</v>
      </c>
      <c r="P70" s="94" t="str">
        <f t="shared" ref="P70:P91" si="55">_xlfn.CONCAT(B70,"ae")</f>
        <v>663ACA1-ae</v>
      </c>
      <c r="Q70" s="94" t="str">
        <f t="shared" ref="Q70:Q91" si="56">_xlfn.CONCAT(B70,"ak")</f>
        <v>663ACA1-ak</v>
      </c>
    </row>
    <row r="71" spans="1:17" ht="40.5">
      <c r="A71" s="220">
        <f t="shared" ca="1" si="5"/>
        <v>62</v>
      </c>
      <c r="B71" s="96" t="s">
        <v>711</v>
      </c>
      <c r="C71" s="83" t="s">
        <v>709</v>
      </c>
      <c r="D71" s="74" t="s">
        <v>710</v>
      </c>
      <c r="E71" s="206">
        <v>1</v>
      </c>
      <c r="F71" s="99">
        <f ca="1">_xlfn.XLOOKUP(O71,APU!$B$2:$B$10000,APU!$G$2:$G$10000,,0,1)</f>
        <v>340579.99</v>
      </c>
      <c r="G71" s="99">
        <f ca="1">_xlfn.XLOOKUP(P71,APU!$B$2:$B$10000,APU!$G$2:$G$10000,,0,1)</f>
        <v>3687.3312499999993</v>
      </c>
      <c r="H71" s="99">
        <f ca="1">_xlfn.XLOOKUP(Q71,APU!$B$2:$B$10000,APU!$G$2:$G$10000,,0,1)</f>
        <v>36295.926446252757</v>
      </c>
      <c r="I71" s="81">
        <f t="shared" ca="1" si="49"/>
        <v>380563.24769625271</v>
      </c>
      <c r="J71" s="80">
        <f t="shared" ca="1" si="50"/>
        <v>340579.99</v>
      </c>
      <c r="K71" s="80">
        <f t="shared" ca="1" si="51"/>
        <v>3687.3312499999993</v>
      </c>
      <c r="L71" s="80">
        <f t="shared" ca="1" si="52"/>
        <v>36295.926446252757</v>
      </c>
      <c r="M71" s="82">
        <f t="shared" ca="1" si="53"/>
        <v>380563.24769625271</v>
      </c>
      <c r="N71" s="1">
        <v>4658816</v>
      </c>
      <c r="O71" s="94" t="str">
        <f t="shared" si="54"/>
        <v>2895E0B2-V</v>
      </c>
      <c r="P71" s="94" t="str">
        <f t="shared" si="55"/>
        <v>2895E0B2-ae</v>
      </c>
      <c r="Q71" s="94" t="str">
        <f t="shared" si="56"/>
        <v>2895E0B2-ak</v>
      </c>
    </row>
    <row r="72" spans="1:17" ht="27">
      <c r="A72" s="220">
        <f t="shared" ca="1" si="5"/>
        <v>63</v>
      </c>
      <c r="B72" s="96" t="s">
        <v>717</v>
      </c>
      <c r="C72" s="83" t="s">
        <v>714</v>
      </c>
      <c r="D72" s="74" t="s">
        <v>9</v>
      </c>
      <c r="E72" s="206">
        <v>1</v>
      </c>
      <c r="F72" s="99">
        <f ca="1">_xlfn.XLOOKUP(O72,APU!$B$2:$B$10000,APU!$G$2:$G$10000,,0,1)</f>
        <v>1028258.6</v>
      </c>
      <c r="G72" s="99">
        <f ca="1">_xlfn.XLOOKUP(P72,APU!$B$2:$B$10000,APU!$G$2:$G$10000,,0,1)</f>
        <v>18160.512499999997</v>
      </c>
      <c r="H72" s="99">
        <f ca="1">_xlfn.XLOOKUP(Q72,APU!$B$2:$B$10000,APU!$G$2:$G$10000,,0,1)</f>
        <v>188535.75693945226</v>
      </c>
      <c r="I72" s="81">
        <f t="shared" ca="1" si="49"/>
        <v>1234954.8694394522</v>
      </c>
      <c r="J72" s="80">
        <f t="shared" ca="1" si="50"/>
        <v>1028258.6</v>
      </c>
      <c r="K72" s="80">
        <f t="shared" ca="1" si="51"/>
        <v>18160.512499999997</v>
      </c>
      <c r="L72" s="80">
        <f t="shared" ca="1" si="52"/>
        <v>188535.75693945226</v>
      </c>
      <c r="M72" s="82">
        <f t="shared" ca="1" si="53"/>
        <v>1234954.8694394522</v>
      </c>
      <c r="N72" s="1">
        <v>7675094</v>
      </c>
      <c r="O72" s="94" t="str">
        <f t="shared" si="54"/>
        <v>2218AB07-V</v>
      </c>
      <c r="P72" s="94" t="str">
        <f t="shared" si="55"/>
        <v>2218AB07-ae</v>
      </c>
      <c r="Q72" s="94" t="str">
        <f t="shared" si="56"/>
        <v>2218AB07-ak</v>
      </c>
    </row>
    <row r="73" spans="1:17">
      <c r="A73" s="220">
        <f t="shared" ca="1" si="5"/>
        <v>64</v>
      </c>
      <c r="B73" s="96" t="s">
        <v>725</v>
      </c>
      <c r="C73" s="83" t="s">
        <v>724</v>
      </c>
      <c r="D73" s="74" t="s">
        <v>7</v>
      </c>
      <c r="E73" s="206">
        <v>1</v>
      </c>
      <c r="F73" s="99">
        <f ca="1">_xlfn.XLOOKUP(O73,APU!$B$2:$B$10000,APU!$G$2:$G$10000,,0,1)</f>
        <v>44243.4</v>
      </c>
      <c r="G73" s="99">
        <f ca="1">_xlfn.XLOOKUP(P73,APU!$B$2:$B$10000,APU!$G$2:$G$10000,,0,1)</f>
        <v>1908.6406249999998</v>
      </c>
      <c r="H73" s="99">
        <f ca="1">_xlfn.XLOOKUP(Q73,APU!$B$2:$B$10000,APU!$G$2:$G$10000,,0,1)</f>
        <v>47940.763273531804</v>
      </c>
      <c r="I73" s="81">
        <f t="shared" ca="1" si="49"/>
        <v>94092.803898531798</v>
      </c>
      <c r="J73" s="80">
        <f t="shared" ca="1" si="50"/>
        <v>44243.4</v>
      </c>
      <c r="K73" s="80">
        <f t="shared" ca="1" si="51"/>
        <v>1908.6406249999998</v>
      </c>
      <c r="L73" s="80">
        <f t="shared" ca="1" si="52"/>
        <v>47940.763273531804</v>
      </c>
      <c r="M73" s="82">
        <f t="shared" ca="1" si="53"/>
        <v>94092.803898531798</v>
      </c>
      <c r="N73" s="1">
        <v>7288323</v>
      </c>
      <c r="O73" s="94" t="str">
        <f t="shared" si="54"/>
        <v>27BF3440-V</v>
      </c>
      <c r="P73" s="94" t="str">
        <f t="shared" si="55"/>
        <v>27BF3440-ae</v>
      </c>
      <c r="Q73" s="94" t="str">
        <f t="shared" si="56"/>
        <v>27BF3440-ak</v>
      </c>
    </row>
    <row r="74" spans="1:17" ht="40.5">
      <c r="A74" s="220">
        <f t="shared" ca="1" si="5"/>
        <v>65</v>
      </c>
      <c r="B74" s="96" t="s">
        <v>737</v>
      </c>
      <c r="C74" s="83" t="s">
        <v>736</v>
      </c>
      <c r="D74" s="74" t="s">
        <v>9</v>
      </c>
      <c r="E74" s="206">
        <v>4</v>
      </c>
      <c r="F74" s="99">
        <f ca="1">_xlfn.XLOOKUP(O74,APU!$B$2:$B$10000,APU!$G$2:$G$10000,,0,1)</f>
        <v>68034.649999999994</v>
      </c>
      <c r="G74" s="99">
        <f ca="1">_xlfn.XLOOKUP(P74,APU!$B$2:$B$10000,APU!$G$2:$G$10000,,0,1)</f>
        <v>2583.0059799999995</v>
      </c>
      <c r="H74" s="99">
        <f ca="1">_xlfn.XLOOKUP(Q74,APU!$B$2:$B$10000,APU!$G$2:$G$10000,,0,1)</f>
        <v>47940.763273531804</v>
      </c>
      <c r="I74" s="81">
        <f t="shared" ca="1" si="49"/>
        <v>118558.4192535318</v>
      </c>
      <c r="J74" s="80">
        <f t="shared" ca="1" si="50"/>
        <v>272138.59999999998</v>
      </c>
      <c r="K74" s="80">
        <f t="shared" ca="1" si="51"/>
        <v>10332.023919999998</v>
      </c>
      <c r="L74" s="80">
        <f t="shared" ca="1" si="52"/>
        <v>191763.05309412722</v>
      </c>
      <c r="M74" s="82">
        <f t="shared" ca="1" si="53"/>
        <v>474233.6770141272</v>
      </c>
      <c r="N74" s="1">
        <v>6490432</v>
      </c>
      <c r="O74" s="94" t="str">
        <f t="shared" si="54"/>
        <v>104A3C67-V</v>
      </c>
      <c r="P74" s="94" t="str">
        <f t="shared" si="55"/>
        <v>104A3C67-ae</v>
      </c>
      <c r="Q74" s="94" t="str">
        <f t="shared" si="56"/>
        <v>104A3C67-ak</v>
      </c>
    </row>
    <row r="75" spans="1:17" ht="40.5">
      <c r="A75" s="220">
        <f t="shared" ca="1" si="5"/>
        <v>66</v>
      </c>
      <c r="B75" s="96" t="s">
        <v>747</v>
      </c>
      <c r="C75" s="83" t="s">
        <v>744</v>
      </c>
      <c r="D75" s="74" t="s">
        <v>9</v>
      </c>
      <c r="E75" s="206">
        <v>6</v>
      </c>
      <c r="F75" s="99">
        <f ca="1">_xlfn.XLOOKUP(O75,APU!$B$2:$B$10000,APU!$G$2:$G$10000,,0,1)</f>
        <v>74204.649999999994</v>
      </c>
      <c r="G75" s="99">
        <f ca="1">_xlfn.XLOOKUP(P75,APU!$B$2:$B$10000,APU!$G$2:$G$10000,,0,1)</f>
        <v>2583.0059799999995</v>
      </c>
      <c r="H75" s="99">
        <f ca="1">_xlfn.XLOOKUP(Q75,APU!$B$2:$B$10000,APU!$G$2:$G$10000,,0,1)</f>
        <v>47940.763273531804</v>
      </c>
      <c r="I75" s="81">
        <f t="shared" ca="1" si="49"/>
        <v>124728.4192535318</v>
      </c>
      <c r="J75" s="80">
        <f t="shared" ca="1" si="50"/>
        <v>445227.89999999997</v>
      </c>
      <c r="K75" s="80">
        <f t="shared" ca="1" si="51"/>
        <v>15498.035879999996</v>
      </c>
      <c r="L75" s="80">
        <f t="shared" ca="1" si="52"/>
        <v>287644.57964119082</v>
      </c>
      <c r="M75" s="82">
        <f t="shared" ca="1" si="53"/>
        <v>748370.51552119083</v>
      </c>
      <c r="N75" s="1">
        <v>7791000</v>
      </c>
      <c r="O75" s="94" t="str">
        <f t="shared" si="54"/>
        <v>937EEB2-V</v>
      </c>
      <c r="P75" s="94" t="str">
        <f t="shared" si="55"/>
        <v>937EEB2-ae</v>
      </c>
      <c r="Q75" s="94" t="str">
        <f t="shared" si="56"/>
        <v>937EEB2-ak</v>
      </c>
    </row>
    <row r="76" spans="1:17" ht="15">
      <c r="A76" s="220">
        <f t="shared" ca="1" si="5"/>
        <v>67</v>
      </c>
      <c r="B76" s="96" t="s">
        <v>759</v>
      </c>
      <c r="C76" s="237" t="s">
        <v>748</v>
      </c>
      <c r="D76" s="74" t="s">
        <v>7</v>
      </c>
      <c r="E76" s="206">
        <v>18</v>
      </c>
      <c r="F76" s="99">
        <f ca="1">_xlfn.XLOOKUP(O76,APU!$B$2:$B$10000,APU!$G$2:$G$10000,,0,1)</f>
        <v>7182.0000000000009</v>
      </c>
      <c r="G76" s="99">
        <f ca="1">_xlfn.XLOOKUP(P76,APU!$B$2:$B$10000,APU!$G$2:$G$10000,,0,1)</f>
        <v>42.469919999999995</v>
      </c>
      <c r="H76" s="99">
        <f ca="1">_xlfn.XLOOKUP(Q76,APU!$B$2:$B$10000,APU!$G$2:$G$10000,,0,1)</f>
        <v>9981.3797727195088</v>
      </c>
      <c r="I76" s="81">
        <f t="shared" ca="1" si="49"/>
        <v>17205.849692719508</v>
      </c>
      <c r="J76" s="80">
        <f t="shared" ca="1" si="50"/>
        <v>129276.00000000001</v>
      </c>
      <c r="K76" s="80">
        <f t="shared" ca="1" si="51"/>
        <v>764.45855999999992</v>
      </c>
      <c r="L76" s="80">
        <f t="shared" ca="1" si="52"/>
        <v>179664.83590895115</v>
      </c>
      <c r="M76" s="82">
        <f t="shared" ca="1" si="53"/>
        <v>309705.29446895118</v>
      </c>
      <c r="N76" s="1">
        <v>9790031</v>
      </c>
      <c r="O76" s="94" t="str">
        <f t="shared" si="54"/>
        <v>3A4A8F88-V</v>
      </c>
      <c r="P76" s="94" t="str">
        <f t="shared" si="55"/>
        <v>3A4A8F88-ae</v>
      </c>
      <c r="Q76" s="94" t="str">
        <f t="shared" si="56"/>
        <v>3A4A8F88-ak</v>
      </c>
    </row>
    <row r="77" spans="1:17" ht="27">
      <c r="A77" s="220">
        <f t="shared" ref="A77:A152" ca="1" si="57">1+A76</f>
        <v>68</v>
      </c>
      <c r="B77" s="96" t="s">
        <v>750</v>
      </c>
      <c r="C77" s="83" t="s">
        <v>749</v>
      </c>
      <c r="D77" s="74" t="s">
        <v>7</v>
      </c>
      <c r="E77" s="206">
        <v>80</v>
      </c>
      <c r="F77" s="99">
        <f ca="1">_xlfn.XLOOKUP(O77,APU!$B$2:$B$10000,APU!$G$2:$G$10000,,0,1)</f>
        <v>2347</v>
      </c>
      <c r="G77" s="99">
        <f ca="1">_xlfn.XLOOKUP(P77,APU!$B$2:$B$10000,APU!$G$2:$G$10000,,0,1)</f>
        <v>607.5162499999999</v>
      </c>
      <c r="H77" s="99">
        <f ca="1">_xlfn.XLOOKUP(Q77,APU!$B$2:$B$10000,APU!$G$2:$G$10000,,0,1)</f>
        <v>2722.1944834689566</v>
      </c>
      <c r="I77" s="81">
        <f t="shared" ca="1" si="49"/>
        <v>5676.7107334689563</v>
      </c>
      <c r="J77" s="80">
        <f t="shared" ca="1" si="50"/>
        <v>187760</v>
      </c>
      <c r="K77" s="80">
        <f t="shared" ca="1" si="51"/>
        <v>48601.299999999988</v>
      </c>
      <c r="L77" s="80">
        <f t="shared" ca="1" si="52"/>
        <v>217775.55867751653</v>
      </c>
      <c r="M77" s="82">
        <f t="shared" ca="1" si="53"/>
        <v>454136.85867751652</v>
      </c>
      <c r="N77" s="1">
        <v>7163076</v>
      </c>
      <c r="O77" s="94" t="str">
        <f t="shared" si="54"/>
        <v>339E8F9E-V</v>
      </c>
      <c r="P77" s="94" t="str">
        <f t="shared" si="55"/>
        <v>339E8F9E-ae</v>
      </c>
      <c r="Q77" s="94" t="str">
        <f t="shared" si="56"/>
        <v>339E8F9E-ak</v>
      </c>
    </row>
    <row r="78" spans="1:17">
      <c r="A78" s="220">
        <f t="shared" ca="1" si="57"/>
        <v>69</v>
      </c>
      <c r="B78" s="96" t="s">
        <v>760</v>
      </c>
      <c r="C78" s="238" t="s">
        <v>761</v>
      </c>
      <c r="D78" s="74" t="s">
        <v>7</v>
      </c>
      <c r="E78" s="206">
        <v>8</v>
      </c>
      <c r="F78" s="99">
        <f ca="1">_xlfn.XLOOKUP(O78,APU!$B$2:$B$10000,APU!$G$2:$G$10000,,0,1)</f>
        <v>10463</v>
      </c>
      <c r="G78" s="99">
        <f ca="1">_xlfn.XLOOKUP(P78,APU!$B$2:$B$10000,APU!$G$2:$G$10000,,0,1)</f>
        <v>42.469919999999995</v>
      </c>
      <c r="H78" s="99">
        <f ca="1">_xlfn.XLOOKUP(Q78,APU!$B$2:$B$10000,APU!$G$2:$G$10000,,0,1)</f>
        <v>14518.370578501104</v>
      </c>
      <c r="I78" s="81">
        <f t="shared" ca="1" si="49"/>
        <v>25023.840498501104</v>
      </c>
      <c r="J78" s="80">
        <f t="shared" ca="1" si="50"/>
        <v>83704</v>
      </c>
      <c r="K78" s="80">
        <f t="shared" ca="1" si="51"/>
        <v>339.75935999999996</v>
      </c>
      <c r="L78" s="80">
        <f t="shared" ca="1" si="52"/>
        <v>116146.96462800883</v>
      </c>
      <c r="M78" s="82">
        <f t="shared" ca="1" si="53"/>
        <v>200190.72398800883</v>
      </c>
      <c r="N78" s="1">
        <v>6897236</v>
      </c>
      <c r="O78" s="94" t="str">
        <f t="shared" si="54"/>
        <v>2F9A9059-V</v>
      </c>
      <c r="P78" s="94" t="str">
        <f t="shared" si="55"/>
        <v>2F9A9059-ae</v>
      </c>
      <c r="Q78" s="94" t="str">
        <f t="shared" si="56"/>
        <v>2F9A9059-ak</v>
      </c>
    </row>
    <row r="79" spans="1:17">
      <c r="A79" s="220">
        <f t="shared" ca="1" si="57"/>
        <v>70</v>
      </c>
      <c r="B79" s="96" t="s">
        <v>771</v>
      </c>
      <c r="C79" s="83" t="s">
        <v>770</v>
      </c>
      <c r="D79" s="74" t="s">
        <v>9</v>
      </c>
      <c r="E79" s="206">
        <v>8</v>
      </c>
      <c r="F79" s="99">
        <f ca="1">_xlfn.XLOOKUP(O79,APU!$B$2:$B$10000,APU!$G$2:$G$10000,,0,1)</f>
        <v>45215</v>
      </c>
      <c r="G79" s="99">
        <f ca="1">_xlfn.XLOOKUP(P79,APU!$B$2:$B$10000,APU!$G$2:$G$10000,,0,1)</f>
        <v>42.469919999999995</v>
      </c>
      <c r="H79" s="99">
        <f ca="1">_xlfn.XLOOKUP(Q79,APU!$B$2:$B$10000,APU!$G$2:$G$10000,,0,1)</f>
        <v>7259.1852892505522</v>
      </c>
      <c r="I79" s="81">
        <f t="shared" ca="1" si="49"/>
        <v>52516.655209250559</v>
      </c>
      <c r="J79" s="80">
        <f t="shared" ca="1" si="50"/>
        <v>361720</v>
      </c>
      <c r="K79" s="80">
        <f t="shared" ca="1" si="51"/>
        <v>339.75935999999996</v>
      </c>
      <c r="L79" s="80">
        <f t="shared" ca="1" si="52"/>
        <v>58073.482314004417</v>
      </c>
      <c r="M79" s="82">
        <f t="shared" ca="1" si="53"/>
        <v>420133.24167400447</v>
      </c>
      <c r="N79" s="1">
        <v>4996182</v>
      </c>
      <c r="O79" s="94" t="str">
        <f t="shared" si="54"/>
        <v>25DF6E95-V</v>
      </c>
      <c r="P79" s="94" t="str">
        <f t="shared" si="55"/>
        <v>25DF6E95-ae</v>
      </c>
      <c r="Q79" s="94" t="str">
        <f t="shared" si="56"/>
        <v>25DF6E95-ak</v>
      </c>
    </row>
    <row r="80" spans="1:17">
      <c r="A80" s="220">
        <f t="shared" ca="1" si="57"/>
        <v>71</v>
      </c>
      <c r="B80" s="96" t="s">
        <v>775</v>
      </c>
      <c r="C80" s="83" t="s">
        <v>774</v>
      </c>
      <c r="D80" s="74" t="s">
        <v>9</v>
      </c>
      <c r="E80" s="206">
        <v>1</v>
      </c>
      <c r="F80" s="99">
        <f ca="1">_xlfn.XLOOKUP(O80,APU!$B$2:$B$10000,APU!$G$2:$G$10000,,0,1)</f>
        <v>56330</v>
      </c>
      <c r="G80" s="99">
        <f ca="1">_xlfn.XLOOKUP(P80,APU!$B$2:$B$10000,APU!$G$2:$G$10000,,0,1)</f>
        <v>2171.7893749999994</v>
      </c>
      <c r="H80" s="99">
        <f ca="1">_xlfn.XLOOKUP(Q80,APU!$B$2:$B$10000,APU!$G$2:$G$10000,,0,1)</f>
        <v>22684.954028907974</v>
      </c>
      <c r="I80" s="81">
        <f t="shared" ca="1" si="49"/>
        <v>81186.743403907982</v>
      </c>
      <c r="J80" s="80">
        <f t="shared" ca="1" si="50"/>
        <v>56330</v>
      </c>
      <c r="K80" s="80">
        <f t="shared" ca="1" si="51"/>
        <v>2171.7893749999994</v>
      </c>
      <c r="L80" s="80">
        <f t="shared" ca="1" si="52"/>
        <v>22684.954028907974</v>
      </c>
      <c r="M80" s="82">
        <f t="shared" ca="1" si="53"/>
        <v>81186.743403907982</v>
      </c>
      <c r="N80" s="6">
        <v>8093942</v>
      </c>
      <c r="O80" s="94" t="str">
        <f t="shared" si="54"/>
        <v>378AC041-V</v>
      </c>
      <c r="P80" s="94" t="str">
        <f t="shared" si="55"/>
        <v>378AC041-ae</v>
      </c>
      <c r="Q80" s="94" t="str">
        <f t="shared" si="56"/>
        <v>378AC041-ak</v>
      </c>
    </row>
    <row r="81" spans="1:17" ht="27">
      <c r="A81" s="220">
        <f t="shared" ca="1" si="57"/>
        <v>72</v>
      </c>
      <c r="B81" s="96" t="s">
        <v>781</v>
      </c>
      <c r="C81" s="83" t="s">
        <v>778</v>
      </c>
      <c r="D81" s="74" t="s">
        <v>9</v>
      </c>
      <c r="E81" s="206">
        <v>1</v>
      </c>
      <c r="F81" s="99">
        <f ca="1">_xlfn.XLOOKUP(O81,APU!$B$2:$B$10000,APU!$G$2:$G$10000,,0,1)</f>
        <v>165630</v>
      </c>
      <c r="G81" s="99">
        <f ca="1">_xlfn.XLOOKUP(P81,APU!$B$2:$B$10000,APU!$G$2:$G$10000,,0,1)</f>
        <v>4187.3279999999995</v>
      </c>
      <c r="H81" s="99">
        <f ca="1">_xlfn.XLOOKUP(Q81,APU!$B$2:$B$10000,APU!$G$2:$G$10000,,0,1)</f>
        <v>72591.852892505514</v>
      </c>
      <c r="I81" s="81">
        <f t="shared" ca="1" si="49"/>
        <v>242409.18089250551</v>
      </c>
      <c r="J81" s="80">
        <f t="shared" ca="1" si="50"/>
        <v>165630</v>
      </c>
      <c r="K81" s="80">
        <f t="shared" ca="1" si="51"/>
        <v>4187.3279999999995</v>
      </c>
      <c r="L81" s="80">
        <f t="shared" ca="1" si="52"/>
        <v>72591.852892505514</v>
      </c>
      <c r="M81" s="82">
        <f t="shared" ca="1" si="53"/>
        <v>242409.18089250551</v>
      </c>
      <c r="N81" s="1">
        <v>9618949</v>
      </c>
      <c r="O81" s="94" t="str">
        <f t="shared" si="54"/>
        <v>39B9C89B-V</v>
      </c>
      <c r="P81" s="94" t="str">
        <f t="shared" si="55"/>
        <v>39B9C89B-ae</v>
      </c>
      <c r="Q81" s="94" t="str">
        <f t="shared" si="56"/>
        <v>39B9C89B-ak</v>
      </c>
    </row>
    <row r="82" spans="1:17" ht="27">
      <c r="A82" s="220">
        <f t="shared" ca="1" si="57"/>
        <v>73</v>
      </c>
      <c r="B82" s="96" t="s">
        <v>791</v>
      </c>
      <c r="C82" s="83" t="s">
        <v>782</v>
      </c>
      <c r="D82" s="74" t="s">
        <v>9</v>
      </c>
      <c r="E82" s="206">
        <v>1</v>
      </c>
      <c r="F82" s="99">
        <f ca="1">_xlfn.XLOOKUP(O82,APU!$B$2:$B$10000,APU!$G$2:$G$10000,,0,1)</f>
        <v>149460</v>
      </c>
      <c r="G82" s="99">
        <f ca="1">_xlfn.XLOOKUP(P82,APU!$B$2:$B$10000,APU!$G$2:$G$10000,,0,1)</f>
        <v>13716.956999999999</v>
      </c>
      <c r="H82" s="99">
        <f ca="1">_xlfn.XLOOKUP(Q82,APU!$B$2:$B$10000,APU!$G$2:$G$10000,,0,1)</f>
        <v>36295.926446252757</v>
      </c>
      <c r="I82" s="81">
        <f t="shared" ref="I82:I87" ca="1" si="58">+(F82+G82+H82)</f>
        <v>199472.88344625276</v>
      </c>
      <c r="J82" s="80">
        <f t="shared" ref="J82:J87" ca="1" si="59">+E82*F82</f>
        <v>149460</v>
      </c>
      <c r="K82" s="80">
        <f t="shared" ref="K82:K87" ca="1" si="60">+G82*E82</f>
        <v>13716.956999999999</v>
      </c>
      <c r="L82" s="80">
        <f t="shared" ref="L82:L87" ca="1" si="61">+H82*E82</f>
        <v>36295.926446252757</v>
      </c>
      <c r="M82" s="82">
        <f t="shared" ref="M82:M87" ca="1" si="62">SUM(J82:L82)</f>
        <v>199472.88344625276</v>
      </c>
      <c r="N82" s="1">
        <v>9948305</v>
      </c>
      <c r="O82" s="94" t="str">
        <f t="shared" ref="O82:O87" si="63">_xlfn.CONCAT(B82,"V")</f>
        <v>9AF4241-V</v>
      </c>
      <c r="P82" s="94" t="str">
        <f t="shared" ref="P82:P87" si="64">_xlfn.CONCAT(B82,"ae")</f>
        <v>9AF4241-ae</v>
      </c>
      <c r="Q82" s="94" t="str">
        <f t="shared" ref="Q82:Q87" si="65">_xlfn.CONCAT(B82,"ak")</f>
        <v>9AF4241-ak</v>
      </c>
    </row>
    <row r="83" spans="1:17">
      <c r="A83" s="220">
        <f t="shared" ca="1" si="57"/>
        <v>74</v>
      </c>
      <c r="B83" s="96" t="s">
        <v>583</v>
      </c>
      <c r="C83" s="83" t="s">
        <v>582</v>
      </c>
      <c r="D83" s="74" t="s">
        <v>7</v>
      </c>
      <c r="E83" s="206">
        <v>2</v>
      </c>
      <c r="F83" s="99">
        <f ca="1">_xlfn.XLOOKUP(O83,APU!$B$2:$B$10000,APU!$G$2:$G$10000,,0,1)</f>
        <v>15759.65</v>
      </c>
      <c r="G83" s="99">
        <f ca="1">_xlfn.XLOOKUP(P83,APU!$B$2:$B$10000,APU!$G$2:$G$10000,,0,1)</f>
        <v>1591.8874999999998</v>
      </c>
      <c r="H83" s="99">
        <f ca="1">_xlfn.XLOOKUP(Q83,APU!$B$2:$B$10000,APU!$G$2:$G$10000,,0,1)</f>
        <v>15425.768739657424</v>
      </c>
      <c r="I83" s="81">
        <f t="shared" ca="1" si="58"/>
        <v>32777.306239657424</v>
      </c>
      <c r="J83" s="80">
        <f t="shared" ca="1" si="59"/>
        <v>31519.3</v>
      </c>
      <c r="K83" s="80">
        <f t="shared" ca="1" si="60"/>
        <v>3183.7749999999996</v>
      </c>
      <c r="L83" s="80">
        <f t="shared" ca="1" si="61"/>
        <v>30851.537479314848</v>
      </c>
      <c r="M83" s="82">
        <f t="shared" ca="1" si="62"/>
        <v>65554.612479314848</v>
      </c>
      <c r="O83" s="94" t="str">
        <f t="shared" si="63"/>
        <v>20D1A895-V</v>
      </c>
      <c r="P83" s="94" t="str">
        <f t="shared" si="64"/>
        <v>20D1A895-ae</v>
      </c>
      <c r="Q83" s="94" t="str">
        <f t="shared" si="65"/>
        <v>20D1A895-ak</v>
      </c>
    </row>
    <row r="84" spans="1:17" ht="27">
      <c r="A84" s="220">
        <f t="shared" ca="1" si="57"/>
        <v>75</v>
      </c>
      <c r="B84" s="96" t="s">
        <v>795</v>
      </c>
      <c r="C84" s="83" t="s">
        <v>792</v>
      </c>
      <c r="D84" s="74" t="s">
        <v>9</v>
      </c>
      <c r="E84" s="206">
        <v>1</v>
      </c>
      <c r="F84" s="99">
        <f ca="1">_xlfn.XLOOKUP(O84,APU!$B$2:$B$10000,APU!$G$2:$G$10000,,0,1)</f>
        <v>91700</v>
      </c>
      <c r="G84" s="99">
        <f ca="1">_xlfn.XLOOKUP(P84,APU!$B$2:$B$10000,APU!$G$2:$G$10000,,0,1)</f>
        <v>5198</v>
      </c>
      <c r="H84" s="99">
        <f ca="1">_xlfn.XLOOKUP(Q84,APU!$B$2:$B$10000,APU!$G$2:$G$10000,,0,1)</f>
        <v>19962.759545439018</v>
      </c>
      <c r="I84" s="81">
        <f t="shared" ca="1" si="58"/>
        <v>116860.75954543901</v>
      </c>
      <c r="J84" s="80">
        <f t="shared" ca="1" si="59"/>
        <v>91700</v>
      </c>
      <c r="K84" s="80">
        <f t="shared" ca="1" si="60"/>
        <v>5198</v>
      </c>
      <c r="L84" s="80">
        <f t="shared" ca="1" si="61"/>
        <v>19962.759545439018</v>
      </c>
      <c r="M84" s="82">
        <f t="shared" ca="1" si="62"/>
        <v>116860.75954543901</v>
      </c>
      <c r="N84" s="1">
        <v>7292012</v>
      </c>
      <c r="O84" s="94" t="str">
        <f t="shared" si="63"/>
        <v>1213F85F-V</v>
      </c>
      <c r="P84" s="94" t="str">
        <f t="shared" si="64"/>
        <v>1213F85F-ae</v>
      </c>
      <c r="Q84" s="94" t="str">
        <f t="shared" si="65"/>
        <v>1213F85F-ak</v>
      </c>
    </row>
    <row r="85" spans="1:17" ht="27">
      <c r="A85" s="220">
        <f t="shared" ca="1" si="57"/>
        <v>76</v>
      </c>
      <c r="B85" s="96" t="s">
        <v>797</v>
      </c>
      <c r="C85" s="83" t="s">
        <v>796</v>
      </c>
      <c r="D85" s="74" t="s">
        <v>9</v>
      </c>
      <c r="E85" s="206">
        <v>1</v>
      </c>
      <c r="F85" s="99">
        <f ca="1">_xlfn.XLOOKUP(O85,APU!$B$2:$B$10000,APU!$G$2:$G$10000,,0,1)</f>
        <v>80630</v>
      </c>
      <c r="G85" s="99">
        <f ca="1">_xlfn.XLOOKUP(P85,APU!$B$2:$B$10000,APU!$G$2:$G$10000,,0,1)</f>
        <v>3151.2874999999995</v>
      </c>
      <c r="H85" s="99">
        <f ca="1">_xlfn.XLOOKUP(Q85,APU!$B$2:$B$10000,APU!$G$2:$G$10000,,0,1)</f>
        <v>18147.963223126379</v>
      </c>
      <c r="I85" s="81">
        <f t="shared" ca="1" si="58"/>
        <v>101929.25072312639</v>
      </c>
      <c r="J85" s="80">
        <f t="shared" ca="1" si="59"/>
        <v>80630</v>
      </c>
      <c r="K85" s="80">
        <f t="shared" ca="1" si="60"/>
        <v>3151.2874999999995</v>
      </c>
      <c r="L85" s="80">
        <f t="shared" ca="1" si="61"/>
        <v>18147.963223126379</v>
      </c>
      <c r="M85" s="82">
        <f t="shared" ca="1" si="62"/>
        <v>101929.25072312639</v>
      </c>
      <c r="N85" s="1">
        <v>5964993</v>
      </c>
      <c r="O85" s="94" t="str">
        <f t="shared" si="63"/>
        <v>20FAFD0A-V</v>
      </c>
      <c r="P85" s="94" t="str">
        <f t="shared" si="64"/>
        <v>20FAFD0A-ae</v>
      </c>
      <c r="Q85" s="94" t="str">
        <f t="shared" si="65"/>
        <v>20FAFD0A-ak</v>
      </c>
    </row>
    <row r="86" spans="1:17" ht="27">
      <c r="A86" s="220">
        <f t="shared" ca="1" si="57"/>
        <v>77</v>
      </c>
      <c r="B86" s="96" t="s">
        <v>801</v>
      </c>
      <c r="C86" s="83" t="s">
        <v>800</v>
      </c>
      <c r="D86" s="74" t="s">
        <v>9</v>
      </c>
      <c r="E86" s="206">
        <v>9</v>
      </c>
      <c r="F86" s="99">
        <f ca="1">_xlfn.XLOOKUP(O86,APU!$B$2:$B$10000,APU!$G$2:$G$10000,,0,1)</f>
        <v>59833.333333333328</v>
      </c>
      <c r="G86" s="99">
        <f ca="1">_xlfn.XLOOKUP(P86,APU!$B$2:$B$10000,APU!$G$2:$G$10000,,0,1)</f>
        <v>1689.35</v>
      </c>
      <c r="H86" s="99">
        <f ca="1">_xlfn.XLOOKUP(Q86,APU!$B$2:$B$10000,APU!$G$2:$G$10000,,0,1)</f>
        <v>31758.935640471162</v>
      </c>
      <c r="I86" s="81">
        <f t="shared" ca="1" si="58"/>
        <v>93281.618973804492</v>
      </c>
      <c r="J86" s="80">
        <f t="shared" ca="1" si="59"/>
        <v>538500</v>
      </c>
      <c r="K86" s="80">
        <f t="shared" ca="1" si="60"/>
        <v>15204.15</v>
      </c>
      <c r="L86" s="80">
        <f t="shared" ca="1" si="61"/>
        <v>285830.42076424044</v>
      </c>
      <c r="M86" s="82">
        <f t="shared" ca="1" si="62"/>
        <v>839534.57076424046</v>
      </c>
      <c r="N86" s="1">
        <v>8580222</v>
      </c>
      <c r="O86" s="94" t="str">
        <f t="shared" si="63"/>
        <v>3326CB28-V</v>
      </c>
      <c r="P86" s="94" t="str">
        <f t="shared" si="64"/>
        <v>3326CB28-ae</v>
      </c>
      <c r="Q86" s="94" t="str">
        <f t="shared" si="65"/>
        <v>3326CB28-ak</v>
      </c>
    </row>
    <row r="87" spans="1:17" ht="27">
      <c r="A87" s="220">
        <f t="shared" ca="1" si="57"/>
        <v>78</v>
      </c>
      <c r="B87" s="96" t="s">
        <v>811</v>
      </c>
      <c r="C87" s="83" t="s">
        <v>810</v>
      </c>
      <c r="D87" s="74" t="s">
        <v>9</v>
      </c>
      <c r="E87" s="206">
        <v>9</v>
      </c>
      <c r="F87" s="99">
        <f ca="1">_xlfn.XLOOKUP(O87,APU!$B$2:$B$10000,APU!$G$2:$G$10000,,0,1)</f>
        <v>11860</v>
      </c>
      <c r="G87" s="99">
        <f ca="1">_xlfn.XLOOKUP(P87,APU!$B$2:$B$10000,APU!$G$2:$G$10000,,0,1)</f>
        <v>484.06374999999991</v>
      </c>
      <c r="H87" s="99">
        <f ca="1">_xlfn.XLOOKUP(Q87,APU!$B$2:$B$10000,APU!$G$2:$G$10000,,0,1)</f>
        <v>5444.3889669379132</v>
      </c>
      <c r="I87" s="81">
        <f t="shared" ca="1" si="58"/>
        <v>17788.452716937914</v>
      </c>
      <c r="J87" s="80">
        <f t="shared" ca="1" si="59"/>
        <v>106740</v>
      </c>
      <c r="K87" s="80">
        <f t="shared" ca="1" si="60"/>
        <v>4356.5737499999996</v>
      </c>
      <c r="L87" s="80">
        <f t="shared" ca="1" si="61"/>
        <v>48999.500702441219</v>
      </c>
      <c r="M87" s="82">
        <f t="shared" ca="1" si="62"/>
        <v>160096.07445244121</v>
      </c>
      <c r="N87" s="1">
        <v>3885829</v>
      </c>
      <c r="O87" s="94" t="str">
        <f t="shared" si="63"/>
        <v>3A2ACF82-V</v>
      </c>
      <c r="P87" s="94" t="str">
        <f t="shared" si="64"/>
        <v>3A2ACF82-ae</v>
      </c>
      <c r="Q87" s="94" t="str">
        <f t="shared" si="65"/>
        <v>3A2ACF82-ak</v>
      </c>
    </row>
    <row r="88" spans="1:17">
      <c r="A88" s="220">
        <f t="shared" ca="1" si="57"/>
        <v>79</v>
      </c>
      <c r="B88" s="96" t="s">
        <v>813</v>
      </c>
      <c r="C88" s="83" t="s">
        <v>812</v>
      </c>
      <c r="D88" s="74" t="s">
        <v>7</v>
      </c>
      <c r="E88" s="206">
        <v>2</v>
      </c>
      <c r="F88" s="99">
        <f ca="1">_xlfn.XLOOKUP(O88,APU!$B$2:$B$10000,APU!$G$2:$G$10000,,0,1)</f>
        <v>18934</v>
      </c>
      <c r="G88" s="99">
        <f ca="1">_xlfn.XLOOKUP(P88,APU!$B$2:$B$10000,APU!$G$2:$G$10000,,0,1)</f>
        <v>1908.6406249999998</v>
      </c>
      <c r="H88" s="99">
        <f ca="1">_xlfn.XLOOKUP(Q88,APU!$B$2:$B$10000,APU!$G$2:$G$10000,,0,1)</f>
        <v>24398.857506051878</v>
      </c>
      <c r="I88" s="81">
        <f t="shared" ca="1" si="49"/>
        <v>45241.498131051878</v>
      </c>
      <c r="J88" s="80">
        <f t="shared" ca="1" si="50"/>
        <v>37868</v>
      </c>
      <c r="K88" s="80">
        <f t="shared" ca="1" si="51"/>
        <v>3817.2812499999995</v>
      </c>
      <c r="L88" s="80">
        <f t="shared" ca="1" si="52"/>
        <v>48797.715012103756</v>
      </c>
      <c r="M88" s="82">
        <f t="shared" ca="1" si="53"/>
        <v>90482.996262103756</v>
      </c>
      <c r="N88" s="1">
        <v>6028642</v>
      </c>
      <c r="O88" s="94" t="str">
        <f t="shared" si="54"/>
        <v>15F46B82-V</v>
      </c>
      <c r="P88" s="94" t="str">
        <f t="shared" si="55"/>
        <v>15F46B82-ae</v>
      </c>
      <c r="Q88" s="94" t="str">
        <f t="shared" si="56"/>
        <v>15F46B82-ak</v>
      </c>
    </row>
    <row r="89" spans="1:17" ht="27">
      <c r="A89" s="220">
        <f t="shared" ca="1" si="57"/>
        <v>80</v>
      </c>
      <c r="B89" s="96" t="s">
        <v>831</v>
      </c>
      <c r="C89" s="83" t="s">
        <v>823</v>
      </c>
      <c r="D89" s="74" t="s">
        <v>9</v>
      </c>
      <c r="E89" s="206">
        <v>4</v>
      </c>
      <c r="F89" s="99">
        <f ca="1">_xlfn.XLOOKUP(O89,APU!$B$2:$B$10000,APU!$G$2:$G$10000,,0,1)</f>
        <v>125403.66666666666</v>
      </c>
      <c r="G89" s="99">
        <f ca="1">_xlfn.XLOOKUP(P89,APU!$B$2:$B$10000,APU!$G$2:$G$10000,,0,1)</f>
        <v>1689.35</v>
      </c>
      <c r="H89" s="99">
        <f ca="1">_xlfn.XLOOKUP(Q89,APU!$B$2:$B$10000,APU!$G$2:$G$10000,,0,1)</f>
        <v>45369.908057815948</v>
      </c>
      <c r="I89" s="81">
        <f ca="1">+(F89+G89+H89)</f>
        <v>172462.92472448261</v>
      </c>
      <c r="J89" s="80">
        <f ca="1">+E89*F89</f>
        <v>501614.66666666663</v>
      </c>
      <c r="K89" s="80">
        <f ca="1">+G89*E89</f>
        <v>6757.4</v>
      </c>
      <c r="L89" s="80">
        <f ca="1">+H89*E89</f>
        <v>181479.63223126379</v>
      </c>
      <c r="M89" s="82">
        <f ca="1">SUM(J89:L89)</f>
        <v>689851.69889793044</v>
      </c>
      <c r="N89" s="1">
        <v>9910487</v>
      </c>
      <c r="O89" s="94" t="str">
        <f t="shared" si="54"/>
        <v>3141EA9A-V</v>
      </c>
      <c r="P89" s="94" t="str">
        <f t="shared" si="55"/>
        <v>3141EA9A-ae</v>
      </c>
      <c r="Q89" s="94" t="str">
        <f t="shared" si="56"/>
        <v>3141EA9A-ak</v>
      </c>
    </row>
    <row r="90" spans="1:17">
      <c r="A90" s="220">
        <f t="shared" ca="1" si="57"/>
        <v>81</v>
      </c>
      <c r="B90" s="96" t="s">
        <v>833</v>
      </c>
      <c r="C90" s="83" t="s">
        <v>832</v>
      </c>
      <c r="D90" s="74" t="s">
        <v>7</v>
      </c>
      <c r="E90" s="206">
        <v>2</v>
      </c>
      <c r="F90" s="99">
        <f ca="1">_xlfn.XLOOKUP(O90,APU!$B$2:$B$10000,APU!$G$2:$G$10000,,0,1)</f>
        <v>35389.700000000004</v>
      </c>
      <c r="G90" s="99">
        <f ca="1">_xlfn.XLOOKUP(P90,APU!$B$2:$B$10000,APU!$G$2:$G$10000,,0,1)</f>
        <v>1908.6406249999998</v>
      </c>
      <c r="H90" s="99">
        <f ca="1">_xlfn.XLOOKUP(Q90,APU!$B$2:$B$10000,APU!$G$2:$G$10000,,0,1)</f>
        <v>38866.781661968613</v>
      </c>
      <c r="I90" s="81">
        <f t="shared" ca="1" si="49"/>
        <v>76165.122286968617</v>
      </c>
      <c r="J90" s="80">
        <f t="shared" ca="1" si="50"/>
        <v>70779.400000000009</v>
      </c>
      <c r="K90" s="80">
        <f t="shared" ca="1" si="51"/>
        <v>3817.2812499999995</v>
      </c>
      <c r="L90" s="80">
        <f t="shared" ca="1" si="52"/>
        <v>77733.563323937226</v>
      </c>
      <c r="M90" s="82">
        <f t="shared" ca="1" si="53"/>
        <v>152330.24457393723</v>
      </c>
      <c r="N90" s="1">
        <v>9760613</v>
      </c>
      <c r="O90" s="94" t="str">
        <f t="shared" si="54"/>
        <v>16597CEC-V</v>
      </c>
      <c r="P90" s="94" t="str">
        <f t="shared" si="55"/>
        <v>16597CEC-ae</v>
      </c>
      <c r="Q90" s="94" t="str">
        <f t="shared" si="56"/>
        <v>16597CEC-ak</v>
      </c>
    </row>
    <row r="91" spans="1:17">
      <c r="A91" s="220">
        <f t="shared" ca="1" si="57"/>
        <v>82</v>
      </c>
      <c r="B91" s="96" t="s">
        <v>760</v>
      </c>
      <c r="C91" s="83" t="s">
        <v>761</v>
      </c>
      <c r="D91" s="74" t="s">
        <v>7</v>
      </c>
      <c r="E91" s="206">
        <v>8</v>
      </c>
      <c r="F91" s="99">
        <f ca="1">_xlfn.XLOOKUP(O91,APU!$B$2:$B$10000,APU!$G$2:$G$10000,,0,1)</f>
        <v>10463</v>
      </c>
      <c r="G91" s="99">
        <f ca="1">_xlfn.XLOOKUP(P91,APU!$B$2:$B$10000,APU!$G$2:$G$10000,,0,1)</f>
        <v>42.469919999999995</v>
      </c>
      <c r="H91" s="99">
        <f ca="1">_xlfn.XLOOKUP(Q91,APU!$B$2:$B$10000,APU!$G$2:$G$10000,,0,1)</f>
        <v>14518.370578501104</v>
      </c>
      <c r="I91" s="81">
        <f t="shared" ref="I91:I101" ca="1" si="66">+(F91+G91+H91)</f>
        <v>25023.840498501104</v>
      </c>
      <c r="J91" s="80">
        <f t="shared" ref="J91:J101" ca="1" si="67">+E91*F91</f>
        <v>83704</v>
      </c>
      <c r="K91" s="80">
        <f t="shared" ref="K91:K101" ca="1" si="68">+G91*E91</f>
        <v>339.75935999999996</v>
      </c>
      <c r="L91" s="80">
        <f t="shared" ref="L91:L101" ca="1" si="69">+H91*E91</f>
        <v>116146.96462800883</v>
      </c>
      <c r="M91" s="82">
        <f t="shared" ref="M91:M101" ca="1" si="70">SUM(J91:L91)</f>
        <v>200190.72398800883</v>
      </c>
      <c r="N91" s="1">
        <v>5945355</v>
      </c>
      <c r="O91" s="94" t="str">
        <f t="shared" si="54"/>
        <v>2F9A9059-V</v>
      </c>
      <c r="P91" s="94" t="str">
        <f t="shared" si="55"/>
        <v>2F9A9059-ae</v>
      </c>
      <c r="Q91" s="94" t="str">
        <f t="shared" si="56"/>
        <v>2F9A9059-ak</v>
      </c>
    </row>
    <row r="92" spans="1:17" ht="27">
      <c r="A92" s="220">
        <f t="shared" ca="1" si="57"/>
        <v>83</v>
      </c>
      <c r="B92" s="96" t="s">
        <v>750</v>
      </c>
      <c r="C92" s="83" t="s">
        <v>749</v>
      </c>
      <c r="D92" s="74" t="s">
        <v>7</v>
      </c>
      <c r="E92" s="206">
        <v>74</v>
      </c>
      <c r="F92" s="99">
        <f ca="1">_xlfn.XLOOKUP(O92,APU!$B$2:$B$10000,APU!$G$2:$G$10000,,0,1)</f>
        <v>2347</v>
      </c>
      <c r="G92" s="99">
        <f ca="1">_xlfn.XLOOKUP(P92,APU!$B$2:$B$10000,APU!$G$2:$G$10000,,0,1)</f>
        <v>607.5162499999999</v>
      </c>
      <c r="H92" s="99">
        <f ca="1">_xlfn.XLOOKUP(Q92,APU!$B$2:$B$10000,APU!$G$2:$G$10000,,0,1)</f>
        <v>2722.1944834689566</v>
      </c>
      <c r="I92" s="81">
        <f t="shared" ca="1" si="66"/>
        <v>5676.7107334689563</v>
      </c>
      <c r="J92" s="80">
        <f t="shared" ca="1" si="67"/>
        <v>173678</v>
      </c>
      <c r="K92" s="80">
        <f t="shared" ca="1" si="68"/>
        <v>44956.202499999992</v>
      </c>
      <c r="L92" s="80">
        <f t="shared" ca="1" si="69"/>
        <v>201442.39177670277</v>
      </c>
      <c r="M92" s="82">
        <f t="shared" ca="1" si="70"/>
        <v>420076.59427670273</v>
      </c>
      <c r="N92" s="1">
        <v>5897564</v>
      </c>
      <c r="O92" s="94" t="str">
        <f t="shared" ref="O92:O105" si="71">_xlfn.CONCAT(B92,"V")</f>
        <v>339E8F9E-V</v>
      </c>
      <c r="P92" s="94" t="str">
        <f t="shared" ref="P92:P105" si="72">_xlfn.CONCAT(B92,"ae")</f>
        <v>339E8F9E-ae</v>
      </c>
      <c r="Q92" s="94" t="str">
        <f t="shared" ref="Q92:Q105" si="73">_xlfn.CONCAT(B92,"ak")</f>
        <v>339E8F9E-ak</v>
      </c>
    </row>
    <row r="93" spans="1:17" ht="27">
      <c r="A93" s="220">
        <f t="shared" ca="1" si="57"/>
        <v>84</v>
      </c>
      <c r="B93" s="96" t="s">
        <v>1079</v>
      </c>
      <c r="C93" s="83" t="s">
        <v>1083</v>
      </c>
      <c r="D93" s="74" t="s">
        <v>9</v>
      </c>
      <c r="E93" s="222">
        <v>4</v>
      </c>
      <c r="F93" s="99">
        <f ca="1">_xlfn.XLOOKUP(O93,APU!$B$2:$B$10000,APU!$G$2:$G$10000,,0,1)</f>
        <v>117217.25</v>
      </c>
      <c r="G93" s="99">
        <f ca="1">_xlfn.XLOOKUP(P93,APU!$B$2:$B$10000,APU!$G$2:$G$10000,,0,1)</f>
        <v>3076.8911249999992</v>
      </c>
      <c r="H93" s="99">
        <f ca="1">_xlfn.XLOOKUP(Q93,APU!$B$2:$B$10000,APU!$G$2:$G$10000,,0,1)</f>
        <v>45369.908057815948</v>
      </c>
      <c r="I93" s="81">
        <f t="shared" ca="1" si="66"/>
        <v>165664.04918281594</v>
      </c>
      <c r="J93" s="80">
        <f t="shared" ca="1" si="67"/>
        <v>468869</v>
      </c>
      <c r="K93" s="80">
        <f t="shared" ca="1" si="68"/>
        <v>12307.564499999997</v>
      </c>
      <c r="L93" s="80">
        <f t="shared" ca="1" si="69"/>
        <v>181479.63223126379</v>
      </c>
      <c r="M93" s="82">
        <f t="shared" ca="1" si="70"/>
        <v>662656.19673126377</v>
      </c>
      <c r="N93" s="1">
        <v>4943762</v>
      </c>
      <c r="O93" s="94" t="str">
        <f t="shared" si="71"/>
        <v>1B56132A-V</v>
      </c>
      <c r="P93" s="94" t="str">
        <f t="shared" si="72"/>
        <v>1B56132A-ae</v>
      </c>
      <c r="Q93" s="94" t="str">
        <f t="shared" si="73"/>
        <v>1B56132A-ak</v>
      </c>
    </row>
    <row r="94" spans="1:17" ht="27">
      <c r="A94" s="220">
        <f t="shared" ca="1" si="57"/>
        <v>85</v>
      </c>
      <c r="B94" s="96" t="s">
        <v>1085</v>
      </c>
      <c r="C94" s="83" t="s">
        <v>1084</v>
      </c>
      <c r="D94" s="74" t="s">
        <v>9</v>
      </c>
      <c r="E94" s="222">
        <v>5</v>
      </c>
      <c r="F94" s="99">
        <f ca="1">_xlfn.XLOOKUP(O94,APU!$B$2:$B$10000,APU!$G$2:$G$10000,,0,1)</f>
        <v>190492.5</v>
      </c>
      <c r="G94" s="99">
        <f ca="1">_xlfn.XLOOKUP(P94,APU!$B$2:$B$10000,APU!$G$2:$G$10000,,0,1)</f>
        <v>3149.9879999999994</v>
      </c>
      <c r="H94" s="99">
        <f ca="1">_xlfn.XLOOKUP(Q94,APU!$B$2:$B$10000,APU!$G$2:$G$10000,,0,1)</f>
        <v>48092.102541284905</v>
      </c>
      <c r="I94" s="81">
        <f t="shared" ca="1" si="66"/>
        <v>241734.59054128491</v>
      </c>
      <c r="J94" s="80">
        <f t="shared" ca="1" si="67"/>
        <v>952462.5</v>
      </c>
      <c r="K94" s="80">
        <f t="shared" ca="1" si="68"/>
        <v>15749.939999999997</v>
      </c>
      <c r="L94" s="80">
        <f t="shared" ca="1" si="69"/>
        <v>240460.51270642452</v>
      </c>
      <c r="M94" s="82">
        <f t="shared" ca="1" si="70"/>
        <v>1208672.9527064245</v>
      </c>
      <c r="N94" s="1">
        <v>2629089</v>
      </c>
      <c r="O94" s="94" t="str">
        <f t="shared" si="71"/>
        <v>184F8D74-V</v>
      </c>
      <c r="P94" s="94" t="str">
        <f t="shared" si="72"/>
        <v>184F8D74-ae</v>
      </c>
      <c r="Q94" s="94" t="str">
        <f t="shared" si="73"/>
        <v>184F8D74-ak</v>
      </c>
    </row>
    <row r="95" spans="1:17" ht="40.5">
      <c r="A95" s="220">
        <f t="shared" ca="1" si="57"/>
        <v>86</v>
      </c>
      <c r="B95" s="96" t="s">
        <v>1087</v>
      </c>
      <c r="C95" s="83" t="s">
        <v>1086</v>
      </c>
      <c r="D95" s="74" t="s">
        <v>9</v>
      </c>
      <c r="E95" s="222">
        <v>6</v>
      </c>
      <c r="F95" s="99">
        <f ca="1">_xlfn.XLOOKUP(O95,APU!$B$2:$B$10000,APU!$G$2:$G$10000,,0,1)</f>
        <v>136068</v>
      </c>
      <c r="G95" s="99">
        <f ca="1">_xlfn.XLOOKUP(P95,APU!$B$2:$B$10000,APU!$G$2:$G$10000,,0,1)</f>
        <v>2943.7793849999994</v>
      </c>
      <c r="H95" s="99">
        <f ca="1">_xlfn.XLOOKUP(Q95,APU!$B$2:$B$10000,APU!$G$2:$G$10000,,0,1)</f>
        <v>40832.917252034356</v>
      </c>
      <c r="I95" s="81">
        <f t="shared" ca="1" si="66"/>
        <v>179844.69663703436</v>
      </c>
      <c r="J95" s="80">
        <f t="shared" ca="1" si="67"/>
        <v>816408</v>
      </c>
      <c r="K95" s="80">
        <f t="shared" ca="1" si="68"/>
        <v>17662.676309999995</v>
      </c>
      <c r="L95" s="80">
        <f t="shared" ca="1" si="69"/>
        <v>244997.50351220614</v>
      </c>
      <c r="M95" s="82">
        <f t="shared" ca="1" si="70"/>
        <v>1079068.179822206</v>
      </c>
      <c r="N95" s="1">
        <v>5118514</v>
      </c>
      <c r="O95" s="94" t="str">
        <f t="shared" si="71"/>
        <v>1ABE22FC-V</v>
      </c>
      <c r="P95" s="94" t="str">
        <f t="shared" si="72"/>
        <v>1ABE22FC-ae</v>
      </c>
      <c r="Q95" s="94" t="str">
        <f t="shared" si="73"/>
        <v>1ABE22FC-ak</v>
      </c>
    </row>
    <row r="96" spans="1:17" ht="27">
      <c r="A96" s="220">
        <f t="shared" ca="1" si="57"/>
        <v>87</v>
      </c>
      <c r="B96" s="96" t="s">
        <v>1089</v>
      </c>
      <c r="C96" s="83" t="s">
        <v>1088</v>
      </c>
      <c r="D96" s="74" t="s">
        <v>9</v>
      </c>
      <c r="E96" s="222">
        <v>4</v>
      </c>
      <c r="F96" s="99">
        <f ca="1">_xlfn.XLOOKUP(O96,APU!$B$2:$B$10000,APU!$G$2:$G$10000,,0,1)</f>
        <v>185968</v>
      </c>
      <c r="G96" s="99">
        <f ca="1">_xlfn.XLOOKUP(P96,APU!$B$2:$B$10000,APU!$G$2:$G$10000,,0,1)</f>
        <v>2943.7793849999994</v>
      </c>
      <c r="H96" s="99">
        <f ca="1">_xlfn.XLOOKUP(Q96,APU!$B$2:$B$10000,APU!$G$2:$G$10000,,0,1)</f>
        <v>40832.917252034356</v>
      </c>
      <c r="I96" s="81">
        <f t="shared" ca="1" si="66"/>
        <v>229744.69663703436</v>
      </c>
      <c r="J96" s="80">
        <f t="shared" ca="1" si="67"/>
        <v>743872</v>
      </c>
      <c r="K96" s="80">
        <f t="shared" ca="1" si="68"/>
        <v>11775.117539999997</v>
      </c>
      <c r="L96" s="80">
        <f t="shared" ca="1" si="69"/>
        <v>163331.66900813743</v>
      </c>
      <c r="M96" s="82">
        <f t="shared" ca="1" si="70"/>
        <v>918978.78654813743</v>
      </c>
      <c r="N96" s="1">
        <v>7735492</v>
      </c>
      <c r="O96" s="94" t="str">
        <f t="shared" si="71"/>
        <v>3889CEFB-V</v>
      </c>
      <c r="P96" s="94" t="str">
        <f t="shared" si="72"/>
        <v>3889CEFB-ae</v>
      </c>
      <c r="Q96" s="94" t="str">
        <f t="shared" si="73"/>
        <v>3889CEFB-ak</v>
      </c>
    </row>
    <row r="97" spans="1:17" ht="27">
      <c r="A97" s="220">
        <f t="shared" ca="1" si="57"/>
        <v>88</v>
      </c>
      <c r="B97" s="96" t="s">
        <v>1091</v>
      </c>
      <c r="C97" s="83" t="s">
        <v>1090</v>
      </c>
      <c r="D97" s="74" t="s">
        <v>9</v>
      </c>
      <c r="E97" s="222">
        <v>5</v>
      </c>
      <c r="F97" s="99">
        <f ca="1">_xlfn.XLOOKUP(O97,APU!$B$2:$B$10000,APU!$G$2:$G$10000,,0,1)</f>
        <v>199962.5</v>
      </c>
      <c r="G97" s="99">
        <f ca="1">_xlfn.XLOOKUP(P97,APU!$B$2:$B$10000,APU!$G$2:$G$10000,,0,1)</f>
        <v>3076.8911249999992</v>
      </c>
      <c r="H97" s="99">
        <f ca="1">_xlfn.XLOOKUP(Q97,APU!$B$2:$B$10000,APU!$G$2:$G$10000,,0,1)</f>
        <v>45369.908057815948</v>
      </c>
      <c r="I97" s="81">
        <f t="shared" ca="1" si="66"/>
        <v>248409.29918281594</v>
      </c>
      <c r="J97" s="80">
        <f t="shared" ca="1" si="67"/>
        <v>999812.5</v>
      </c>
      <c r="K97" s="80">
        <f t="shared" ca="1" si="68"/>
        <v>15384.455624999995</v>
      </c>
      <c r="L97" s="80">
        <f t="shared" ca="1" si="69"/>
        <v>226849.54028907974</v>
      </c>
      <c r="M97" s="82">
        <f t="shared" ca="1" si="70"/>
        <v>1242046.4959140797</v>
      </c>
      <c r="N97" s="1">
        <v>9923030</v>
      </c>
      <c r="O97" s="94" t="str">
        <f t="shared" si="71"/>
        <v>1F3CEE8-V</v>
      </c>
      <c r="P97" s="94" t="str">
        <f t="shared" si="72"/>
        <v>1F3CEE8-ae</v>
      </c>
      <c r="Q97" s="94" t="str">
        <f t="shared" si="73"/>
        <v>1F3CEE8-ak</v>
      </c>
    </row>
    <row r="98" spans="1:17" ht="27">
      <c r="A98" s="220">
        <f t="shared" ca="1" si="57"/>
        <v>89</v>
      </c>
      <c r="B98" s="96" t="s">
        <v>1093</v>
      </c>
      <c r="C98" s="83" t="s">
        <v>1092</v>
      </c>
      <c r="D98" s="74" t="s">
        <v>9</v>
      </c>
      <c r="E98" s="222">
        <v>6</v>
      </c>
      <c r="F98" s="99">
        <f ca="1">_xlfn.XLOOKUP(O98,APU!$B$2:$B$10000,APU!$G$2:$G$10000,,0,1)</f>
        <v>244230.5</v>
      </c>
      <c r="G98" s="99">
        <f ca="1">_xlfn.XLOOKUP(P98,APU!$B$2:$B$10000,APU!$G$2:$G$10000,,0,1)</f>
        <v>3076.8911249999992</v>
      </c>
      <c r="H98" s="99">
        <f ca="1">_xlfn.XLOOKUP(Q98,APU!$B$2:$B$10000,APU!$G$2:$G$10000,,0,1)</f>
        <v>45369.908057815948</v>
      </c>
      <c r="I98" s="81">
        <f t="shared" ca="1" si="66"/>
        <v>292677.29918281594</v>
      </c>
      <c r="J98" s="80">
        <f t="shared" ca="1" si="67"/>
        <v>1465383</v>
      </c>
      <c r="K98" s="80">
        <f t="shared" ca="1" si="68"/>
        <v>18461.346749999997</v>
      </c>
      <c r="L98" s="80">
        <f t="shared" ca="1" si="69"/>
        <v>272219.44834689569</v>
      </c>
      <c r="M98" s="82">
        <f t="shared" ca="1" si="70"/>
        <v>1756063.7950968957</v>
      </c>
      <c r="N98" s="1">
        <v>7044594</v>
      </c>
      <c r="O98" s="94" t="str">
        <f t="shared" si="71"/>
        <v>5DB0FA8-V</v>
      </c>
      <c r="P98" s="94" t="str">
        <f t="shared" si="72"/>
        <v>5DB0FA8-ae</v>
      </c>
      <c r="Q98" s="94" t="str">
        <f t="shared" si="73"/>
        <v>5DB0FA8-ak</v>
      </c>
    </row>
    <row r="99" spans="1:17">
      <c r="A99" s="220">
        <f t="shared" ca="1" si="57"/>
        <v>90</v>
      </c>
      <c r="B99" s="96" t="s">
        <v>1094</v>
      </c>
      <c r="C99" s="83" t="s">
        <v>1163</v>
      </c>
      <c r="D99" s="74" t="s">
        <v>9</v>
      </c>
      <c r="E99" s="206">
        <v>1</v>
      </c>
      <c r="F99" s="99">
        <f ca="1">_xlfn.XLOOKUP(O99,APU!$B$2:$B$10000,APU!$G$2:$G$10000,,0,1)</f>
        <v>57834000</v>
      </c>
      <c r="G99" s="99">
        <f ca="1">_xlfn.XLOOKUP(P99,APU!$B$2:$B$10000,APU!$G$2:$G$10000,,0,1)</f>
        <v>457099.12499999994</v>
      </c>
      <c r="H99" s="99">
        <f ca="1">_xlfn.XLOOKUP(Q99,APU!$B$2:$B$10000,APU!$G$2:$G$10000,,0,1)</f>
        <v>811613.70278225024</v>
      </c>
      <c r="I99" s="81">
        <f t="shared" ca="1" si="66"/>
        <v>59102712.827782251</v>
      </c>
      <c r="J99" s="80">
        <f t="shared" ca="1" si="67"/>
        <v>57834000</v>
      </c>
      <c r="K99" s="80">
        <f t="shared" ca="1" si="68"/>
        <v>457099.12499999994</v>
      </c>
      <c r="L99" s="80">
        <f t="shared" ca="1" si="69"/>
        <v>811613.70278225024</v>
      </c>
      <c r="M99" s="82">
        <f t="shared" ca="1" si="70"/>
        <v>59102712.827782251</v>
      </c>
      <c r="N99" s="1">
        <v>4592277</v>
      </c>
      <c r="O99" s="94" t="str">
        <f t="shared" si="71"/>
        <v>1CF87BDE-V</v>
      </c>
      <c r="P99" s="94" t="str">
        <f t="shared" si="72"/>
        <v>1CF87BDE-ae</v>
      </c>
      <c r="Q99" s="94" t="str">
        <f t="shared" si="73"/>
        <v>1CF87BDE-ak</v>
      </c>
    </row>
    <row r="100" spans="1:17">
      <c r="A100" s="220">
        <f t="shared" ca="1" si="57"/>
        <v>91</v>
      </c>
      <c r="B100" s="96" t="s">
        <v>1098</v>
      </c>
      <c r="C100" s="83" t="s">
        <v>1097</v>
      </c>
      <c r="D100" s="74" t="s">
        <v>7</v>
      </c>
      <c r="E100" s="206">
        <v>60</v>
      </c>
      <c r="F100" s="99">
        <f ca="1">_xlfn.XLOOKUP(O100,APU!$B$2:$B$10000,APU!$G$2:$G$10000,,0,1)</f>
        <v>14056.875</v>
      </c>
      <c r="G100" s="99">
        <f ca="1">_xlfn.XLOOKUP(P100,APU!$B$2:$B$10000,APU!$G$2:$G$10000,,0,1)</f>
        <v>11208.187499999998</v>
      </c>
      <c r="H100" s="99">
        <f ca="1">_xlfn.XLOOKUP(Q100,APU!$B$2:$B$10000,APU!$G$2:$G$10000,,0,1)</f>
        <v>36295.926446252757</v>
      </c>
      <c r="I100" s="81">
        <f t="shared" ca="1" si="66"/>
        <v>61560.988946252757</v>
      </c>
      <c r="J100" s="80">
        <f t="shared" ca="1" si="67"/>
        <v>843412.5</v>
      </c>
      <c r="K100" s="80">
        <f t="shared" ca="1" si="68"/>
        <v>672491.24999999988</v>
      </c>
      <c r="L100" s="80">
        <f t="shared" ca="1" si="69"/>
        <v>2177755.5867751655</v>
      </c>
      <c r="M100" s="82">
        <f t="shared" ca="1" si="70"/>
        <v>3693659.3367751655</v>
      </c>
      <c r="N100" s="1">
        <v>5377030</v>
      </c>
      <c r="O100" s="94" t="str">
        <f t="shared" si="71"/>
        <v>33C6702C-V</v>
      </c>
      <c r="P100" s="94" t="str">
        <f t="shared" si="72"/>
        <v>33C6702C-ae</v>
      </c>
      <c r="Q100" s="94" t="str">
        <f t="shared" si="73"/>
        <v>33C6702C-ak</v>
      </c>
    </row>
    <row r="101" spans="1:17">
      <c r="A101" s="220">
        <f t="shared" ca="1" si="57"/>
        <v>92</v>
      </c>
      <c r="B101" s="96" t="s">
        <v>1100</v>
      </c>
      <c r="C101" s="83" t="s">
        <v>1099</v>
      </c>
      <c r="D101" s="74" t="s">
        <v>9</v>
      </c>
      <c r="E101" s="206">
        <v>1</v>
      </c>
      <c r="F101" s="99">
        <f ca="1">_xlfn.XLOOKUP(O101,APU!$B$2:$B$10000,APU!$G$2:$G$10000,,0,1)</f>
        <v>2830621.6</v>
      </c>
      <c r="G101" s="99">
        <f ca="1">_xlfn.XLOOKUP(P101,APU!$B$2:$B$10000,APU!$G$2:$G$10000,,0,1)</f>
        <v>197036.68749999997</v>
      </c>
      <c r="H101" s="99">
        <f ca="1">_xlfn.XLOOKUP(Q101,APU!$B$2:$B$10000,APU!$G$2:$G$10000,,0,1)</f>
        <v>1270357.4256188464</v>
      </c>
      <c r="I101" s="81">
        <f t="shared" ca="1" si="66"/>
        <v>4298015.7131188465</v>
      </c>
      <c r="J101" s="80">
        <f t="shared" ca="1" si="67"/>
        <v>2830621.6</v>
      </c>
      <c r="K101" s="80">
        <f t="shared" ca="1" si="68"/>
        <v>197036.68749999997</v>
      </c>
      <c r="L101" s="80">
        <f t="shared" ca="1" si="69"/>
        <v>1270357.4256188464</v>
      </c>
      <c r="M101" s="82">
        <f t="shared" ca="1" si="70"/>
        <v>4298015.7131188465</v>
      </c>
      <c r="N101" s="1">
        <v>5377031</v>
      </c>
      <c r="O101" s="94" t="str">
        <f t="shared" si="71"/>
        <v>10A52BD2-V</v>
      </c>
      <c r="P101" s="94" t="str">
        <f t="shared" si="72"/>
        <v>10A52BD2-ae</v>
      </c>
      <c r="Q101" s="94" t="str">
        <f t="shared" si="73"/>
        <v>10A52BD2-ak</v>
      </c>
    </row>
    <row r="102" spans="1:17">
      <c r="A102" s="220">
        <f t="shared" ca="1" si="57"/>
        <v>93</v>
      </c>
      <c r="B102" s="96" t="s">
        <v>1104</v>
      </c>
      <c r="C102" s="83" t="s">
        <v>1103</v>
      </c>
      <c r="D102" s="74" t="s">
        <v>9</v>
      </c>
      <c r="E102" s="206">
        <v>1</v>
      </c>
      <c r="F102" s="99">
        <f ca="1">_xlfn.XLOOKUP(O102,APU!$B$2:$B$10000,APU!$G$2:$G$10000,,0,1)</f>
        <v>5874610.0999999996</v>
      </c>
      <c r="G102" s="99">
        <f ca="1">_xlfn.XLOOKUP(P102,APU!$B$2:$B$10000,APU!$G$2:$G$10000,,0,1)</f>
        <v>229361.74999999994</v>
      </c>
      <c r="H102" s="99">
        <f ca="1">_xlfn.XLOOKUP(Q102,APU!$B$2:$B$10000,APU!$G$2:$G$10000,,0,1)</f>
        <v>2268495.4028907972</v>
      </c>
      <c r="I102" s="81">
        <f ca="1">+(F102+G102+H102)</f>
        <v>8372467.2528907973</v>
      </c>
      <c r="J102" s="80">
        <f ca="1">+E102*F102</f>
        <v>5874610.0999999996</v>
      </c>
      <c r="K102" s="80">
        <f ca="1">+G102*E102</f>
        <v>229361.74999999994</v>
      </c>
      <c r="L102" s="80">
        <f ca="1">+H102*E102</f>
        <v>2268495.4028907972</v>
      </c>
      <c r="M102" s="82">
        <f ca="1">SUM(J102:L102)</f>
        <v>8372467.2528907973</v>
      </c>
      <c r="N102" s="1">
        <v>7341571</v>
      </c>
      <c r="O102" s="94" t="str">
        <f t="shared" si="71"/>
        <v>2E394109-V</v>
      </c>
      <c r="P102" s="94" t="str">
        <f t="shared" si="72"/>
        <v>2E394109-ae</v>
      </c>
      <c r="Q102" s="94" t="str">
        <f t="shared" si="73"/>
        <v>2E394109-ak</v>
      </c>
    </row>
    <row r="103" spans="1:17" ht="27">
      <c r="A103" s="220">
        <f t="shared" ca="1" si="57"/>
        <v>94</v>
      </c>
      <c r="B103" s="96" t="s">
        <v>1108</v>
      </c>
      <c r="C103" s="83" t="s">
        <v>1105</v>
      </c>
      <c r="D103" s="74" t="s">
        <v>9</v>
      </c>
      <c r="E103" s="206">
        <v>2</v>
      </c>
      <c r="F103" s="99">
        <f ca="1">_xlfn.XLOOKUP(O103,APU!$B$2:$B$10000,APU!$G$2:$G$10000,,0,1)</f>
        <v>1561525</v>
      </c>
      <c r="G103" s="99">
        <f ca="1">_xlfn.XLOOKUP(P103,APU!$B$2:$B$10000,APU!$G$2:$G$10000,,0,1)</f>
        <v>9634.6554374999978</v>
      </c>
      <c r="H103" s="99">
        <f ca="1">_xlfn.XLOOKUP(Q103,APU!$B$2:$B$10000,APU!$G$2:$G$10000,,0,1)</f>
        <v>362959.26446252759</v>
      </c>
      <c r="I103" s="81">
        <f ca="1">+(F103+G103+H103)</f>
        <v>1934118.9199000276</v>
      </c>
      <c r="J103" s="80">
        <f ca="1">+E103*F103</f>
        <v>3123050</v>
      </c>
      <c r="K103" s="80">
        <f ca="1">+G103*E103</f>
        <v>19269.310874999996</v>
      </c>
      <c r="L103" s="80">
        <f ca="1">+H103*E103</f>
        <v>725918.52892505517</v>
      </c>
      <c r="M103" s="82">
        <f ca="1">SUM(J103:L103)</f>
        <v>3868237.8398000551</v>
      </c>
      <c r="N103" s="1">
        <v>2242753</v>
      </c>
      <c r="O103" s="94" t="str">
        <f t="shared" si="71"/>
        <v>5ABED62-V</v>
      </c>
      <c r="P103" s="94" t="str">
        <f t="shared" si="72"/>
        <v>5ABED62-ae</v>
      </c>
      <c r="Q103" s="94" t="str">
        <f t="shared" si="73"/>
        <v>5ABED62-ak</v>
      </c>
    </row>
    <row r="104" spans="1:17" ht="27">
      <c r="A104" s="220">
        <f t="shared" ca="1" si="57"/>
        <v>95</v>
      </c>
      <c r="B104" s="96" t="s">
        <v>1109</v>
      </c>
      <c r="C104" s="83" t="s">
        <v>1106</v>
      </c>
      <c r="D104" s="74" t="s">
        <v>9</v>
      </c>
      <c r="E104" s="206">
        <v>3</v>
      </c>
      <c r="F104" s="99">
        <f ca="1">_xlfn.XLOOKUP(O104,APU!$B$2:$B$10000,APU!$G$2:$G$10000,,0,1)</f>
        <v>2417373</v>
      </c>
      <c r="G104" s="99">
        <f ca="1">_xlfn.XLOOKUP(P104,APU!$B$2:$B$10000,APU!$G$2:$G$10000,,0,1)</f>
        <v>9634.6554374999978</v>
      </c>
      <c r="H104" s="99">
        <f ca="1">_xlfn.XLOOKUP(Q104,APU!$B$2:$B$10000,APU!$G$2:$G$10000,,0,1)</f>
        <v>408329.17252034356</v>
      </c>
      <c r="I104" s="81">
        <f ca="1">+(F104+G104+H104)</f>
        <v>2835336.8279578439</v>
      </c>
      <c r="J104" s="80">
        <f ca="1">+E104*F104</f>
        <v>7252119</v>
      </c>
      <c r="K104" s="80">
        <f ca="1">+G104*E104</f>
        <v>28903.966312499993</v>
      </c>
      <c r="L104" s="80">
        <f ca="1">+H104*E104</f>
        <v>1224987.5175610306</v>
      </c>
      <c r="M104" s="82">
        <f ca="1">SUM(J104:L104)</f>
        <v>8506010.4838735312</v>
      </c>
      <c r="N104" s="1">
        <v>5002548</v>
      </c>
      <c r="O104" s="94" t="str">
        <f t="shared" si="71"/>
        <v>367010D-V</v>
      </c>
      <c r="P104" s="94" t="str">
        <f t="shared" si="72"/>
        <v>367010D-ae</v>
      </c>
      <c r="Q104" s="94" t="str">
        <f t="shared" si="73"/>
        <v>367010D-ak</v>
      </c>
    </row>
    <row r="105" spans="1:17" ht="27">
      <c r="A105" s="220">
        <f t="shared" ca="1" si="57"/>
        <v>96</v>
      </c>
      <c r="B105" s="96" t="s">
        <v>1110</v>
      </c>
      <c r="C105" s="83" t="s">
        <v>1107</v>
      </c>
      <c r="D105" s="74" t="s">
        <v>9</v>
      </c>
      <c r="E105" s="206">
        <v>4</v>
      </c>
      <c r="F105" s="99">
        <f ca="1">_xlfn.XLOOKUP(O105,APU!$B$2:$B$10000,APU!$G$2:$G$10000,,0,1)</f>
        <v>6238389.5999999996</v>
      </c>
      <c r="G105" s="99">
        <f ca="1">_xlfn.XLOOKUP(P105,APU!$B$2:$B$10000,APU!$G$2:$G$10000,,0,1)</f>
        <v>206782.93749999997</v>
      </c>
      <c r="H105" s="99">
        <f ca="1">_xlfn.XLOOKUP(Q105,APU!$B$2:$B$10000,APU!$G$2:$G$10000,,0,1)</f>
        <v>2268495.4028907972</v>
      </c>
      <c r="I105" s="81">
        <f ca="1">+(F105+G105+H105)</f>
        <v>8713667.9403907973</v>
      </c>
      <c r="J105" s="80">
        <f ca="1">+E105*F105</f>
        <v>24953558.399999999</v>
      </c>
      <c r="K105" s="80">
        <f ca="1">+G105*E105</f>
        <v>827131.74999999988</v>
      </c>
      <c r="L105" s="80">
        <f ca="1">+H105*E105</f>
        <v>9073981.611563189</v>
      </c>
      <c r="M105" s="82">
        <f ca="1">SUM(J105:L105)</f>
        <v>34854671.761563189</v>
      </c>
      <c r="N105" s="1">
        <v>8310090</v>
      </c>
      <c r="O105" s="94" t="str">
        <f t="shared" si="71"/>
        <v>22B31E24-V</v>
      </c>
      <c r="P105" s="94" t="str">
        <f t="shared" si="72"/>
        <v>22B31E24-ae</v>
      </c>
      <c r="Q105" s="94" t="str">
        <f t="shared" si="73"/>
        <v>22B31E24-ak</v>
      </c>
    </row>
    <row r="106" spans="1:17">
      <c r="A106" s="220">
        <f t="shared" ca="1" si="57"/>
        <v>97</v>
      </c>
      <c r="B106" s="96" t="s">
        <v>1113</v>
      </c>
      <c r="C106" s="83" t="s">
        <v>1724</v>
      </c>
      <c r="D106" s="74" t="s">
        <v>9</v>
      </c>
      <c r="E106" s="206">
        <v>1</v>
      </c>
      <c r="F106" s="99">
        <f ca="1">_xlfn.XLOOKUP(O106,APU!$B$2:$B$10000,APU!$G$2:$G$10000,,0,1)</f>
        <v>55335</v>
      </c>
      <c r="G106" s="99">
        <f ca="1">_xlfn.XLOOKUP(P106,APU!$B$2:$B$10000,APU!$G$2:$G$10000,,0,1)</f>
        <v>1879.401875</v>
      </c>
      <c r="H106" s="99">
        <f ca="1">_xlfn.XLOOKUP(Q106,APU!$B$2:$B$10000,APU!$G$2:$G$10000,,0,1)</f>
        <v>10888.777933875826</v>
      </c>
      <c r="I106" s="81">
        <f t="shared" ref="I106:I111" ca="1" si="74">+(F106+G106+H106)</f>
        <v>68103.179808875837</v>
      </c>
      <c r="J106" s="80">
        <f t="shared" ref="J106:J111" ca="1" si="75">+E106*F106</f>
        <v>55335</v>
      </c>
      <c r="K106" s="80">
        <f t="shared" ref="K106:K111" ca="1" si="76">+G106*E106</f>
        <v>1879.401875</v>
      </c>
      <c r="L106" s="80">
        <f t="shared" ref="L106:L111" ca="1" si="77">+H106*E106</f>
        <v>10888.777933875826</v>
      </c>
      <c r="M106" s="82">
        <f t="shared" ref="M106:M111" ca="1" si="78">SUM(J106:L106)</f>
        <v>68103.179808875837</v>
      </c>
      <c r="N106" s="1">
        <v>8265874</v>
      </c>
      <c r="O106" s="94" t="str">
        <f t="shared" ref="O106:O111" si="79">_xlfn.CONCAT(B106,"V")</f>
        <v>38EC7547-V</v>
      </c>
      <c r="P106" s="94" t="str">
        <f t="shared" ref="P106:P111" si="80">_xlfn.CONCAT(B106,"ae")</f>
        <v>38EC7547-ae</v>
      </c>
      <c r="Q106" s="94" t="str">
        <f t="shared" ref="Q106:Q111" si="81">_xlfn.CONCAT(B106,"ak")</f>
        <v>38EC7547-ak</v>
      </c>
    </row>
    <row r="107" spans="1:17">
      <c r="A107" s="220">
        <f t="shared" ca="1" si="57"/>
        <v>98</v>
      </c>
      <c r="B107" s="96" t="s">
        <v>1114</v>
      </c>
      <c r="C107" s="83" t="s">
        <v>1112</v>
      </c>
      <c r="D107" s="74" t="s">
        <v>9</v>
      </c>
      <c r="E107" s="206">
        <v>1</v>
      </c>
      <c r="F107" s="99">
        <f ca="1">_xlfn.XLOOKUP(O107,APU!$B$2:$B$10000,APU!$G$2:$G$10000,,0,1)</f>
        <v>86870</v>
      </c>
      <c r="G107" s="99">
        <f ca="1">_xlfn.XLOOKUP(P107,APU!$B$2:$B$10000,APU!$G$2:$G$10000,,0,1)</f>
        <v>1879.401875</v>
      </c>
      <c r="H107" s="99">
        <f ca="1">_xlfn.XLOOKUP(Q107,APU!$B$2:$B$10000,APU!$G$2:$G$10000,,0,1)</f>
        <v>16333.166900813741</v>
      </c>
      <c r="I107" s="81">
        <f t="shared" ca="1" si="74"/>
        <v>105082.56877581374</v>
      </c>
      <c r="J107" s="80">
        <f t="shared" ca="1" si="75"/>
        <v>86870</v>
      </c>
      <c r="K107" s="80">
        <f t="shared" ca="1" si="76"/>
        <v>1879.401875</v>
      </c>
      <c r="L107" s="80">
        <f t="shared" ca="1" si="77"/>
        <v>16333.166900813741</v>
      </c>
      <c r="M107" s="82">
        <f t="shared" ca="1" si="78"/>
        <v>105082.56877581374</v>
      </c>
      <c r="N107" s="1">
        <v>2652400</v>
      </c>
      <c r="O107" s="94" t="str">
        <f t="shared" si="79"/>
        <v>B7C2560-V</v>
      </c>
      <c r="P107" s="94" t="str">
        <f t="shared" si="80"/>
        <v>B7C2560-ae</v>
      </c>
      <c r="Q107" s="94" t="str">
        <f t="shared" si="81"/>
        <v>B7C2560-ak</v>
      </c>
    </row>
    <row r="108" spans="1:17">
      <c r="A108" s="220">
        <f t="shared" ca="1" si="57"/>
        <v>99</v>
      </c>
      <c r="B108" s="96" t="s">
        <v>1117</v>
      </c>
      <c r="C108" s="83" t="s">
        <v>1118</v>
      </c>
      <c r="D108" s="74" t="s">
        <v>9</v>
      </c>
      <c r="E108" s="206">
        <v>1</v>
      </c>
      <c r="F108" s="99">
        <f ca="1">_xlfn.XLOOKUP(O108,APU!$B$2:$B$10000,APU!$G$2:$G$10000,,0,1)</f>
        <v>47022</v>
      </c>
      <c r="G108" s="99">
        <f ca="1">_xlfn.XLOOKUP(P108,APU!$B$2:$B$10000,APU!$G$2:$G$10000,,0,1)</f>
        <v>2391.08</v>
      </c>
      <c r="H108" s="99">
        <f ca="1">_xlfn.XLOOKUP(Q108,APU!$B$2:$B$10000,APU!$G$2:$G$10000,,0,1)</f>
        <v>22684.954028907974</v>
      </c>
      <c r="I108" s="81">
        <f t="shared" ca="1" si="74"/>
        <v>72098.034028907976</v>
      </c>
      <c r="J108" s="80">
        <f t="shared" ca="1" si="75"/>
        <v>47022</v>
      </c>
      <c r="K108" s="80">
        <f t="shared" ca="1" si="76"/>
        <v>2391.08</v>
      </c>
      <c r="L108" s="80">
        <f t="shared" ca="1" si="77"/>
        <v>22684.954028907974</v>
      </c>
      <c r="M108" s="82">
        <f t="shared" ca="1" si="78"/>
        <v>72098.034028907976</v>
      </c>
      <c r="N108" s="1">
        <v>8133646</v>
      </c>
      <c r="O108" s="94" t="str">
        <f t="shared" si="79"/>
        <v>2FE2D2E5-V</v>
      </c>
      <c r="P108" s="94" t="str">
        <f t="shared" si="80"/>
        <v>2FE2D2E5-ae</v>
      </c>
      <c r="Q108" s="94" t="str">
        <f t="shared" si="81"/>
        <v>2FE2D2E5-ak</v>
      </c>
    </row>
    <row r="109" spans="1:17">
      <c r="A109" s="220">
        <f t="shared" ca="1" si="57"/>
        <v>100</v>
      </c>
      <c r="B109" s="96" t="s">
        <v>1120</v>
      </c>
      <c r="C109" s="83" t="s">
        <v>1119</v>
      </c>
      <c r="D109" s="74" t="s">
        <v>710</v>
      </c>
      <c r="E109" s="206">
        <v>2</v>
      </c>
      <c r="F109" s="99">
        <f ca="1">_xlfn.XLOOKUP(O109,APU!$B$2:$B$10000,APU!$G$2:$G$10000,,0,1)</f>
        <v>255850</v>
      </c>
      <c r="G109" s="99">
        <f ca="1">_xlfn.XLOOKUP(P109,APU!$B$2:$B$10000,APU!$G$2:$G$10000,,0,1)</f>
        <v>2233.515625</v>
      </c>
      <c r="H109" s="99">
        <f ca="1">_xlfn.XLOOKUP(Q109,APU!$B$2:$B$10000,APU!$G$2:$G$10000,,0,1)</f>
        <v>47083.811534959852</v>
      </c>
      <c r="I109" s="81">
        <f t="shared" ca="1" si="74"/>
        <v>305167.32715995982</v>
      </c>
      <c r="J109" s="80">
        <f t="shared" ca="1" si="75"/>
        <v>511700</v>
      </c>
      <c r="K109" s="80">
        <f t="shared" ca="1" si="76"/>
        <v>4467.03125</v>
      </c>
      <c r="L109" s="80">
        <f t="shared" ca="1" si="77"/>
        <v>94167.623069919704</v>
      </c>
      <c r="M109" s="82">
        <f t="shared" ca="1" si="78"/>
        <v>610334.65431991965</v>
      </c>
      <c r="N109" s="1">
        <v>9346400</v>
      </c>
      <c r="O109" s="94" t="str">
        <f t="shared" si="79"/>
        <v>27452C3D-V</v>
      </c>
      <c r="P109" s="94" t="str">
        <f t="shared" si="80"/>
        <v>27452C3D-ae</v>
      </c>
      <c r="Q109" s="94" t="str">
        <f t="shared" si="81"/>
        <v>27452C3D-ak</v>
      </c>
    </row>
    <row r="110" spans="1:17" ht="27">
      <c r="A110" s="220">
        <f t="shared" ca="1" si="57"/>
        <v>101</v>
      </c>
      <c r="B110" s="96" t="s">
        <v>1123</v>
      </c>
      <c r="C110" s="83" t="s">
        <v>1121</v>
      </c>
      <c r="D110" s="74" t="s">
        <v>1122</v>
      </c>
      <c r="E110" s="206">
        <v>6</v>
      </c>
      <c r="F110" s="99">
        <f ca="1">_xlfn.XLOOKUP(O110,APU!$B$2:$B$10000,APU!$G$2:$G$10000,,0,1)</f>
        <v>375621</v>
      </c>
      <c r="G110" s="99">
        <f ca="1">_xlfn.XLOOKUP(P110,APU!$B$2:$B$10000,APU!$G$2:$G$10000,,0,1)</f>
        <v>23017.393749999996</v>
      </c>
      <c r="H110" s="99">
        <f ca="1">_xlfn.XLOOKUP(Q110,APU!$B$2:$B$10000,APU!$G$2:$G$10000,,0,1)</f>
        <v>116448.36827279042</v>
      </c>
      <c r="I110" s="81">
        <f t="shared" ca="1" si="74"/>
        <v>515086.76202279038</v>
      </c>
      <c r="J110" s="80">
        <f t="shared" ca="1" si="75"/>
        <v>2253726</v>
      </c>
      <c r="K110" s="80">
        <f t="shared" ca="1" si="76"/>
        <v>138104.36249999999</v>
      </c>
      <c r="L110" s="80">
        <f t="shared" ca="1" si="77"/>
        <v>698690.20963674248</v>
      </c>
      <c r="M110" s="82">
        <f t="shared" ca="1" si="78"/>
        <v>3090520.5721367421</v>
      </c>
      <c r="N110" s="1">
        <v>5591060</v>
      </c>
      <c r="O110" s="94" t="str">
        <f t="shared" si="79"/>
        <v>23AB3C8A-V</v>
      </c>
      <c r="P110" s="94" t="str">
        <f t="shared" si="80"/>
        <v>23AB3C8A-ae</v>
      </c>
      <c r="Q110" s="94" t="str">
        <f t="shared" si="81"/>
        <v>23AB3C8A-ak</v>
      </c>
    </row>
    <row r="111" spans="1:17" ht="27">
      <c r="A111" s="220">
        <f t="shared" ca="1" si="57"/>
        <v>102</v>
      </c>
      <c r="B111" s="96" t="s">
        <v>1124</v>
      </c>
      <c r="C111" s="83" t="s">
        <v>1125</v>
      </c>
      <c r="D111" s="74" t="s">
        <v>7</v>
      </c>
      <c r="E111" s="206">
        <v>2</v>
      </c>
      <c r="F111" s="99">
        <f ca="1">_xlfn.XLOOKUP(O111,APU!$B$2:$B$10000,APU!$G$2:$G$10000,,0,1)</f>
        <v>294232.75000000006</v>
      </c>
      <c r="G111" s="99">
        <f ca="1">_xlfn.XLOOKUP(P111,APU!$B$2:$B$10000,APU!$G$2:$G$10000,,0,1)</f>
        <v>14099.574999999997</v>
      </c>
      <c r="H111" s="99">
        <f ca="1">_xlfn.XLOOKUP(Q111,APU!$B$2:$B$10000,APU!$G$2:$G$10000,,0,1)</f>
        <v>93864.307089051203</v>
      </c>
      <c r="I111" s="81">
        <f t="shared" ca="1" si="74"/>
        <v>402196.6320890513</v>
      </c>
      <c r="J111" s="80">
        <f t="shared" ca="1" si="75"/>
        <v>588465.50000000012</v>
      </c>
      <c r="K111" s="80">
        <f t="shared" ca="1" si="76"/>
        <v>28199.149999999994</v>
      </c>
      <c r="L111" s="80">
        <f t="shared" ca="1" si="77"/>
        <v>187728.61417810241</v>
      </c>
      <c r="M111" s="82">
        <f t="shared" ca="1" si="78"/>
        <v>804393.2641781026</v>
      </c>
      <c r="N111" s="1">
        <v>3327925</v>
      </c>
      <c r="O111" s="94" t="str">
        <f t="shared" si="79"/>
        <v>142983C3-V</v>
      </c>
      <c r="P111" s="94" t="str">
        <f t="shared" si="80"/>
        <v>142983C3-ae</v>
      </c>
      <c r="Q111" s="94" t="str">
        <f t="shared" si="81"/>
        <v>142983C3-ak</v>
      </c>
    </row>
    <row r="112" spans="1:17" ht="27">
      <c r="A112" s="220">
        <f t="shared" ca="1" si="57"/>
        <v>103</v>
      </c>
      <c r="B112" s="96" t="s">
        <v>1127</v>
      </c>
      <c r="C112" s="83" t="s">
        <v>1126</v>
      </c>
      <c r="D112" s="74" t="s">
        <v>7</v>
      </c>
      <c r="E112" s="206">
        <v>2</v>
      </c>
      <c r="F112" s="99">
        <f ca="1">_xlfn.XLOOKUP(O112,APU!$B$2:$B$10000,APU!$G$2:$G$10000,,0,1)</f>
        <v>249771.90000000002</v>
      </c>
      <c r="G112" s="99">
        <f ca="1">_xlfn.XLOOKUP(P112,APU!$B$2:$B$10000,APU!$G$2:$G$10000,,0,1)</f>
        <v>23017.393749999996</v>
      </c>
      <c r="H112" s="99">
        <f ca="1">_xlfn.XLOOKUP(Q112,APU!$B$2:$B$10000,APU!$G$2:$G$10000,,0,1)</f>
        <v>116448.36827279042</v>
      </c>
      <c r="I112" s="81">
        <f t="shared" ref="I112:I155" ca="1" si="82">+(F112+G112+H112)</f>
        <v>389237.66202279041</v>
      </c>
      <c r="J112" s="80">
        <f t="shared" ref="J112:J155" ca="1" si="83">+E112*F112</f>
        <v>499543.80000000005</v>
      </c>
      <c r="K112" s="80">
        <f t="shared" ref="K112:K155" ca="1" si="84">+G112*E112</f>
        <v>46034.787499999991</v>
      </c>
      <c r="L112" s="80">
        <f t="shared" ref="L112:L155" ca="1" si="85">+H112*E112</f>
        <v>232896.73654558085</v>
      </c>
      <c r="M112" s="82">
        <f t="shared" ref="M112:M155" ca="1" si="86">SUM(J112:L112)</f>
        <v>778475.32404558081</v>
      </c>
      <c r="N112" s="1">
        <v>7311105</v>
      </c>
      <c r="O112" s="94" t="str">
        <f t="shared" ref="O112:O149" si="87">_xlfn.CONCAT(B112,"V")</f>
        <v>21675DF7-V</v>
      </c>
      <c r="P112" s="94" t="str">
        <f t="shared" ref="P112:P149" si="88">_xlfn.CONCAT(B112,"ae")</f>
        <v>21675DF7-ae</v>
      </c>
      <c r="Q112" s="94" t="str">
        <f t="shared" ref="Q112:Q149" si="89">_xlfn.CONCAT(B112,"ak")</f>
        <v>21675DF7-ak</v>
      </c>
    </row>
    <row r="113" spans="1:17" ht="27">
      <c r="A113" s="220">
        <f t="shared" ca="1" si="57"/>
        <v>104</v>
      </c>
      <c r="B113" s="96" t="s">
        <v>1131</v>
      </c>
      <c r="C113" s="83" t="s">
        <v>1129</v>
      </c>
      <c r="D113" s="74" t="s">
        <v>7</v>
      </c>
      <c r="E113" s="206">
        <v>1</v>
      </c>
      <c r="F113" s="99">
        <f ca="1">_xlfn.XLOOKUP(O113,APU!$B$2:$B$10000,APU!$G$2:$G$10000,,0,1)</f>
        <v>34856.300000000003</v>
      </c>
      <c r="G113" s="99">
        <f ca="1">_xlfn.XLOOKUP(P113,APU!$B$2:$B$10000,APU!$G$2:$G$10000,,0,1)</f>
        <v>2653.0916874999998</v>
      </c>
      <c r="H113" s="99">
        <f ca="1">_xlfn.XLOOKUP(Q113,APU!$B$2:$B$10000,APU!$G$2:$G$10000,,0,1)</f>
        <v>18147.963223126379</v>
      </c>
      <c r="I113" s="81">
        <f t="shared" ca="1" si="82"/>
        <v>55657.354910626382</v>
      </c>
      <c r="J113" s="80">
        <f t="shared" ca="1" si="83"/>
        <v>34856.300000000003</v>
      </c>
      <c r="K113" s="80">
        <f t="shared" ca="1" si="84"/>
        <v>2653.0916874999998</v>
      </c>
      <c r="L113" s="80">
        <f t="shared" ca="1" si="85"/>
        <v>18147.963223126379</v>
      </c>
      <c r="M113" s="82">
        <f t="shared" ca="1" si="86"/>
        <v>55657.354910626382</v>
      </c>
      <c r="N113" s="1">
        <v>5107961</v>
      </c>
      <c r="O113" s="94" t="str">
        <f t="shared" si="87"/>
        <v>113637DF-V</v>
      </c>
      <c r="P113" s="94" t="str">
        <f t="shared" si="88"/>
        <v>113637DF-ae</v>
      </c>
      <c r="Q113" s="94" t="str">
        <f t="shared" si="89"/>
        <v>113637DF-ak</v>
      </c>
    </row>
    <row r="114" spans="1:17" ht="27">
      <c r="A114" s="220">
        <f t="shared" ca="1" si="57"/>
        <v>105</v>
      </c>
      <c r="B114" s="96" t="s">
        <v>1132</v>
      </c>
      <c r="C114" s="83" t="s">
        <v>1130</v>
      </c>
      <c r="D114" s="74" t="s">
        <v>7</v>
      </c>
      <c r="E114" s="206">
        <v>1</v>
      </c>
      <c r="F114" s="99">
        <f ca="1">_xlfn.XLOOKUP(O114,APU!$B$2:$B$10000,APU!$G$2:$G$10000,,0,1)</f>
        <v>12694.2</v>
      </c>
      <c r="G114" s="99">
        <f ca="1">_xlfn.XLOOKUP(P114,APU!$B$2:$B$10000,APU!$G$2:$G$10000,,0,1)</f>
        <v>1226.4031249999998</v>
      </c>
      <c r="H114" s="99">
        <f ca="1">_xlfn.XLOOKUP(Q114,APU!$B$2:$B$10000,APU!$G$2:$G$10000,,0,1)</f>
        <v>11796.176095032148</v>
      </c>
      <c r="I114" s="81">
        <f t="shared" ca="1" si="82"/>
        <v>25716.779220032149</v>
      </c>
      <c r="J114" s="80">
        <f t="shared" ca="1" si="83"/>
        <v>12694.2</v>
      </c>
      <c r="K114" s="80">
        <f t="shared" ca="1" si="84"/>
        <v>1226.4031249999998</v>
      </c>
      <c r="L114" s="80">
        <f t="shared" ca="1" si="85"/>
        <v>11796.176095032148</v>
      </c>
      <c r="M114" s="82">
        <f t="shared" ca="1" si="86"/>
        <v>25716.779220032149</v>
      </c>
      <c r="N114" s="1">
        <v>7760810</v>
      </c>
      <c r="O114" s="94" t="str">
        <f t="shared" si="87"/>
        <v>D7694F4-V</v>
      </c>
      <c r="P114" s="94" t="str">
        <f t="shared" si="88"/>
        <v>D7694F4-ae</v>
      </c>
      <c r="Q114" s="94" t="str">
        <f t="shared" si="89"/>
        <v>D7694F4-ak</v>
      </c>
    </row>
    <row r="115" spans="1:17" ht="27">
      <c r="A115" s="220">
        <f t="shared" ca="1" si="57"/>
        <v>106</v>
      </c>
      <c r="B115" s="96" t="s">
        <v>1139</v>
      </c>
      <c r="C115" s="83" t="s">
        <v>1137</v>
      </c>
      <c r="D115" s="74" t="s">
        <v>9</v>
      </c>
      <c r="E115" s="206">
        <v>1</v>
      </c>
      <c r="F115" s="99">
        <f ca="1">_xlfn.XLOOKUP(O115,APU!$B$2:$B$10000,APU!$G$2:$G$10000,,0,1)</f>
        <v>631443.4</v>
      </c>
      <c r="G115" s="99">
        <f ca="1">_xlfn.XLOOKUP(P115,APU!$B$2:$B$10000,APU!$G$2:$G$10000,,0,1)</f>
        <v>170584.17920624997</v>
      </c>
      <c r="H115" s="99">
        <f ca="1">_xlfn.XLOOKUP(Q115,APU!$B$2:$B$10000,APU!$G$2:$G$10000,,0,1)</f>
        <v>1285427.6078579267</v>
      </c>
      <c r="I115" s="81">
        <f t="shared" ca="1" si="82"/>
        <v>2087455.1870641769</v>
      </c>
      <c r="J115" s="80">
        <f t="shared" ca="1" si="83"/>
        <v>631443.4</v>
      </c>
      <c r="K115" s="80">
        <f t="shared" ca="1" si="84"/>
        <v>170584.17920624997</v>
      </c>
      <c r="L115" s="80">
        <f t="shared" ca="1" si="85"/>
        <v>1285427.6078579267</v>
      </c>
      <c r="M115" s="82">
        <f t="shared" ca="1" si="86"/>
        <v>2087455.1870641769</v>
      </c>
      <c r="N115" s="1">
        <v>6108078</v>
      </c>
      <c r="O115" s="94" t="str">
        <f t="shared" si="87"/>
        <v>226B0DDD-V</v>
      </c>
      <c r="P115" s="94" t="str">
        <f t="shared" si="88"/>
        <v>226B0DDD-ae</v>
      </c>
      <c r="Q115" s="94" t="str">
        <f t="shared" si="89"/>
        <v>226B0DDD-ak</v>
      </c>
    </row>
    <row r="116" spans="1:17" ht="27">
      <c r="A116" s="220">
        <f t="shared" ca="1" si="57"/>
        <v>107</v>
      </c>
      <c r="B116" s="96" t="s">
        <v>1140</v>
      </c>
      <c r="C116" s="83" t="s">
        <v>1138</v>
      </c>
      <c r="D116" s="74" t="s">
        <v>9</v>
      </c>
      <c r="E116" s="206">
        <v>1</v>
      </c>
      <c r="F116" s="99">
        <f ca="1">_xlfn.XLOOKUP(O116,APU!$B$2:$B$10000,APU!$G$2:$G$10000,,0,1)</f>
        <v>1182395.3</v>
      </c>
      <c r="G116" s="99">
        <f ca="1">_xlfn.XLOOKUP(P116,APU!$B$2:$B$10000,APU!$G$2:$G$10000,,0,1)</f>
        <v>71172.429206249988</v>
      </c>
      <c r="H116" s="99">
        <f ca="1">_xlfn.XLOOKUP(Q116,APU!$B$2:$B$10000,APU!$G$2:$G$10000,,0,1)</f>
        <v>1542513.129429512</v>
      </c>
      <c r="I116" s="81">
        <f t="shared" ca="1" si="82"/>
        <v>2796080.8586357618</v>
      </c>
      <c r="J116" s="80">
        <f t="shared" ca="1" si="83"/>
        <v>1182395.3</v>
      </c>
      <c r="K116" s="80">
        <f t="shared" ca="1" si="84"/>
        <v>71172.429206249988</v>
      </c>
      <c r="L116" s="80">
        <f t="shared" ca="1" si="85"/>
        <v>1542513.129429512</v>
      </c>
      <c r="M116" s="82">
        <f t="shared" ca="1" si="86"/>
        <v>2796080.8586357618</v>
      </c>
      <c r="N116" s="1">
        <v>6044096</v>
      </c>
      <c r="O116" s="94" t="str">
        <f t="shared" si="87"/>
        <v>C803A98-V</v>
      </c>
      <c r="P116" s="94" t="str">
        <f t="shared" si="88"/>
        <v>C803A98-ae</v>
      </c>
      <c r="Q116" s="94" t="str">
        <f t="shared" si="89"/>
        <v>C803A98-ak</v>
      </c>
    </row>
    <row r="117" spans="1:17">
      <c r="A117" s="220">
        <f t="shared" ca="1" si="57"/>
        <v>108</v>
      </c>
      <c r="B117" s="96" t="s">
        <v>1146</v>
      </c>
      <c r="C117" s="83" t="s">
        <v>1142</v>
      </c>
      <c r="D117" s="74" t="s">
        <v>7</v>
      </c>
      <c r="E117" s="206">
        <v>10</v>
      </c>
      <c r="F117" s="99">
        <f ca="1">_xlfn.XLOOKUP(O117,APU!$B$2:$B$10000,APU!$G$2:$G$10000,,0,1)</f>
        <v>105214.05</v>
      </c>
      <c r="G117" s="99">
        <f ca="1">_xlfn.XLOOKUP(P117,APU!$B$2:$B$10000,APU!$G$2:$G$10000,,0,1)</f>
        <v>5581.3525</v>
      </c>
      <c r="H117" s="99">
        <f ca="1">_xlfn.XLOOKUP(Q117,APU!$B$2:$B$10000,APU!$G$2:$G$10000,,0,1)</f>
        <v>111412.94786952248</v>
      </c>
      <c r="I117" s="81">
        <f t="shared" ca="1" si="82"/>
        <v>222208.35036952246</v>
      </c>
      <c r="J117" s="80">
        <f t="shared" ca="1" si="83"/>
        <v>1052140.5</v>
      </c>
      <c r="K117" s="80">
        <f t="shared" ca="1" si="84"/>
        <v>55813.525000000001</v>
      </c>
      <c r="L117" s="80">
        <f t="shared" ca="1" si="85"/>
        <v>1114129.4786952247</v>
      </c>
      <c r="M117" s="82">
        <f t="shared" ca="1" si="86"/>
        <v>2222083.5036952244</v>
      </c>
      <c r="N117" s="1">
        <v>1525926</v>
      </c>
      <c r="O117" s="94" t="str">
        <f t="shared" si="87"/>
        <v>3266C1B1-V</v>
      </c>
      <c r="P117" s="94" t="str">
        <f t="shared" si="88"/>
        <v>3266C1B1-ae</v>
      </c>
      <c r="Q117" s="94" t="str">
        <f t="shared" si="89"/>
        <v>3266C1B1-ak</v>
      </c>
    </row>
    <row r="118" spans="1:17">
      <c r="A118" s="220">
        <f t="shared" ca="1" si="57"/>
        <v>109</v>
      </c>
      <c r="B118" s="96" t="s">
        <v>1147</v>
      </c>
      <c r="C118" s="83" t="s">
        <v>1143</v>
      </c>
      <c r="D118" s="74" t="s">
        <v>7</v>
      </c>
      <c r="E118" s="206">
        <v>10</v>
      </c>
      <c r="F118" s="99">
        <f ca="1">_xlfn.XLOOKUP(O118,APU!$B$2:$B$10000,APU!$G$2:$G$10000,,0,1)</f>
        <v>116352.45</v>
      </c>
      <c r="G118" s="99">
        <f ca="1">_xlfn.XLOOKUP(P118,APU!$B$2:$B$10000,APU!$G$2:$G$10000,,0,1)</f>
        <v>5581.3525</v>
      </c>
      <c r="H118" s="99">
        <f ca="1">_xlfn.XLOOKUP(Q118,APU!$B$2:$B$10000,APU!$G$2:$G$10000,,0,1)</f>
        <v>118420.25420665815</v>
      </c>
      <c r="I118" s="81">
        <f t="shared" ca="1" si="82"/>
        <v>240354.05670665816</v>
      </c>
      <c r="J118" s="80">
        <f t="shared" ca="1" si="83"/>
        <v>1163524.5</v>
      </c>
      <c r="K118" s="80">
        <f t="shared" ca="1" si="84"/>
        <v>55813.525000000001</v>
      </c>
      <c r="L118" s="80">
        <f t="shared" ca="1" si="85"/>
        <v>1184202.5420665815</v>
      </c>
      <c r="M118" s="82">
        <f t="shared" ca="1" si="86"/>
        <v>2403540.5670665815</v>
      </c>
      <c r="N118" s="1">
        <v>8223929</v>
      </c>
      <c r="O118" s="94" t="str">
        <f t="shared" si="87"/>
        <v>319F0CE-V</v>
      </c>
      <c r="P118" s="94" t="str">
        <f t="shared" si="88"/>
        <v>319F0CE-ae</v>
      </c>
      <c r="Q118" s="94" t="str">
        <f t="shared" si="89"/>
        <v>319F0CE-ak</v>
      </c>
    </row>
    <row r="119" spans="1:17">
      <c r="A119" s="220">
        <f t="shared" ca="1" si="57"/>
        <v>110</v>
      </c>
      <c r="B119" s="96" t="s">
        <v>1148</v>
      </c>
      <c r="C119" s="83" t="s">
        <v>1144</v>
      </c>
      <c r="D119" s="74" t="s">
        <v>7</v>
      </c>
      <c r="E119" s="206">
        <v>10</v>
      </c>
      <c r="F119" s="99">
        <f ca="1">_xlfn.XLOOKUP(O119,APU!$B$2:$B$10000,APU!$G$2:$G$10000,,0,1)</f>
        <v>18915.25</v>
      </c>
      <c r="G119" s="99">
        <f ca="1">_xlfn.XLOOKUP(P119,APU!$B$2:$B$10000,APU!$G$2:$G$10000,,0,1)</f>
        <v>5581.3525</v>
      </c>
      <c r="H119" s="99">
        <f ca="1">_xlfn.XLOOKUP(Q119,APU!$B$2:$B$10000,APU!$G$2:$G$10000,,0,1)</f>
        <v>13610.972417344785</v>
      </c>
      <c r="I119" s="81">
        <f t="shared" ca="1" si="82"/>
        <v>38107.574917344784</v>
      </c>
      <c r="J119" s="80">
        <f t="shared" ca="1" si="83"/>
        <v>189152.5</v>
      </c>
      <c r="K119" s="80">
        <f t="shared" ca="1" si="84"/>
        <v>55813.525000000001</v>
      </c>
      <c r="L119" s="80">
        <f t="shared" ca="1" si="85"/>
        <v>136109.72417344784</v>
      </c>
      <c r="M119" s="82">
        <f t="shared" ca="1" si="86"/>
        <v>381075.74917344784</v>
      </c>
      <c r="N119" s="1">
        <v>8604614</v>
      </c>
      <c r="O119" s="94" t="str">
        <f t="shared" si="87"/>
        <v>3884F964-V</v>
      </c>
      <c r="P119" s="94" t="str">
        <f t="shared" si="88"/>
        <v>3884F964-ae</v>
      </c>
      <c r="Q119" s="94" t="str">
        <f t="shared" si="89"/>
        <v>3884F964-ak</v>
      </c>
    </row>
    <row r="120" spans="1:17">
      <c r="A120" s="220">
        <f t="shared" ca="1" si="57"/>
        <v>111</v>
      </c>
      <c r="B120" s="96" t="s">
        <v>1149</v>
      </c>
      <c r="C120" s="83" t="s">
        <v>1145</v>
      </c>
      <c r="D120" s="74" t="s">
        <v>7</v>
      </c>
      <c r="E120" s="206">
        <v>10</v>
      </c>
      <c r="F120" s="99">
        <f ca="1">_xlfn.XLOOKUP(O120,APU!$B$2:$B$10000,APU!$G$2:$G$10000,,0,1)</f>
        <v>44452.450000000004</v>
      </c>
      <c r="G120" s="99">
        <f ca="1">_xlfn.XLOOKUP(P120,APU!$B$2:$B$10000,APU!$G$2:$G$10000,,0,1)</f>
        <v>5581.3525</v>
      </c>
      <c r="H120" s="99">
        <f ca="1">_xlfn.XLOOKUP(Q120,APU!$B$2:$B$10000,APU!$G$2:$G$10000,,0,1)</f>
        <v>42612.119199936438</v>
      </c>
      <c r="I120" s="81">
        <f t="shared" ca="1" si="82"/>
        <v>92645.921699936443</v>
      </c>
      <c r="J120" s="80">
        <f t="shared" ca="1" si="83"/>
        <v>444524.50000000006</v>
      </c>
      <c r="K120" s="80">
        <f t="shared" ca="1" si="84"/>
        <v>55813.525000000001</v>
      </c>
      <c r="L120" s="80">
        <f t="shared" ca="1" si="85"/>
        <v>426121.19199936441</v>
      </c>
      <c r="M120" s="82">
        <f t="shared" ca="1" si="86"/>
        <v>926459.21699936455</v>
      </c>
      <c r="N120" s="1">
        <v>1454976</v>
      </c>
      <c r="O120" s="94" t="str">
        <f t="shared" si="87"/>
        <v>F0DE30F-V</v>
      </c>
      <c r="P120" s="94" t="str">
        <f t="shared" si="88"/>
        <v>F0DE30F-ae</v>
      </c>
      <c r="Q120" s="94" t="str">
        <f t="shared" si="89"/>
        <v>F0DE30F-ak</v>
      </c>
    </row>
    <row r="121" spans="1:17" ht="27">
      <c r="A121" s="220">
        <f t="shared" ca="1" si="57"/>
        <v>112</v>
      </c>
      <c r="B121" s="96" t="s">
        <v>1150</v>
      </c>
      <c r="C121" s="83" t="s">
        <v>1219</v>
      </c>
      <c r="D121" s="74" t="s">
        <v>162</v>
      </c>
      <c r="E121" s="206">
        <v>1</v>
      </c>
      <c r="F121" s="99">
        <f ca="1">_xlfn.XLOOKUP(O121,APU!$B$2:$B$10000,APU!$G$2:$G$10000,,0,1)</f>
        <v>4272539.8</v>
      </c>
      <c r="G121" s="99">
        <f ca="1">_xlfn.XLOOKUP(P121,APU!$B$2:$B$10000,APU!$G$2:$G$10000,,0,1)</f>
        <v>64162.812499999985</v>
      </c>
      <c r="H121" s="99">
        <f ca="1">_xlfn.XLOOKUP(Q121,APU!$B$2:$B$10000,APU!$G$2:$G$10000,,0,1)</f>
        <v>816658.34504068713</v>
      </c>
      <c r="I121" s="81">
        <f t="shared" ca="1" si="82"/>
        <v>5153360.9575406872</v>
      </c>
      <c r="J121" s="80">
        <f t="shared" ca="1" si="83"/>
        <v>4272539.8</v>
      </c>
      <c r="K121" s="80">
        <f t="shared" ca="1" si="84"/>
        <v>64162.812499999985</v>
      </c>
      <c r="L121" s="80">
        <f t="shared" ca="1" si="85"/>
        <v>816658.34504068713</v>
      </c>
      <c r="M121" s="82">
        <f t="shared" ca="1" si="86"/>
        <v>5153360.9575406872</v>
      </c>
      <c r="N121" s="1">
        <v>8454650</v>
      </c>
      <c r="O121" s="94" t="str">
        <f t="shared" si="87"/>
        <v>2382DBD0-V</v>
      </c>
      <c r="P121" s="94" t="str">
        <f t="shared" si="88"/>
        <v>2382DBD0-ae</v>
      </c>
      <c r="Q121" s="94" t="str">
        <f t="shared" si="89"/>
        <v>2382DBD0-ak</v>
      </c>
    </row>
    <row r="122" spans="1:17">
      <c r="A122" s="220">
        <f t="shared" ca="1" si="57"/>
        <v>113</v>
      </c>
      <c r="B122" s="96" t="s">
        <v>1152</v>
      </c>
      <c r="C122" s="83" t="s">
        <v>1151</v>
      </c>
      <c r="D122" s="74" t="s">
        <v>7</v>
      </c>
      <c r="E122" s="206">
        <v>5</v>
      </c>
      <c r="F122" s="99">
        <f ca="1">_xlfn.XLOOKUP(O122,APU!$B$2:$B$10000,APU!$G$2:$G$10000,,0,1)</f>
        <v>49925.5</v>
      </c>
      <c r="G122" s="99">
        <f ca="1">_xlfn.XLOOKUP(P122,APU!$B$2:$B$10000,APU!$G$2:$G$10000,,0,1)</f>
        <v>1296.9009999999998</v>
      </c>
      <c r="H122" s="99">
        <f ca="1">_xlfn.XLOOKUP(Q122,APU!$B$2:$B$10000,APU!$G$2:$G$10000,,0,1)</f>
        <v>27565.16167232706</v>
      </c>
      <c r="I122" s="81">
        <f t="shared" ca="1" si="82"/>
        <v>78787.562672327054</v>
      </c>
      <c r="J122" s="80">
        <f t="shared" ca="1" si="83"/>
        <v>249627.5</v>
      </c>
      <c r="K122" s="80">
        <f t="shared" ca="1" si="84"/>
        <v>6484.5049999999992</v>
      </c>
      <c r="L122" s="80">
        <f t="shared" ca="1" si="85"/>
        <v>137825.80836163531</v>
      </c>
      <c r="M122" s="82">
        <f t="shared" ca="1" si="86"/>
        <v>393937.81336163532</v>
      </c>
      <c r="N122" s="1">
        <v>6019114</v>
      </c>
      <c r="O122" s="94" t="str">
        <f t="shared" si="87"/>
        <v>2E017F27-V</v>
      </c>
      <c r="P122" s="94" t="str">
        <f t="shared" si="88"/>
        <v>2E017F27-ae</v>
      </c>
      <c r="Q122" s="94" t="str">
        <f t="shared" si="89"/>
        <v>2E017F27-ak</v>
      </c>
    </row>
    <row r="123" spans="1:17">
      <c r="A123" s="220">
        <f t="shared" ca="1" si="57"/>
        <v>114</v>
      </c>
      <c r="B123" s="96" t="s">
        <v>1154</v>
      </c>
      <c r="C123" s="83" t="s">
        <v>1153</v>
      </c>
      <c r="D123" s="74" t="s">
        <v>9</v>
      </c>
      <c r="E123" s="206">
        <v>1</v>
      </c>
      <c r="F123" s="99">
        <f ca="1">_xlfn.XLOOKUP(O123,APU!$B$2:$B$10000,APU!$G$2:$G$10000,,0,1)</f>
        <v>128415</v>
      </c>
      <c r="G123" s="99">
        <f ca="1">_xlfn.XLOOKUP(P123,APU!$B$2:$B$10000,APU!$G$2:$G$10000,,0,1)</f>
        <v>2026.0075099999997</v>
      </c>
      <c r="H123" s="99">
        <f ca="1">_xlfn.XLOOKUP(Q123,APU!$B$2:$B$10000,APU!$G$2:$G$10000,,0,1)</f>
        <v>27221.94483468957</v>
      </c>
      <c r="I123" s="81">
        <f t="shared" ca="1" si="82"/>
        <v>157662.95234468958</v>
      </c>
      <c r="J123" s="80">
        <f t="shared" ca="1" si="83"/>
        <v>128415</v>
      </c>
      <c r="K123" s="80">
        <f t="shared" ca="1" si="84"/>
        <v>2026.0075099999997</v>
      </c>
      <c r="L123" s="80">
        <f t="shared" ca="1" si="85"/>
        <v>27221.94483468957</v>
      </c>
      <c r="M123" s="82">
        <f t="shared" ca="1" si="86"/>
        <v>157662.95234468958</v>
      </c>
      <c r="N123" s="1">
        <v>8647481</v>
      </c>
      <c r="O123" s="94" t="str">
        <f t="shared" si="87"/>
        <v>4E35A41-V</v>
      </c>
      <c r="P123" s="94" t="str">
        <f t="shared" si="88"/>
        <v>4E35A41-ae</v>
      </c>
      <c r="Q123" s="94" t="str">
        <f t="shared" si="89"/>
        <v>4E35A41-ak</v>
      </c>
    </row>
    <row r="124" spans="1:17" ht="27">
      <c r="A124" s="220">
        <f t="shared" ca="1" si="57"/>
        <v>115</v>
      </c>
      <c r="B124" s="96" t="s">
        <v>1155</v>
      </c>
      <c r="C124" s="83" t="s">
        <v>1158</v>
      </c>
      <c r="D124" s="74" t="s">
        <v>7</v>
      </c>
      <c r="E124" s="206">
        <v>15</v>
      </c>
      <c r="F124" s="99">
        <f ca="1">_xlfn.XLOOKUP(O124,APU!$B$2:$B$10000,APU!$G$2:$G$10000,,0,1)</f>
        <v>26772.6</v>
      </c>
      <c r="G124" s="99">
        <f ca="1">_xlfn.XLOOKUP(P124,APU!$B$2:$B$10000,APU!$G$2:$G$10000,,0,1)</f>
        <v>2026.0075099999997</v>
      </c>
      <c r="H124" s="99">
        <f ca="1">_xlfn.XLOOKUP(Q124,APU!$B$2:$B$10000,APU!$G$2:$G$10000,,0,1)</f>
        <v>12703.574256188467</v>
      </c>
      <c r="I124" s="81">
        <f t="shared" ca="1" si="82"/>
        <v>41502.181766188463</v>
      </c>
      <c r="J124" s="80">
        <f t="shared" ca="1" si="83"/>
        <v>401589</v>
      </c>
      <c r="K124" s="80">
        <f t="shared" ca="1" si="84"/>
        <v>30390.112649999995</v>
      </c>
      <c r="L124" s="80">
        <f t="shared" ca="1" si="85"/>
        <v>190553.61384282701</v>
      </c>
      <c r="M124" s="82">
        <f t="shared" ca="1" si="86"/>
        <v>622532.72649282706</v>
      </c>
      <c r="N124" s="1">
        <v>5622586</v>
      </c>
      <c r="O124" s="94" t="str">
        <f t="shared" si="87"/>
        <v>DDDA80-V</v>
      </c>
      <c r="P124" s="94" t="str">
        <f t="shared" si="88"/>
        <v>DDDA80-ae</v>
      </c>
      <c r="Q124" s="94" t="str">
        <f t="shared" si="89"/>
        <v>DDDA80-ak</v>
      </c>
    </row>
    <row r="125" spans="1:17" ht="27">
      <c r="A125" s="220">
        <f t="shared" ca="1" si="57"/>
        <v>116</v>
      </c>
      <c r="B125" s="96" t="s">
        <v>1157</v>
      </c>
      <c r="C125" s="83" t="s">
        <v>1164</v>
      </c>
      <c r="D125" s="74" t="s">
        <v>162</v>
      </c>
      <c r="E125" s="206">
        <v>1</v>
      </c>
      <c r="F125" s="99">
        <f ca="1">_xlfn.XLOOKUP(O125,APU!$B$2:$B$10000,APU!$G$2:$G$10000,,0,1)</f>
        <v>22275610</v>
      </c>
      <c r="G125" s="99">
        <f ca="1">_xlfn.XLOOKUP(P125,APU!$B$2:$B$10000,APU!$G$2:$G$10000,,0,1)</f>
        <v>415515.12499999994</v>
      </c>
      <c r="H125" s="99">
        <f ca="1">_xlfn.XLOOKUP(Q125,APU!$B$2:$B$10000,APU!$G$2:$G$10000,,0,1)</f>
        <v>1270357.4256188464</v>
      </c>
      <c r="I125" s="81">
        <f t="shared" ca="1" si="82"/>
        <v>23961482.550618846</v>
      </c>
      <c r="J125" s="80">
        <f t="shared" ca="1" si="83"/>
        <v>22275610</v>
      </c>
      <c r="K125" s="80">
        <f t="shared" ca="1" si="84"/>
        <v>415515.12499999994</v>
      </c>
      <c r="L125" s="80">
        <f t="shared" ca="1" si="85"/>
        <v>1270357.4256188464</v>
      </c>
      <c r="M125" s="82">
        <f t="shared" ca="1" si="86"/>
        <v>23961482.550618846</v>
      </c>
      <c r="N125" s="1">
        <v>7111475</v>
      </c>
      <c r="O125" s="94" t="str">
        <f t="shared" si="87"/>
        <v>BD33CD5-V</v>
      </c>
      <c r="P125" s="94" t="str">
        <f t="shared" si="88"/>
        <v>BD33CD5-ae</v>
      </c>
      <c r="Q125" s="94" t="str">
        <f t="shared" si="89"/>
        <v>BD33CD5-ak</v>
      </c>
    </row>
    <row r="126" spans="1:17" ht="27">
      <c r="A126" s="220">
        <f t="shared" ca="1" si="57"/>
        <v>117</v>
      </c>
      <c r="B126" s="96" t="s">
        <v>1156</v>
      </c>
      <c r="C126" s="83" t="s">
        <v>1165</v>
      </c>
      <c r="D126" s="74" t="s">
        <v>9</v>
      </c>
      <c r="E126" s="206">
        <v>1</v>
      </c>
      <c r="F126" s="99">
        <f ca="1">_xlfn.XLOOKUP(O126,APU!$B$2:$B$10000,APU!$G$2:$G$10000,,0,1)</f>
        <v>127977</v>
      </c>
      <c r="G126" s="99">
        <f ca="1">_xlfn.XLOOKUP(P126,APU!$B$2:$B$10000,APU!$G$2:$G$10000,,0,1)</f>
        <v>622.13562499999989</v>
      </c>
      <c r="H126" s="99">
        <f ca="1">_xlfn.XLOOKUP(Q126,APU!$B$2:$B$10000,APU!$G$2:$G$10000,,0,1)</f>
        <v>10888.777933875826</v>
      </c>
      <c r="I126" s="81">
        <f t="shared" ca="1" si="82"/>
        <v>139487.91355887582</v>
      </c>
      <c r="J126" s="80">
        <f t="shared" ca="1" si="83"/>
        <v>127977</v>
      </c>
      <c r="K126" s="80">
        <f t="shared" ca="1" si="84"/>
        <v>622.13562499999989</v>
      </c>
      <c r="L126" s="80">
        <f t="shared" ca="1" si="85"/>
        <v>10888.777933875826</v>
      </c>
      <c r="M126" s="82">
        <f t="shared" ca="1" si="86"/>
        <v>139487.91355887582</v>
      </c>
      <c r="N126" s="1">
        <v>2536377</v>
      </c>
      <c r="O126" s="94" t="str">
        <f t="shared" si="87"/>
        <v>1E538B21-V</v>
      </c>
      <c r="P126" s="94" t="str">
        <f t="shared" si="88"/>
        <v>1E538B21-ae</v>
      </c>
      <c r="Q126" s="94" t="str">
        <f t="shared" si="89"/>
        <v>1E538B21-ak</v>
      </c>
    </row>
    <row r="127" spans="1:17" ht="27">
      <c r="A127" s="220">
        <f t="shared" ca="1" si="57"/>
        <v>118</v>
      </c>
      <c r="B127" s="96" t="s">
        <v>1167</v>
      </c>
      <c r="C127" s="83" t="s">
        <v>1166</v>
      </c>
      <c r="D127" s="74" t="s">
        <v>9</v>
      </c>
      <c r="E127" s="206">
        <v>1</v>
      </c>
      <c r="F127" s="99">
        <f ca="1">_xlfn.XLOOKUP(O127,APU!$B$2:$B$10000,APU!$G$2:$G$10000,,0,1)</f>
        <v>192713</v>
      </c>
      <c r="G127" s="99">
        <f ca="1">_xlfn.XLOOKUP(P127,APU!$B$2:$B$10000,APU!$G$2:$G$10000,,0,1)</f>
        <v>622.13562499999989</v>
      </c>
      <c r="H127" s="99">
        <f ca="1">_xlfn.XLOOKUP(Q127,APU!$B$2:$B$10000,APU!$G$2:$G$10000,,0,1)</f>
        <v>13610.972417344785</v>
      </c>
      <c r="I127" s="81">
        <f t="shared" ca="1" si="82"/>
        <v>206946.10804234477</v>
      </c>
      <c r="J127" s="80">
        <f t="shared" ca="1" si="83"/>
        <v>192713</v>
      </c>
      <c r="K127" s="80">
        <f t="shared" ca="1" si="84"/>
        <v>622.13562499999989</v>
      </c>
      <c r="L127" s="80">
        <f t="shared" ca="1" si="85"/>
        <v>13610.972417344785</v>
      </c>
      <c r="M127" s="82">
        <f t="shared" ca="1" si="86"/>
        <v>206946.10804234477</v>
      </c>
      <c r="N127" s="1">
        <v>6177310</v>
      </c>
      <c r="O127" s="94" t="str">
        <f t="shared" si="87"/>
        <v>28AF4741-V</v>
      </c>
      <c r="P127" s="94" t="str">
        <f t="shared" si="88"/>
        <v>28AF4741-ae</v>
      </c>
      <c r="Q127" s="94" t="str">
        <f t="shared" si="89"/>
        <v>28AF4741-ak</v>
      </c>
    </row>
    <row r="128" spans="1:17" ht="27">
      <c r="A128" s="220">
        <f t="shared" ca="1" si="57"/>
        <v>119</v>
      </c>
      <c r="B128" s="96" t="s">
        <v>1171</v>
      </c>
      <c r="C128" s="83" t="s">
        <v>1170</v>
      </c>
      <c r="D128" s="74" t="s">
        <v>9</v>
      </c>
      <c r="E128" s="206">
        <v>1</v>
      </c>
      <c r="F128" s="99">
        <f ca="1">_xlfn.XLOOKUP(O128,APU!$B$2:$B$10000,APU!$G$2:$G$10000,,0,1)</f>
        <v>110871</v>
      </c>
      <c r="G128" s="99">
        <f ca="1">_xlfn.XLOOKUP(P128,APU!$B$2:$B$10000,APU!$G$2:$G$10000,,0,1)</f>
        <v>484.06374999999991</v>
      </c>
      <c r="H128" s="99">
        <f ca="1">_xlfn.XLOOKUP(Q128,APU!$B$2:$B$10000,APU!$G$2:$G$10000,,0,1)</f>
        <v>7259.1852892505522</v>
      </c>
      <c r="I128" s="81">
        <f t="shared" ca="1" si="82"/>
        <v>118614.24903925056</v>
      </c>
      <c r="J128" s="80">
        <f t="shared" ca="1" si="83"/>
        <v>110871</v>
      </c>
      <c r="K128" s="80">
        <f t="shared" ca="1" si="84"/>
        <v>484.06374999999991</v>
      </c>
      <c r="L128" s="80">
        <f t="shared" ca="1" si="85"/>
        <v>7259.1852892505522</v>
      </c>
      <c r="M128" s="82">
        <f t="shared" ca="1" si="86"/>
        <v>118614.24903925056</v>
      </c>
      <c r="N128" s="1">
        <v>3653085</v>
      </c>
      <c r="O128" s="94" t="str">
        <f t="shared" si="87"/>
        <v>2C7342CE-V</v>
      </c>
      <c r="P128" s="94" t="str">
        <f t="shared" si="88"/>
        <v>2C7342CE-ae</v>
      </c>
      <c r="Q128" s="94" t="str">
        <f t="shared" si="89"/>
        <v>2C7342CE-ak</v>
      </c>
    </row>
    <row r="129" spans="1:17" ht="27">
      <c r="A129" s="220">
        <f t="shared" ca="1" si="57"/>
        <v>120</v>
      </c>
      <c r="B129" s="96" t="s">
        <v>1177</v>
      </c>
      <c r="C129" s="83" t="s">
        <v>1174</v>
      </c>
      <c r="D129" s="74" t="s">
        <v>9</v>
      </c>
      <c r="E129" s="206">
        <v>1</v>
      </c>
      <c r="F129" s="99">
        <f ca="1">_xlfn.XLOOKUP(O129,APU!$B$2:$B$10000,APU!$G$2:$G$10000,,0,1)</f>
        <v>442700</v>
      </c>
      <c r="G129" s="99">
        <f ca="1">_xlfn.XLOOKUP(P129,APU!$B$2:$B$10000,APU!$G$2:$G$10000,,0,1)</f>
        <v>10152.343749999998</v>
      </c>
      <c r="H129" s="99">
        <f ca="1">_xlfn.XLOOKUP(Q129,APU!$B$2:$B$10000,APU!$G$2:$G$10000,,0,1)</f>
        <v>72591.852892505514</v>
      </c>
      <c r="I129" s="81">
        <f t="shared" ca="1" si="82"/>
        <v>525444.19664250547</v>
      </c>
      <c r="J129" s="80">
        <f t="shared" ca="1" si="83"/>
        <v>442700</v>
      </c>
      <c r="K129" s="80">
        <f t="shared" ca="1" si="84"/>
        <v>10152.343749999998</v>
      </c>
      <c r="L129" s="80">
        <f t="shared" ca="1" si="85"/>
        <v>72591.852892505514</v>
      </c>
      <c r="M129" s="82">
        <f t="shared" ca="1" si="86"/>
        <v>525444.19664250547</v>
      </c>
      <c r="N129" s="1">
        <v>3653086</v>
      </c>
      <c r="O129" s="94" t="str">
        <f t="shared" si="87"/>
        <v>1EAD4D5E-V</v>
      </c>
      <c r="P129" s="94" t="str">
        <f t="shared" si="88"/>
        <v>1EAD4D5E-ae</v>
      </c>
      <c r="Q129" s="94" t="str">
        <f t="shared" si="89"/>
        <v>1EAD4D5E-ak</v>
      </c>
    </row>
    <row r="130" spans="1:17" ht="40.5">
      <c r="A130" s="220">
        <f t="shared" ca="1" si="57"/>
        <v>121</v>
      </c>
      <c r="B130" s="96" t="s">
        <v>1179</v>
      </c>
      <c r="C130" s="83" t="s">
        <v>1178</v>
      </c>
      <c r="D130" s="74" t="s">
        <v>7</v>
      </c>
      <c r="E130" s="206">
        <v>1</v>
      </c>
      <c r="F130" s="99">
        <f ca="1">_xlfn.XLOOKUP(O130,APU!$B$2:$B$10000,APU!$G$2:$G$10000,,0,1)</f>
        <v>1862352</v>
      </c>
      <c r="G130" s="99">
        <f ca="1">_xlfn.XLOOKUP(P130,APU!$B$2:$B$10000,APU!$G$2:$G$10000,,0,1)</f>
        <v>110132.62499999997</v>
      </c>
      <c r="H130" s="99">
        <f ca="1">_xlfn.XLOOKUP(Q130,APU!$B$2:$B$10000,APU!$G$2:$G$10000,,0,1)</f>
        <v>635178.71280942322</v>
      </c>
      <c r="I130" s="81">
        <f t="shared" ca="1" si="82"/>
        <v>2607663.337809423</v>
      </c>
      <c r="J130" s="80">
        <f t="shared" ca="1" si="83"/>
        <v>1862352</v>
      </c>
      <c r="K130" s="80">
        <f t="shared" ca="1" si="84"/>
        <v>110132.62499999997</v>
      </c>
      <c r="L130" s="80">
        <f t="shared" ca="1" si="85"/>
        <v>635178.71280942322</v>
      </c>
      <c r="M130" s="82">
        <f t="shared" ca="1" si="86"/>
        <v>2607663.337809423</v>
      </c>
      <c r="N130" s="1">
        <v>6479788</v>
      </c>
      <c r="O130" s="94" t="str">
        <f t="shared" si="87"/>
        <v>15280E7D-V</v>
      </c>
      <c r="P130" s="94" t="str">
        <f t="shared" si="88"/>
        <v>15280E7D-ae</v>
      </c>
      <c r="Q130" s="94" t="str">
        <f t="shared" si="89"/>
        <v>15280E7D-ak</v>
      </c>
    </row>
    <row r="131" spans="1:17">
      <c r="A131" s="220">
        <f t="shared" ca="1" si="57"/>
        <v>122</v>
      </c>
      <c r="B131" s="96" t="s">
        <v>1188</v>
      </c>
      <c r="C131" s="83" t="s">
        <v>1189</v>
      </c>
      <c r="D131" s="74" t="s">
        <v>7</v>
      </c>
      <c r="E131" s="206">
        <v>2</v>
      </c>
      <c r="F131" s="99">
        <f ca="1">_xlfn.XLOOKUP(O131,APU!$B$2:$B$10000,APU!$G$2:$G$10000,,0,1)</f>
        <v>31977.8</v>
      </c>
      <c r="G131" s="99">
        <f ca="1">_xlfn.XLOOKUP(P131,APU!$B$2:$B$10000,APU!$G$2:$G$10000,,0,1)</f>
        <v>6424.4031249999998</v>
      </c>
      <c r="H131" s="99">
        <f ca="1">_xlfn.XLOOKUP(Q131,APU!$B$2:$B$10000,APU!$G$2:$G$10000,,0,1)</f>
        <v>15929.595520138799</v>
      </c>
      <c r="I131" s="81">
        <f t="shared" ca="1" si="82"/>
        <v>54331.798645138799</v>
      </c>
      <c r="J131" s="80">
        <f t="shared" ca="1" si="83"/>
        <v>63955.6</v>
      </c>
      <c r="K131" s="80">
        <f t="shared" ca="1" si="84"/>
        <v>12848.80625</v>
      </c>
      <c r="L131" s="80">
        <f t="shared" ca="1" si="85"/>
        <v>31859.191040277597</v>
      </c>
      <c r="M131" s="82">
        <f t="shared" ca="1" si="86"/>
        <v>108663.5972902776</v>
      </c>
      <c r="N131" s="1">
        <v>6081881</v>
      </c>
      <c r="O131" s="94" t="str">
        <f t="shared" si="87"/>
        <v>1CD8FFD0-V</v>
      </c>
      <c r="P131" s="94" t="str">
        <f t="shared" si="88"/>
        <v>1CD8FFD0-ae</v>
      </c>
      <c r="Q131" s="94" t="str">
        <f t="shared" si="89"/>
        <v>1CD8FFD0-ak</v>
      </c>
    </row>
    <row r="132" spans="1:17">
      <c r="A132" s="220">
        <f t="shared" ca="1" si="57"/>
        <v>123</v>
      </c>
      <c r="B132" s="96" t="s">
        <v>1197</v>
      </c>
      <c r="C132" s="83" t="s">
        <v>1194</v>
      </c>
      <c r="D132" s="74" t="s">
        <v>7</v>
      </c>
      <c r="E132" s="206">
        <v>10</v>
      </c>
      <c r="F132" s="99">
        <f ca="1">_xlfn.XLOOKUP(O132,APU!$B$2:$B$10000,APU!$G$2:$G$10000,,0,1)</f>
        <v>37159.120000000003</v>
      </c>
      <c r="G132" s="99">
        <f ca="1">_xlfn.XLOOKUP(P132,APU!$B$2:$B$10000,APU!$G$2:$G$10000,,0,1)</f>
        <v>8869.0874999999996</v>
      </c>
      <c r="H132" s="99">
        <f ca="1">_xlfn.XLOOKUP(Q132,APU!$B$2:$B$10000,APU!$G$2:$G$10000,,0,1)</f>
        <v>13106.508191501107</v>
      </c>
      <c r="I132" s="81">
        <f t="shared" ca="1" si="82"/>
        <v>59134.715691501115</v>
      </c>
      <c r="J132" s="80">
        <f t="shared" ca="1" si="83"/>
        <v>371591.2</v>
      </c>
      <c r="K132" s="80">
        <f t="shared" ca="1" si="84"/>
        <v>88690.875</v>
      </c>
      <c r="L132" s="80">
        <f t="shared" ca="1" si="85"/>
        <v>131065.08191501108</v>
      </c>
      <c r="M132" s="82">
        <f t="shared" ca="1" si="86"/>
        <v>591347.15691501112</v>
      </c>
      <c r="N132" s="1">
        <v>4506176</v>
      </c>
      <c r="O132" s="94" t="str">
        <f t="shared" si="87"/>
        <v>288741B8-V</v>
      </c>
      <c r="P132" s="94" t="str">
        <f t="shared" si="88"/>
        <v>288741B8-ae</v>
      </c>
      <c r="Q132" s="94" t="str">
        <f t="shared" si="89"/>
        <v>288741B8-ak</v>
      </c>
    </row>
    <row r="133" spans="1:17">
      <c r="A133" s="220">
        <f t="shared" ca="1" si="57"/>
        <v>124</v>
      </c>
      <c r="B133" s="96" t="s">
        <v>1199</v>
      </c>
      <c r="C133" s="83" t="s">
        <v>1198</v>
      </c>
      <c r="D133" s="74" t="s">
        <v>7</v>
      </c>
      <c r="E133" s="206">
        <v>37</v>
      </c>
      <c r="F133" s="99">
        <f ca="1">_xlfn.XLOOKUP(O133,APU!$B$2:$B$10000,APU!$G$2:$G$10000,,0,1)</f>
        <v>55898.720000000001</v>
      </c>
      <c r="G133" s="99">
        <f ca="1">_xlfn.XLOOKUP(P133,APU!$B$2:$B$10000,APU!$G$2:$G$10000,,0,1)</f>
        <v>9989.90625</v>
      </c>
      <c r="H133" s="99">
        <f ca="1">_xlfn.XLOOKUP(Q133,APU!$B$2:$B$10000,APU!$G$2:$G$10000,,0,1)</f>
        <v>20970.413106401771</v>
      </c>
      <c r="I133" s="81">
        <f t="shared" ca="1" si="82"/>
        <v>86859.039356401772</v>
      </c>
      <c r="J133" s="80">
        <f t="shared" ca="1" si="83"/>
        <v>2068252.6400000001</v>
      </c>
      <c r="K133" s="80">
        <f t="shared" ca="1" si="84"/>
        <v>369626.53125</v>
      </c>
      <c r="L133" s="80">
        <f t="shared" ca="1" si="85"/>
        <v>775905.28493686556</v>
      </c>
      <c r="M133" s="82">
        <f t="shared" ca="1" si="86"/>
        <v>3213784.4561868655</v>
      </c>
      <c r="N133" s="1">
        <v>9864160</v>
      </c>
      <c r="O133" s="94" t="str">
        <f t="shared" si="87"/>
        <v>370BBE6E-V</v>
      </c>
      <c r="P133" s="94" t="str">
        <f t="shared" si="88"/>
        <v>370BBE6E-ae</v>
      </c>
      <c r="Q133" s="94" t="str">
        <f t="shared" si="89"/>
        <v>370BBE6E-ak</v>
      </c>
    </row>
    <row r="134" spans="1:17">
      <c r="A134" s="220">
        <f t="shared" ca="1" si="57"/>
        <v>125</v>
      </c>
      <c r="B134" s="96" t="s">
        <v>1201</v>
      </c>
      <c r="C134" s="83" t="s">
        <v>1200</v>
      </c>
      <c r="D134" s="74" t="s">
        <v>7</v>
      </c>
      <c r="E134" s="206">
        <v>12</v>
      </c>
      <c r="F134" s="99">
        <f ca="1">_xlfn.XLOOKUP(O134,APU!$B$2:$B$10000,APU!$G$2:$G$10000,,0,1)</f>
        <v>48074.720000000001</v>
      </c>
      <c r="G134" s="99">
        <f ca="1">_xlfn.XLOOKUP(P134,APU!$B$2:$B$10000,APU!$G$2:$G$10000,,0,1)</f>
        <v>9575.6906249999993</v>
      </c>
      <c r="H134" s="99">
        <f ca="1">_xlfn.XLOOKUP(Q134,APU!$B$2:$B$10000,APU!$G$2:$G$10000,,0,1)</f>
        <v>18349.11146810155</v>
      </c>
      <c r="I134" s="81">
        <f t="shared" ca="1" si="82"/>
        <v>75999.52209310155</v>
      </c>
      <c r="J134" s="80">
        <f t="shared" ca="1" si="83"/>
        <v>576896.64</v>
      </c>
      <c r="K134" s="80">
        <f t="shared" ca="1" si="84"/>
        <v>114908.28749999999</v>
      </c>
      <c r="L134" s="80">
        <f t="shared" ca="1" si="85"/>
        <v>220189.33761721861</v>
      </c>
      <c r="M134" s="82">
        <f t="shared" ca="1" si="86"/>
        <v>911994.2651172186</v>
      </c>
      <c r="N134" s="1">
        <v>1426764</v>
      </c>
      <c r="O134" s="94" t="str">
        <f t="shared" si="87"/>
        <v>285E1133-V</v>
      </c>
      <c r="P134" s="94" t="str">
        <f t="shared" si="88"/>
        <v>285E1133-ae</v>
      </c>
      <c r="Q134" s="94" t="str">
        <f t="shared" si="89"/>
        <v>285E1133-ak</v>
      </c>
    </row>
    <row r="135" spans="1:17">
      <c r="A135" s="220">
        <f t="shared" ca="1" si="57"/>
        <v>126</v>
      </c>
      <c r="B135" s="96" t="s">
        <v>1203</v>
      </c>
      <c r="C135" s="83" t="s">
        <v>1202</v>
      </c>
      <c r="D135" s="74" t="s">
        <v>7</v>
      </c>
      <c r="E135" s="206">
        <v>9</v>
      </c>
      <c r="F135" s="99">
        <f ca="1">_xlfn.XLOOKUP(O135,APU!$B$2:$B$10000,APU!$G$2:$G$10000,,0,1)</f>
        <v>37221</v>
      </c>
      <c r="G135" s="99">
        <f ca="1">_xlfn.XLOOKUP(P135,APU!$B$2:$B$10000,APU!$G$2:$G$10000,,0,1)</f>
        <v>9575.6906249999993</v>
      </c>
      <c r="H135" s="99">
        <f ca="1">_xlfn.XLOOKUP(Q135,APU!$B$2:$B$10000,APU!$G$2:$G$10000,,0,1)</f>
        <v>18349.11146810155</v>
      </c>
      <c r="I135" s="81">
        <f t="shared" ca="1" si="82"/>
        <v>65145.802093101549</v>
      </c>
      <c r="J135" s="80">
        <f t="shared" ca="1" si="83"/>
        <v>334989</v>
      </c>
      <c r="K135" s="80">
        <f t="shared" ca="1" si="84"/>
        <v>86181.215624999997</v>
      </c>
      <c r="L135" s="80">
        <f t="shared" ca="1" si="85"/>
        <v>165142.00321291396</v>
      </c>
      <c r="M135" s="82">
        <f t="shared" ca="1" si="86"/>
        <v>586312.21883791394</v>
      </c>
      <c r="N135" s="1">
        <v>3768838</v>
      </c>
      <c r="O135" s="94" t="str">
        <f t="shared" si="87"/>
        <v>3A2EC6FE-V</v>
      </c>
      <c r="P135" s="94" t="str">
        <f t="shared" si="88"/>
        <v>3A2EC6FE-ae</v>
      </c>
      <c r="Q135" s="94" t="str">
        <f t="shared" si="89"/>
        <v>3A2EC6FE-ak</v>
      </c>
    </row>
    <row r="136" spans="1:17">
      <c r="A136" s="220">
        <f t="shared" ca="1" si="57"/>
        <v>127</v>
      </c>
      <c r="B136" s="96" t="s">
        <v>1205</v>
      </c>
      <c r="C136" s="83" t="s">
        <v>1204</v>
      </c>
      <c r="D136" s="74" t="s">
        <v>7</v>
      </c>
      <c r="E136" s="206">
        <v>10</v>
      </c>
      <c r="F136" s="99">
        <f ca="1">_xlfn.XLOOKUP(O136,APU!$B$2:$B$10000,APU!$G$2:$G$10000,,0,1)</f>
        <v>33185.519999999997</v>
      </c>
      <c r="G136" s="99">
        <f ca="1">_xlfn.XLOOKUP(P136,APU!$B$2:$B$10000,APU!$G$2:$G$10000,,0,1)</f>
        <v>9088.3781249999993</v>
      </c>
      <c r="H136" s="99">
        <f ca="1">_xlfn.XLOOKUP(Q136,APU!$B$2:$B$10000,APU!$G$2:$G$10000,,0,1)</f>
        <v>11795.857372350994</v>
      </c>
      <c r="I136" s="81">
        <f t="shared" ca="1" si="82"/>
        <v>54069.755497350983</v>
      </c>
      <c r="J136" s="80">
        <f t="shared" ca="1" si="83"/>
        <v>331855.19999999995</v>
      </c>
      <c r="K136" s="80">
        <f t="shared" ca="1" si="84"/>
        <v>90883.78125</v>
      </c>
      <c r="L136" s="80">
        <f t="shared" ca="1" si="85"/>
        <v>117958.57372350994</v>
      </c>
      <c r="M136" s="82">
        <f t="shared" ca="1" si="86"/>
        <v>540697.55497350986</v>
      </c>
      <c r="N136" s="1">
        <v>3934682</v>
      </c>
      <c r="O136" s="94" t="str">
        <f t="shared" si="87"/>
        <v>27E326E2-V</v>
      </c>
      <c r="P136" s="94" t="str">
        <f t="shared" si="88"/>
        <v>27E326E2-ae</v>
      </c>
      <c r="Q136" s="94" t="str">
        <f t="shared" si="89"/>
        <v>27E326E2-ak</v>
      </c>
    </row>
    <row r="137" spans="1:17">
      <c r="A137" s="220">
        <f t="shared" ca="1" si="57"/>
        <v>128</v>
      </c>
      <c r="B137" s="96" t="s">
        <v>1207</v>
      </c>
      <c r="C137" s="83" t="s">
        <v>1206</v>
      </c>
      <c r="D137" s="74" t="s">
        <v>7</v>
      </c>
      <c r="E137" s="206">
        <v>11</v>
      </c>
      <c r="F137" s="99">
        <f ca="1">_xlfn.XLOOKUP(O137,APU!$B$2:$B$10000,APU!$G$2:$G$10000,,0,1)</f>
        <v>30685</v>
      </c>
      <c r="G137" s="99">
        <f ca="1">_xlfn.XLOOKUP(P137,APU!$B$2:$B$10000,APU!$G$2:$G$10000,,0,1)</f>
        <v>8820.3562499999989</v>
      </c>
      <c r="H137" s="99">
        <f ca="1">_xlfn.XLOOKUP(Q137,APU!$B$2:$B$10000,APU!$G$2:$G$10000,,0,1)</f>
        <v>10485.206553200886</v>
      </c>
      <c r="I137" s="81">
        <f t="shared" ca="1" si="82"/>
        <v>49990.562803200883</v>
      </c>
      <c r="J137" s="80">
        <f t="shared" ca="1" si="83"/>
        <v>337535</v>
      </c>
      <c r="K137" s="80">
        <f t="shared" ca="1" si="84"/>
        <v>97023.918749999983</v>
      </c>
      <c r="L137" s="80">
        <f t="shared" ca="1" si="85"/>
        <v>115337.27208520974</v>
      </c>
      <c r="M137" s="82">
        <f t="shared" ca="1" si="86"/>
        <v>549896.19083520968</v>
      </c>
      <c r="N137" s="1">
        <v>1578530</v>
      </c>
      <c r="O137" s="94" t="str">
        <f t="shared" si="87"/>
        <v>9AEEDE1-V</v>
      </c>
      <c r="P137" s="94" t="str">
        <f t="shared" si="88"/>
        <v>9AEEDE1-ae</v>
      </c>
      <c r="Q137" s="94" t="str">
        <f t="shared" si="89"/>
        <v>9AEEDE1-ak</v>
      </c>
    </row>
    <row r="138" spans="1:17">
      <c r="A138" s="220">
        <f t="shared" ca="1" si="57"/>
        <v>129</v>
      </c>
      <c r="B138" s="96" t="s">
        <v>1209</v>
      </c>
      <c r="C138" s="83" t="s">
        <v>1208</v>
      </c>
      <c r="D138" s="74" t="s">
        <v>7</v>
      </c>
      <c r="E138" s="206">
        <v>13</v>
      </c>
      <c r="F138" s="99">
        <f ca="1">_xlfn.XLOOKUP(O138,APU!$B$2:$B$10000,APU!$G$2:$G$10000,,0,1)</f>
        <v>79819</v>
      </c>
      <c r="G138" s="99">
        <f ca="1">_xlfn.XLOOKUP(P138,APU!$B$2:$B$10000,APU!$G$2:$G$10000,,0,1)</f>
        <v>17397.056250000001</v>
      </c>
      <c r="H138" s="99">
        <f ca="1">_xlfn.XLOOKUP(Q138,APU!$B$2:$B$10000,APU!$G$2:$G$10000,,0,1)</f>
        <v>26213.016383002214</v>
      </c>
      <c r="I138" s="81">
        <f t="shared" ca="1" si="82"/>
        <v>123429.07263300222</v>
      </c>
      <c r="J138" s="80">
        <f t="shared" ca="1" si="83"/>
        <v>1037647</v>
      </c>
      <c r="K138" s="80">
        <f t="shared" ca="1" si="84"/>
        <v>226161.73125000001</v>
      </c>
      <c r="L138" s="80">
        <f t="shared" ca="1" si="85"/>
        <v>340769.21297902876</v>
      </c>
      <c r="M138" s="82">
        <f t="shared" ca="1" si="86"/>
        <v>1604577.9442290287</v>
      </c>
      <c r="N138" s="1">
        <v>6222944</v>
      </c>
      <c r="O138" s="94" t="str">
        <f t="shared" si="87"/>
        <v>216310C1-V</v>
      </c>
      <c r="P138" s="94" t="str">
        <f t="shared" si="88"/>
        <v>216310C1-ae</v>
      </c>
      <c r="Q138" s="94" t="str">
        <f t="shared" si="89"/>
        <v>216310C1-ak</v>
      </c>
    </row>
    <row r="139" spans="1:17">
      <c r="A139" s="220">
        <f t="shared" ca="1" si="57"/>
        <v>130</v>
      </c>
      <c r="B139" s="96" t="s">
        <v>1211</v>
      </c>
      <c r="C139" s="83" t="s">
        <v>1210</v>
      </c>
      <c r="D139" s="74" t="s">
        <v>7</v>
      </c>
      <c r="E139" s="206">
        <v>13</v>
      </c>
      <c r="F139" s="99">
        <f ca="1">_xlfn.XLOOKUP(O139,APU!$B$2:$B$10000,APU!$G$2:$G$10000,,0,1)</f>
        <v>30771.599999999999</v>
      </c>
      <c r="G139" s="99">
        <f ca="1">_xlfn.XLOOKUP(P139,APU!$B$2:$B$10000,APU!$G$2:$G$10000,,0,1)</f>
        <v>8040.6562499999991</v>
      </c>
      <c r="H139" s="99">
        <f ca="1">_xlfn.XLOOKUP(Q139,APU!$B$2:$B$10000,APU!$G$2:$G$10000,,0,1)</f>
        <v>10485.206553200886</v>
      </c>
      <c r="I139" s="81">
        <f t="shared" ca="1" si="82"/>
        <v>49297.462803200884</v>
      </c>
      <c r="J139" s="80">
        <f t="shared" ca="1" si="83"/>
        <v>400030.8</v>
      </c>
      <c r="K139" s="80">
        <f t="shared" ca="1" si="84"/>
        <v>104528.53124999999</v>
      </c>
      <c r="L139" s="80">
        <f t="shared" ca="1" si="85"/>
        <v>136307.68519161153</v>
      </c>
      <c r="M139" s="82">
        <f t="shared" ca="1" si="86"/>
        <v>640867.01644161157</v>
      </c>
      <c r="N139" s="1">
        <v>3613333</v>
      </c>
      <c r="O139" s="94" t="str">
        <f t="shared" si="87"/>
        <v>D373774-V</v>
      </c>
      <c r="P139" s="94" t="str">
        <f t="shared" si="88"/>
        <v>D373774-ae</v>
      </c>
      <c r="Q139" s="94" t="str">
        <f t="shared" si="89"/>
        <v>D373774-ak</v>
      </c>
    </row>
    <row r="140" spans="1:17">
      <c r="A140" s="220">
        <f t="shared" ca="1" si="57"/>
        <v>131</v>
      </c>
      <c r="B140" s="96" t="s">
        <v>1213</v>
      </c>
      <c r="C140" s="83" t="s">
        <v>1212</v>
      </c>
      <c r="D140" s="74" t="s">
        <v>7</v>
      </c>
      <c r="E140" s="206">
        <v>14</v>
      </c>
      <c r="F140" s="99">
        <f ca="1">_xlfn.XLOOKUP(O140,APU!$B$2:$B$10000,APU!$G$2:$G$10000,,0,1)</f>
        <v>48038</v>
      </c>
      <c r="G140" s="99">
        <f ca="1">_xlfn.XLOOKUP(P140,APU!$B$2:$B$10000,APU!$G$2:$G$10000,,0,1)</f>
        <v>12247.787499999999</v>
      </c>
      <c r="H140" s="99">
        <f ca="1">_xlfn.XLOOKUP(Q140,APU!$B$2:$B$10000,APU!$G$2:$G$10000,,0,1)</f>
        <v>17038.460648951441</v>
      </c>
      <c r="I140" s="81">
        <f t="shared" ca="1" si="82"/>
        <v>77324.248148951447</v>
      </c>
      <c r="J140" s="80">
        <f t="shared" ca="1" si="83"/>
        <v>672532</v>
      </c>
      <c r="K140" s="80">
        <f t="shared" ca="1" si="84"/>
        <v>171469.02499999997</v>
      </c>
      <c r="L140" s="80">
        <f t="shared" ca="1" si="85"/>
        <v>238538.44908532017</v>
      </c>
      <c r="M140" s="82">
        <f t="shared" ca="1" si="86"/>
        <v>1082539.47408532</v>
      </c>
      <c r="N140" s="6">
        <v>8731964</v>
      </c>
      <c r="O140" s="94" t="str">
        <f t="shared" si="87"/>
        <v>117C350F-V</v>
      </c>
      <c r="P140" s="94" t="str">
        <f t="shared" si="88"/>
        <v>117C350F-ae</v>
      </c>
      <c r="Q140" s="94" t="str">
        <f t="shared" si="89"/>
        <v>117C350F-ak</v>
      </c>
    </row>
    <row r="141" spans="1:17">
      <c r="A141" s="220">
        <f t="shared" ca="1" si="57"/>
        <v>132</v>
      </c>
      <c r="B141" s="96" t="s">
        <v>1214</v>
      </c>
      <c r="C141" s="83" t="s">
        <v>1669</v>
      </c>
      <c r="D141" s="74" t="s">
        <v>7</v>
      </c>
      <c r="E141" s="206">
        <v>15</v>
      </c>
      <c r="F141" s="99">
        <f ca="1">_xlfn.XLOOKUP(O141,APU!$B$2:$B$10000,APU!$G$2:$G$10000,,0,1)</f>
        <v>24566</v>
      </c>
      <c r="G141" s="99">
        <f ca="1">_xlfn.XLOOKUP(P141,APU!$B$2:$B$10000,APU!$G$2:$G$10000,,0,1)</f>
        <v>5360.4374999999991</v>
      </c>
      <c r="H141" s="99">
        <f ca="1">_xlfn.XLOOKUP(Q141,APU!$B$2:$B$10000,APU!$G$2:$G$10000,,0,1)</f>
        <v>7863.9049149006632</v>
      </c>
      <c r="I141" s="81">
        <f t="shared" ca="1" si="82"/>
        <v>37790.342414900661</v>
      </c>
      <c r="J141" s="80">
        <f t="shared" ca="1" si="83"/>
        <v>368490</v>
      </c>
      <c r="K141" s="80">
        <f t="shared" ca="1" si="84"/>
        <v>80406.562499999985</v>
      </c>
      <c r="L141" s="80">
        <f t="shared" ca="1" si="85"/>
        <v>117958.57372350995</v>
      </c>
      <c r="M141" s="82">
        <f t="shared" ca="1" si="86"/>
        <v>566855.13622350991</v>
      </c>
      <c r="N141" s="1">
        <v>6573179</v>
      </c>
      <c r="O141" s="94" t="str">
        <f t="shared" si="87"/>
        <v>63A0AB0-V</v>
      </c>
      <c r="P141" s="94" t="str">
        <f t="shared" si="88"/>
        <v>63A0AB0-ae</v>
      </c>
      <c r="Q141" s="94" t="str">
        <f t="shared" si="89"/>
        <v>63A0AB0-ak</v>
      </c>
    </row>
    <row r="142" spans="1:17">
      <c r="A142" s="220">
        <f t="shared" ca="1" si="57"/>
        <v>133</v>
      </c>
      <c r="B142" s="96" t="s">
        <v>1216</v>
      </c>
      <c r="C142" s="83" t="s">
        <v>1215</v>
      </c>
      <c r="D142" s="74" t="s">
        <v>7</v>
      </c>
      <c r="E142" s="206">
        <v>10</v>
      </c>
      <c r="F142" s="99">
        <f ca="1">_xlfn.XLOOKUP(O142,APU!$B$2:$B$10000,APU!$G$2:$G$10000,,0,1)</f>
        <v>240796.9</v>
      </c>
      <c r="G142" s="99">
        <f ca="1">_xlfn.XLOOKUP(P142,APU!$B$2:$B$10000,APU!$G$2:$G$10000,,0,1)</f>
        <v>11162.705</v>
      </c>
      <c r="H142" s="99">
        <f ca="1">_xlfn.XLOOKUP(Q142,APU!$B$2:$B$10000,APU!$G$2:$G$10000,,0,1)</f>
        <v>132480.13152882256</v>
      </c>
      <c r="I142" s="81">
        <f t="shared" ca="1" si="82"/>
        <v>384439.73652882257</v>
      </c>
      <c r="J142" s="80">
        <f t="shared" ca="1" si="83"/>
        <v>2407969</v>
      </c>
      <c r="K142" s="80">
        <f t="shared" ca="1" si="84"/>
        <v>111627.05</v>
      </c>
      <c r="L142" s="80">
        <f t="shared" ca="1" si="85"/>
        <v>1324801.3152882257</v>
      </c>
      <c r="M142" s="82">
        <f t="shared" ca="1" si="86"/>
        <v>3844397.3652882255</v>
      </c>
      <c r="N142" s="1">
        <v>5419432</v>
      </c>
      <c r="O142" s="94" t="str">
        <f t="shared" si="87"/>
        <v>27632337-V</v>
      </c>
      <c r="P142" s="94" t="str">
        <f t="shared" si="88"/>
        <v>27632337-ae</v>
      </c>
      <c r="Q142" s="94" t="str">
        <f t="shared" si="89"/>
        <v>27632337-ak</v>
      </c>
    </row>
    <row r="143" spans="1:17">
      <c r="A143" s="220">
        <f t="shared" ca="1" si="57"/>
        <v>134</v>
      </c>
      <c r="B143" s="96" t="s">
        <v>1218</v>
      </c>
      <c r="C143" s="83" t="s">
        <v>1217</v>
      </c>
      <c r="D143" s="74" t="s">
        <v>7</v>
      </c>
      <c r="E143" s="206">
        <v>10</v>
      </c>
      <c r="F143" s="99">
        <f ca="1">_xlfn.XLOOKUP(O143,APU!$B$2:$B$10000,APU!$G$2:$G$10000,,0,1)</f>
        <v>99710.5</v>
      </c>
      <c r="G143" s="99">
        <f ca="1">_xlfn.XLOOKUP(P143,APU!$B$2:$B$10000,APU!$G$2:$G$10000,,0,1)</f>
        <v>11162.705</v>
      </c>
      <c r="H143" s="99">
        <f ca="1">_xlfn.XLOOKUP(Q143,APU!$B$2:$B$10000,APU!$G$2:$G$10000,,0,1)</f>
        <v>87110.223471006611</v>
      </c>
      <c r="I143" s="81">
        <f t="shared" ca="1" si="82"/>
        <v>197983.42847100663</v>
      </c>
      <c r="J143" s="80">
        <f t="shared" ca="1" si="83"/>
        <v>997105</v>
      </c>
      <c r="K143" s="80">
        <f t="shared" ca="1" si="84"/>
        <v>111627.05</v>
      </c>
      <c r="L143" s="80">
        <f t="shared" ca="1" si="85"/>
        <v>871102.23471006611</v>
      </c>
      <c r="M143" s="82">
        <f t="shared" ca="1" si="86"/>
        <v>1979834.2847100662</v>
      </c>
      <c r="N143" s="1">
        <v>5082465</v>
      </c>
      <c r="O143" s="94" t="str">
        <f t="shared" si="87"/>
        <v>27FA8783-V</v>
      </c>
      <c r="P143" s="94" t="str">
        <f t="shared" si="88"/>
        <v>27FA8783-ae</v>
      </c>
      <c r="Q143" s="94" t="str">
        <f t="shared" si="89"/>
        <v>27FA8783-ak</v>
      </c>
    </row>
    <row r="144" spans="1:17" ht="27">
      <c r="A144" s="220">
        <f t="shared" ca="1" si="57"/>
        <v>135</v>
      </c>
      <c r="B144" s="96" t="s">
        <v>1220</v>
      </c>
      <c r="C144" s="83" t="s">
        <v>1221</v>
      </c>
      <c r="D144" s="74" t="s">
        <v>9</v>
      </c>
      <c r="E144" s="206">
        <v>1</v>
      </c>
      <c r="F144" s="99">
        <f ca="1">_xlfn.XLOOKUP(O144,APU!$B$2:$B$10000,APU!$G$2:$G$10000,,0,1)</f>
        <v>149440</v>
      </c>
      <c r="G144" s="99">
        <f ca="1">_xlfn.XLOOKUP(P144,APU!$B$2:$B$10000,APU!$G$2:$G$10000,,0,1)</f>
        <v>4084.4909374999993</v>
      </c>
      <c r="H144" s="99">
        <f ca="1">_xlfn.XLOOKUP(Q144,APU!$B$2:$B$10000,APU!$G$2:$G$10000,,0,1)</f>
        <v>27221.94483468957</v>
      </c>
      <c r="I144" s="81">
        <f t="shared" ca="1" si="82"/>
        <v>180746.43577218958</v>
      </c>
      <c r="J144" s="80">
        <f t="shared" ca="1" si="83"/>
        <v>149440</v>
      </c>
      <c r="K144" s="80">
        <f t="shared" ca="1" si="84"/>
        <v>4084.4909374999993</v>
      </c>
      <c r="L144" s="80">
        <f t="shared" ca="1" si="85"/>
        <v>27221.94483468957</v>
      </c>
      <c r="M144" s="82">
        <f t="shared" ca="1" si="86"/>
        <v>180746.43577218958</v>
      </c>
      <c r="N144" s="1">
        <v>6826919</v>
      </c>
      <c r="O144" s="94" t="str">
        <f t="shared" si="87"/>
        <v>217E0A6B-V</v>
      </c>
      <c r="P144" s="94" t="str">
        <f t="shared" si="88"/>
        <v>217E0A6B-ae</v>
      </c>
      <c r="Q144" s="94" t="str">
        <f t="shared" si="89"/>
        <v>217E0A6B-ak</v>
      </c>
    </row>
    <row r="145" spans="1:17">
      <c r="A145" s="220">
        <f t="shared" ca="1" si="57"/>
        <v>136</v>
      </c>
      <c r="B145" s="96" t="s">
        <v>1223</v>
      </c>
      <c r="C145" s="83" t="s">
        <v>1222</v>
      </c>
      <c r="D145" s="74" t="s">
        <v>9</v>
      </c>
      <c r="E145" s="206">
        <v>2</v>
      </c>
      <c r="F145" s="99">
        <f ca="1">_xlfn.XLOOKUP(O145,APU!$B$2:$B$10000,APU!$G$2:$G$10000,,0,1)</f>
        <v>116644.2</v>
      </c>
      <c r="G145" s="99">
        <f ca="1">_xlfn.XLOOKUP(P145,APU!$B$2:$B$10000,APU!$G$2:$G$10000,,0,1)</f>
        <v>4084.4909374999993</v>
      </c>
      <c r="H145" s="99">
        <f ca="1">_xlfn.XLOOKUP(Q145,APU!$B$2:$B$10000,APU!$G$2:$G$10000,,0,1)</f>
        <v>40832.917252034356</v>
      </c>
      <c r="I145" s="81">
        <f t="shared" ca="1" si="82"/>
        <v>161561.60818953434</v>
      </c>
      <c r="J145" s="80">
        <f t="shared" ca="1" si="83"/>
        <v>233288.4</v>
      </c>
      <c r="K145" s="80">
        <f t="shared" ca="1" si="84"/>
        <v>8168.9818749999986</v>
      </c>
      <c r="L145" s="80">
        <f t="shared" ca="1" si="85"/>
        <v>81665.834504068713</v>
      </c>
      <c r="M145" s="82">
        <f t="shared" ca="1" si="86"/>
        <v>323123.21637906868</v>
      </c>
      <c r="N145" s="1">
        <v>4676512</v>
      </c>
      <c r="O145" s="94" t="str">
        <f t="shared" si="87"/>
        <v>2BB0FCC2-V</v>
      </c>
      <c r="P145" s="94" t="str">
        <f t="shared" si="88"/>
        <v>2BB0FCC2-ae</v>
      </c>
      <c r="Q145" s="94" t="str">
        <f t="shared" si="89"/>
        <v>2BB0FCC2-ak</v>
      </c>
    </row>
    <row r="146" spans="1:17">
      <c r="A146" s="220">
        <f t="shared" ca="1" si="57"/>
        <v>137</v>
      </c>
      <c r="B146" s="96" t="s">
        <v>1227</v>
      </c>
      <c r="C146" s="83" t="s">
        <v>1226</v>
      </c>
      <c r="D146" s="74" t="s">
        <v>7</v>
      </c>
      <c r="E146" s="206">
        <v>10</v>
      </c>
      <c r="F146" s="99">
        <f ca="1">_xlfn.XLOOKUP(O146,APU!$B$2:$B$10000,APU!$G$2:$G$10000,,0,1)</f>
        <v>62420</v>
      </c>
      <c r="G146" s="99">
        <f ca="1">_xlfn.XLOOKUP(P146,APU!$B$2:$B$10000,APU!$G$2:$G$10000,,0,1)</f>
        <v>3012.4034374999992</v>
      </c>
      <c r="H146" s="99">
        <f ca="1">_xlfn.XLOOKUP(Q146,APU!$B$2:$B$10000,APU!$G$2:$G$10000,,0,1)</f>
        <v>16333.166900813741</v>
      </c>
      <c r="I146" s="81">
        <f t="shared" ca="1" si="82"/>
        <v>81765.570338313744</v>
      </c>
      <c r="J146" s="80">
        <f t="shared" ca="1" si="83"/>
        <v>624200</v>
      </c>
      <c r="K146" s="80">
        <f t="shared" ca="1" si="84"/>
        <v>30124.034374999992</v>
      </c>
      <c r="L146" s="80">
        <f t="shared" ca="1" si="85"/>
        <v>163331.66900813743</v>
      </c>
      <c r="M146" s="82">
        <f t="shared" ca="1" si="86"/>
        <v>817655.70338313747</v>
      </c>
      <c r="N146" s="1">
        <v>4420464</v>
      </c>
      <c r="O146" s="94" t="str">
        <f t="shared" si="87"/>
        <v>62C4797-V</v>
      </c>
      <c r="P146" s="94" t="str">
        <f t="shared" si="88"/>
        <v>62C4797-ae</v>
      </c>
      <c r="Q146" s="94" t="str">
        <f t="shared" si="89"/>
        <v>62C4797-ak</v>
      </c>
    </row>
    <row r="147" spans="1:17">
      <c r="A147" s="220">
        <f t="shared" ca="1" si="57"/>
        <v>138</v>
      </c>
      <c r="B147" s="96" t="s">
        <v>1233</v>
      </c>
      <c r="C147" s="83" t="s">
        <v>1232</v>
      </c>
      <c r="D147" s="74" t="s">
        <v>7</v>
      </c>
      <c r="E147" s="206">
        <v>11</v>
      </c>
      <c r="F147" s="99">
        <f ca="1">_xlfn.XLOOKUP(O147,APU!$B$2:$B$10000,APU!$G$2:$G$10000,,0,1)</f>
        <v>24068</v>
      </c>
      <c r="G147" s="99">
        <f ca="1">_xlfn.XLOOKUP(P147,APU!$B$2:$B$10000,APU!$G$2:$G$10000,,0,1)</f>
        <v>959.19343749999985</v>
      </c>
      <c r="H147" s="99">
        <f ca="1">_xlfn.XLOOKUP(Q147,APU!$B$2:$B$10000,APU!$G$2:$G$10000,,0,1)</f>
        <v>8166.5834504068707</v>
      </c>
      <c r="I147" s="81">
        <f t="shared" ca="1" si="82"/>
        <v>33193.776887906868</v>
      </c>
      <c r="J147" s="80">
        <f t="shared" ca="1" si="83"/>
        <v>264748</v>
      </c>
      <c r="K147" s="80">
        <f t="shared" ca="1" si="84"/>
        <v>10551.127812499999</v>
      </c>
      <c r="L147" s="80">
        <f t="shared" ca="1" si="85"/>
        <v>89832.417954475575</v>
      </c>
      <c r="M147" s="82">
        <f t="shared" ca="1" si="86"/>
        <v>365131.54576697556</v>
      </c>
      <c r="N147" s="1">
        <v>9355124</v>
      </c>
      <c r="O147" s="94" t="str">
        <f t="shared" si="87"/>
        <v>1FB19758-V</v>
      </c>
      <c r="P147" s="94" t="str">
        <f t="shared" si="88"/>
        <v>1FB19758-ae</v>
      </c>
      <c r="Q147" s="94" t="str">
        <f t="shared" si="89"/>
        <v>1FB19758-ak</v>
      </c>
    </row>
    <row r="148" spans="1:17">
      <c r="A148" s="220">
        <f t="shared" ca="1" si="57"/>
        <v>139</v>
      </c>
      <c r="B148" s="96" t="s">
        <v>1237</v>
      </c>
      <c r="C148" s="83" t="s">
        <v>1234</v>
      </c>
      <c r="D148" s="74" t="s">
        <v>7</v>
      </c>
      <c r="E148" s="206">
        <v>12</v>
      </c>
      <c r="F148" s="99">
        <f ca="1">_xlfn.XLOOKUP(O148,APU!$B$2:$B$10000,APU!$G$2:$G$10000,,0,1)</f>
        <v>10692</v>
      </c>
      <c r="G148" s="99">
        <f ca="1">_xlfn.XLOOKUP(P148,APU!$B$2:$B$10000,APU!$G$2:$G$10000,,0,1)</f>
        <v>666.80593749999991</v>
      </c>
      <c r="H148" s="99">
        <f ca="1">_xlfn.XLOOKUP(Q148,APU!$B$2:$B$10000,APU!$G$2:$G$10000,,0,1)</f>
        <v>3629.5926446252761</v>
      </c>
      <c r="I148" s="81">
        <f t="shared" ca="1" si="82"/>
        <v>14988.398582125275</v>
      </c>
      <c r="J148" s="80">
        <f t="shared" ca="1" si="83"/>
        <v>128304</v>
      </c>
      <c r="K148" s="80">
        <f t="shared" ca="1" si="84"/>
        <v>8001.6712499999994</v>
      </c>
      <c r="L148" s="80">
        <f t="shared" ca="1" si="85"/>
        <v>43555.111735503313</v>
      </c>
      <c r="M148" s="82">
        <f t="shared" ca="1" si="86"/>
        <v>179860.78298550332</v>
      </c>
      <c r="N148" s="1">
        <v>3145075</v>
      </c>
      <c r="O148" s="94" t="str">
        <f t="shared" si="87"/>
        <v>241C39D4-V</v>
      </c>
      <c r="P148" s="94" t="str">
        <f t="shared" si="88"/>
        <v>241C39D4-ae</v>
      </c>
      <c r="Q148" s="94" t="str">
        <f t="shared" si="89"/>
        <v>241C39D4-ak</v>
      </c>
    </row>
    <row r="149" spans="1:17">
      <c r="A149" s="220">
        <f t="shared" ca="1" si="57"/>
        <v>140</v>
      </c>
      <c r="B149" s="96" t="s">
        <v>1239</v>
      </c>
      <c r="C149" s="83" t="s">
        <v>1238</v>
      </c>
      <c r="D149" s="74" t="s">
        <v>9</v>
      </c>
      <c r="E149" s="206">
        <v>2</v>
      </c>
      <c r="F149" s="99">
        <f ca="1">_xlfn.XLOOKUP(O149,APU!$B$2:$B$10000,APU!$G$2:$G$10000,,0,1)</f>
        <v>38640</v>
      </c>
      <c r="G149" s="99">
        <f ca="1">_xlfn.XLOOKUP(P149,APU!$B$2:$B$10000,APU!$G$2:$G$10000,,0,1)</f>
        <v>11305.649999999998</v>
      </c>
      <c r="H149" s="99">
        <f ca="1">_xlfn.XLOOKUP(Q149,APU!$B$2:$B$10000,APU!$G$2:$G$10000,,0,1)</f>
        <v>19962.759545439018</v>
      </c>
      <c r="I149" s="81">
        <f t="shared" ca="1" si="82"/>
        <v>69908.409545439004</v>
      </c>
      <c r="J149" s="80">
        <f t="shared" ca="1" si="83"/>
        <v>77280</v>
      </c>
      <c r="K149" s="80">
        <f t="shared" ca="1" si="84"/>
        <v>22611.299999999996</v>
      </c>
      <c r="L149" s="80">
        <f t="shared" ca="1" si="85"/>
        <v>39925.519090878035</v>
      </c>
      <c r="M149" s="82">
        <f t="shared" ca="1" si="86"/>
        <v>139816.81909087801</v>
      </c>
      <c r="N149" s="1">
        <v>7737248</v>
      </c>
      <c r="O149" s="94" t="str">
        <f t="shared" si="87"/>
        <v>2E81DCF0-V</v>
      </c>
      <c r="P149" s="94" t="str">
        <f t="shared" si="88"/>
        <v>2E81DCF0-ae</v>
      </c>
      <c r="Q149" s="94" t="str">
        <f t="shared" si="89"/>
        <v>2E81DCF0-ak</v>
      </c>
    </row>
    <row r="150" spans="1:17" ht="27">
      <c r="A150" s="220">
        <f t="shared" ca="1" si="57"/>
        <v>141</v>
      </c>
      <c r="B150" s="96" t="s">
        <v>1243</v>
      </c>
      <c r="C150" s="83" t="s">
        <v>1242</v>
      </c>
      <c r="D150" s="74" t="s">
        <v>9</v>
      </c>
      <c r="E150" s="206">
        <v>1</v>
      </c>
      <c r="F150" s="99">
        <f ca="1">_xlfn.XLOOKUP(O150,APU!$B$2:$B$10000,APU!$G$2:$G$10000,,0,1)</f>
        <v>53070360</v>
      </c>
      <c r="G150" s="99">
        <f ca="1">_xlfn.XLOOKUP(P150,APU!$B$2:$B$10000,APU!$G$2:$G$10000,,0,1)</f>
        <v>937426.81249999988</v>
      </c>
      <c r="H150" s="99">
        <f ca="1">_xlfn.XLOOKUP(Q150,APU!$B$2:$B$10000,APU!$G$2:$G$10000,,0,1)</f>
        <v>2722194.4834689568</v>
      </c>
      <c r="I150" s="81">
        <f t="shared" ca="1" si="82"/>
        <v>56729981.295968957</v>
      </c>
      <c r="J150" s="80">
        <f t="shared" ca="1" si="83"/>
        <v>53070360</v>
      </c>
      <c r="K150" s="80">
        <f t="shared" ca="1" si="84"/>
        <v>937426.81249999988</v>
      </c>
      <c r="L150" s="80">
        <f t="shared" ca="1" si="85"/>
        <v>2722194.4834689568</v>
      </c>
      <c r="M150" s="82">
        <f t="shared" ca="1" si="86"/>
        <v>56729981.295968957</v>
      </c>
      <c r="N150" s="1">
        <v>5754176</v>
      </c>
      <c r="O150" s="94" t="str">
        <f t="shared" ref="O150:O155" si="90">_xlfn.CONCAT(B150,"V")</f>
        <v>189D8287-V</v>
      </c>
      <c r="P150" s="94" t="str">
        <f t="shared" ref="P150:P155" si="91">_xlfn.CONCAT(B150,"ae")</f>
        <v>189D8287-ae</v>
      </c>
      <c r="Q150" s="94" t="str">
        <f t="shared" ref="Q150:Q155" si="92">_xlfn.CONCAT(B150,"ak")</f>
        <v>189D8287-ak</v>
      </c>
    </row>
    <row r="151" spans="1:17">
      <c r="A151" s="220">
        <f t="shared" ca="1" si="57"/>
        <v>142</v>
      </c>
      <c r="B151" s="96" t="s">
        <v>1247</v>
      </c>
      <c r="C151" s="83" t="s">
        <v>1246</v>
      </c>
      <c r="D151" s="74" t="s">
        <v>9</v>
      </c>
      <c r="E151" s="206">
        <v>2</v>
      </c>
      <c r="F151" s="99">
        <f ca="1">_xlfn.XLOOKUP(O151,APU!$B$2:$B$10000,APU!$G$2:$G$10000,,0,1)</f>
        <v>474970</v>
      </c>
      <c r="G151" s="99">
        <f ca="1">_xlfn.XLOOKUP(P151,APU!$B$2:$B$10000,APU!$G$2:$G$10000,,0,1)</f>
        <v>25307.762499999997</v>
      </c>
      <c r="H151" s="99">
        <f ca="1">_xlfn.XLOOKUP(Q151,APU!$B$2:$B$10000,APU!$G$2:$G$10000,,0,1)</f>
        <v>90739.816115631897</v>
      </c>
      <c r="I151" s="81">
        <f t="shared" ca="1" si="82"/>
        <v>591017.57861563191</v>
      </c>
      <c r="J151" s="80">
        <f t="shared" ca="1" si="83"/>
        <v>949940</v>
      </c>
      <c r="K151" s="80">
        <f t="shared" ca="1" si="84"/>
        <v>50615.524999999994</v>
      </c>
      <c r="L151" s="80">
        <f t="shared" ca="1" si="85"/>
        <v>181479.63223126379</v>
      </c>
      <c r="M151" s="82">
        <f t="shared" ca="1" si="86"/>
        <v>1182035.1572312638</v>
      </c>
      <c r="N151" s="1">
        <v>5239516</v>
      </c>
      <c r="O151" s="94" t="str">
        <f t="shared" si="90"/>
        <v>10FDB09C-V</v>
      </c>
      <c r="P151" s="94" t="str">
        <f t="shared" si="91"/>
        <v>10FDB09C-ae</v>
      </c>
      <c r="Q151" s="94" t="str">
        <f t="shared" si="92"/>
        <v>10FDB09C-ak</v>
      </c>
    </row>
    <row r="152" spans="1:17" ht="40.5">
      <c r="A152" s="220">
        <f t="shared" ca="1" si="57"/>
        <v>143</v>
      </c>
      <c r="B152" s="96" t="s">
        <v>1250</v>
      </c>
      <c r="C152" s="83" t="s">
        <v>1249</v>
      </c>
      <c r="D152" s="74" t="s">
        <v>9</v>
      </c>
      <c r="E152" s="206">
        <v>2</v>
      </c>
      <c r="F152" s="99">
        <f ca="1">_xlfn.XLOOKUP(O152,APU!$B$2:$B$10000,APU!$G$2:$G$10000,,0,1)</f>
        <v>111700</v>
      </c>
      <c r="G152" s="99">
        <f ca="1">_xlfn.XLOOKUP(P152,APU!$B$2:$B$10000,APU!$G$2:$G$10000,,0,1)</f>
        <v>484.06374999999991</v>
      </c>
      <c r="H152" s="99">
        <f ca="1">_xlfn.XLOOKUP(Q152,APU!$B$2:$B$10000,APU!$G$2:$G$10000,,0,1)</f>
        <v>7259.1852892505522</v>
      </c>
      <c r="I152" s="81">
        <f t="shared" ca="1" si="82"/>
        <v>119443.24903925056</v>
      </c>
      <c r="J152" s="80">
        <f t="shared" ca="1" si="83"/>
        <v>223400</v>
      </c>
      <c r="K152" s="80">
        <f t="shared" ca="1" si="84"/>
        <v>968.12749999999983</v>
      </c>
      <c r="L152" s="80">
        <f t="shared" ca="1" si="85"/>
        <v>14518.370578501104</v>
      </c>
      <c r="M152" s="82">
        <f t="shared" ca="1" si="86"/>
        <v>238886.49807850111</v>
      </c>
      <c r="N152" s="1">
        <v>9927964</v>
      </c>
      <c r="O152" s="94" t="str">
        <f t="shared" si="90"/>
        <v>A956480-V</v>
      </c>
      <c r="P152" s="94" t="str">
        <f t="shared" si="91"/>
        <v>A956480-ae</v>
      </c>
      <c r="Q152" s="94" t="str">
        <f t="shared" si="92"/>
        <v>A956480-ak</v>
      </c>
    </row>
    <row r="153" spans="1:17">
      <c r="A153" s="220">
        <f ca="1">HYPERLINK("#"&amp;CELL("direccion",APU!A6338),IF(E153&gt;0,A152+1,""))</f>
        <v>144</v>
      </c>
      <c r="B153" s="96" t="s">
        <v>1255</v>
      </c>
      <c r="C153" s="83" t="s">
        <v>1254</v>
      </c>
      <c r="D153" s="74" t="s">
        <v>9</v>
      </c>
      <c r="E153" s="206">
        <v>3</v>
      </c>
      <c r="F153" s="99">
        <f ca="1">_xlfn.XLOOKUP(O153,APU!$B$2:$B$10000,APU!$G$2:$G$10000,,0,1)</f>
        <v>56689</v>
      </c>
      <c r="G153" s="99">
        <f ca="1">_xlfn.XLOOKUP(P153,APU!$B$2:$B$10000,APU!$G$2:$G$10000,,0,1)</f>
        <v>358.986875</v>
      </c>
      <c r="H153" s="99">
        <f ca="1">_xlfn.XLOOKUP(Q153,APU!$B$2:$B$10000,APU!$G$2:$G$10000,,0,1)</f>
        <v>176.434989972827</v>
      </c>
      <c r="I153" s="81">
        <f t="shared" ca="1" si="82"/>
        <v>57224.421864972828</v>
      </c>
      <c r="J153" s="80">
        <f t="shared" ca="1" si="83"/>
        <v>170067</v>
      </c>
      <c r="K153" s="80">
        <f t="shared" ca="1" si="84"/>
        <v>1076.9606249999999</v>
      </c>
      <c r="L153" s="80">
        <f t="shared" ca="1" si="85"/>
        <v>529.30496991848099</v>
      </c>
      <c r="M153" s="82">
        <f t="shared" ca="1" si="86"/>
        <v>171673.26559491848</v>
      </c>
      <c r="N153" s="1">
        <v>8948057</v>
      </c>
      <c r="O153" s="94" t="str">
        <f t="shared" si="90"/>
        <v>373651DD-V</v>
      </c>
      <c r="P153" s="94" t="str">
        <f t="shared" si="91"/>
        <v>373651DD-ae</v>
      </c>
      <c r="Q153" s="94" t="str">
        <f t="shared" si="92"/>
        <v>373651DD-ak</v>
      </c>
    </row>
    <row r="154" spans="1:17">
      <c r="A154" s="220">
        <f ca="1">HYPERLINK("#"&amp;CELL("direccion",APU!A6382),IF(E154&gt;0,A153+1,""))</f>
        <v>145</v>
      </c>
      <c r="B154" s="96" t="s">
        <v>1259</v>
      </c>
      <c r="C154" s="83" t="s">
        <v>1258</v>
      </c>
      <c r="D154" s="74" t="s">
        <v>9</v>
      </c>
      <c r="E154" s="206">
        <v>1</v>
      </c>
      <c r="F154" s="99">
        <f ca="1">_xlfn.XLOOKUP(O154,APU!$B$2:$B$10000,APU!$G$2:$G$10000,,0,1)</f>
        <v>1460</v>
      </c>
      <c r="G154" s="99">
        <f ca="1">_xlfn.XLOOKUP(P154,APU!$B$2:$B$10000,APU!$G$2:$G$10000,,0,1)</f>
        <v>505.18062499999996</v>
      </c>
      <c r="H154" s="99">
        <f ca="1">_xlfn.XLOOKUP(Q154,APU!$B$2:$B$10000,APU!$G$2:$G$10000,,0,1)</f>
        <v>18147.963223126379</v>
      </c>
      <c r="I154" s="81">
        <f t="shared" ca="1" si="82"/>
        <v>20113.143848126379</v>
      </c>
      <c r="J154" s="80">
        <f t="shared" ca="1" si="83"/>
        <v>1460</v>
      </c>
      <c r="K154" s="80">
        <f t="shared" ca="1" si="84"/>
        <v>505.18062499999996</v>
      </c>
      <c r="L154" s="80">
        <f t="shared" ca="1" si="85"/>
        <v>18147.963223126379</v>
      </c>
      <c r="M154" s="82">
        <f t="shared" ca="1" si="86"/>
        <v>20113.143848126379</v>
      </c>
      <c r="N154" s="1">
        <v>9968393</v>
      </c>
      <c r="O154" s="94" t="str">
        <f t="shared" si="90"/>
        <v>235B10A6-V</v>
      </c>
      <c r="P154" s="94" t="str">
        <f t="shared" si="91"/>
        <v>235B10A6-ae</v>
      </c>
      <c r="Q154" s="94" t="str">
        <f t="shared" si="92"/>
        <v>235B10A6-ak</v>
      </c>
    </row>
    <row r="155" spans="1:17">
      <c r="A155" s="220">
        <f ca="1">HYPERLINK("#"&amp;CELL("direccion",APU!A6426),IF(E155&gt;0,A154+1,""))</f>
        <v>146</v>
      </c>
      <c r="B155" s="96" t="s">
        <v>1265</v>
      </c>
      <c r="C155" s="83" t="s">
        <v>1264</v>
      </c>
      <c r="D155" s="74" t="s">
        <v>9</v>
      </c>
      <c r="E155" s="206">
        <v>10</v>
      </c>
      <c r="F155" s="99">
        <f ca="1">_xlfn.XLOOKUP(O155,APU!$B$2:$B$10000,APU!$G$2:$G$10000,,0,1)</f>
        <v>5110</v>
      </c>
      <c r="G155" s="99">
        <f ca="1">_xlfn.XLOOKUP(P155,APU!$B$2:$B$10000,APU!$G$2:$G$10000,,0,1)</f>
        <v>1304.3731249999996</v>
      </c>
      <c r="H155" s="99">
        <f ca="1">_xlfn.XLOOKUP(Q155,APU!$B$2:$B$10000,APU!$G$2:$G$10000,,0,1)</f>
        <v>34481.130123940122</v>
      </c>
      <c r="I155" s="81">
        <f t="shared" ca="1" si="82"/>
        <v>40895.50324894012</v>
      </c>
      <c r="J155" s="80">
        <f t="shared" ca="1" si="83"/>
        <v>51100</v>
      </c>
      <c r="K155" s="80">
        <f t="shared" ca="1" si="84"/>
        <v>13043.731249999997</v>
      </c>
      <c r="L155" s="80">
        <f t="shared" ca="1" si="85"/>
        <v>344811.30123940122</v>
      </c>
      <c r="M155" s="82">
        <f t="shared" ca="1" si="86"/>
        <v>408955.03248940123</v>
      </c>
      <c r="N155" s="1">
        <v>4213863</v>
      </c>
      <c r="O155" s="94" t="str">
        <f t="shared" si="90"/>
        <v>77B2DCE-V</v>
      </c>
      <c r="P155" s="94" t="str">
        <f t="shared" si="91"/>
        <v>77B2DCE-ae</v>
      </c>
      <c r="Q155" s="94" t="str">
        <f t="shared" si="92"/>
        <v>77B2DCE-ak</v>
      </c>
    </row>
    <row r="156" spans="1:17">
      <c r="A156" s="220">
        <f ca="1">HYPERLINK("#"&amp;CELL("direccion",APU!A6470),IF(E156&gt;0,A155+1,""))</f>
        <v>147</v>
      </c>
      <c r="B156" s="96" t="s">
        <v>1269</v>
      </c>
      <c r="C156" s="83" t="s">
        <v>1268</v>
      </c>
      <c r="D156" s="74" t="s">
        <v>7</v>
      </c>
      <c r="E156" s="206">
        <v>15</v>
      </c>
      <c r="F156" s="99">
        <f ca="1">_xlfn.XLOOKUP(O156,APU!$B$2:$B$10000,APU!$G$2:$G$10000,,0,1)</f>
        <v>75787.5</v>
      </c>
      <c r="G156" s="99">
        <f ca="1">_xlfn.XLOOKUP(P156,APU!$B$2:$B$10000,APU!$G$2:$G$10000,,0,1)</f>
        <v>963.25437499999987</v>
      </c>
      <c r="H156" s="99">
        <f ca="1">_xlfn.XLOOKUP(Q156,APU!$B$2:$B$10000,APU!$G$2:$G$10000,,0,1)</f>
        <v>24499.750351220613</v>
      </c>
      <c r="I156" s="81">
        <f t="shared" ref="I156:I170" ca="1" si="93">+(F156+G156+H156)</f>
        <v>101250.50472622062</v>
      </c>
      <c r="J156" s="80">
        <f t="shared" ref="J156:J170" ca="1" si="94">+E156*F156</f>
        <v>1136812.5</v>
      </c>
      <c r="K156" s="80">
        <f t="shared" ref="K156:K170" ca="1" si="95">+G156*E156</f>
        <v>14448.815624999997</v>
      </c>
      <c r="L156" s="80">
        <f t="shared" ref="L156:L170" ca="1" si="96">+H156*E156</f>
        <v>367496.25526830921</v>
      </c>
      <c r="M156" s="82">
        <f t="shared" ref="M156:M170" ca="1" si="97">SUM(J156:L156)</f>
        <v>1518757.5708933093</v>
      </c>
      <c r="N156" s="1">
        <v>2926134</v>
      </c>
      <c r="O156" s="94" t="str">
        <f t="shared" ref="O156:O170" si="98">_xlfn.CONCAT(B156,"V")</f>
        <v>18C142BD-V</v>
      </c>
      <c r="P156" s="94" t="str">
        <f t="shared" ref="P156:P170" si="99">_xlfn.CONCAT(B156,"ae")</f>
        <v>18C142BD-ae</v>
      </c>
      <c r="Q156" s="94" t="str">
        <f t="shared" ref="Q156:Q170" si="100">_xlfn.CONCAT(B156,"ak")</f>
        <v>18C142BD-ak</v>
      </c>
    </row>
    <row r="157" spans="1:17">
      <c r="A157" s="220">
        <f ca="1">HYPERLINK("#"&amp;CELL("direccion",APU!A6514),IF(E157&gt;0,A156+1,""))</f>
        <v>148</v>
      </c>
      <c r="B157" s="96" t="s">
        <v>1273</v>
      </c>
      <c r="C157" s="83" t="s">
        <v>1272</v>
      </c>
      <c r="D157" s="74" t="s">
        <v>9</v>
      </c>
      <c r="E157" s="206">
        <v>1</v>
      </c>
      <c r="F157" s="99">
        <f ca="1">_xlfn.XLOOKUP(O157,APU!$B$2:$B$10000,APU!$G$2:$G$10000,,0,1)</f>
        <v>421848</v>
      </c>
      <c r="G157" s="99">
        <f ca="1">_xlfn.XLOOKUP(P157,APU!$B$2:$B$10000,APU!$G$2:$G$10000,,0,1)</f>
        <v>3024.4223999999995</v>
      </c>
      <c r="H157" s="99">
        <f ca="1">_xlfn.XLOOKUP(Q157,APU!$B$2:$B$10000,APU!$G$2:$G$10000,,0,1)</f>
        <v>72591.852892505514</v>
      </c>
      <c r="I157" s="81">
        <f t="shared" ca="1" si="93"/>
        <v>497464.27529250551</v>
      </c>
      <c r="J157" s="80">
        <f t="shared" ca="1" si="94"/>
        <v>421848</v>
      </c>
      <c r="K157" s="80">
        <f t="shared" ca="1" si="95"/>
        <v>3024.4223999999995</v>
      </c>
      <c r="L157" s="80">
        <f t="shared" ca="1" si="96"/>
        <v>72591.852892505514</v>
      </c>
      <c r="M157" s="82">
        <f t="shared" ca="1" si="97"/>
        <v>497464.27529250551</v>
      </c>
      <c r="N157" s="1">
        <v>2984649</v>
      </c>
      <c r="O157" s="94" t="str">
        <f t="shared" si="98"/>
        <v>D044C2D-V</v>
      </c>
      <c r="P157" s="94" t="str">
        <f t="shared" si="99"/>
        <v>D044C2D-ae</v>
      </c>
      <c r="Q157" s="94" t="str">
        <f t="shared" si="100"/>
        <v>D044C2D-ak</v>
      </c>
    </row>
    <row r="158" spans="1:17" ht="40.5">
      <c r="A158" s="220">
        <f ca="1">HYPERLINK("#"&amp;CELL("direccion",APU!A6558),IF(E158&gt;0,A157+1,""))</f>
        <v>149</v>
      </c>
      <c r="B158" s="96" t="s">
        <v>1277</v>
      </c>
      <c r="C158" s="83" t="s">
        <v>1276</v>
      </c>
      <c r="D158" s="74" t="s">
        <v>9</v>
      </c>
      <c r="E158" s="206">
        <v>10</v>
      </c>
      <c r="F158" s="99">
        <f ca="1">_xlfn.XLOOKUP(O158,APU!$B$2:$B$10000,APU!$G$2:$G$10000,,0,1)</f>
        <v>216290.26666666666</v>
      </c>
      <c r="G158" s="99">
        <f ca="1">_xlfn.XLOOKUP(P158,APU!$B$2:$B$10000,APU!$G$2:$G$10000,,0,1)</f>
        <v>3682.8700099999996</v>
      </c>
      <c r="H158" s="99">
        <f ca="1">_xlfn.XLOOKUP(Q158,APU!$B$2:$B$10000,APU!$G$2:$G$10000,,0,1)</f>
        <v>49654.666750675708</v>
      </c>
      <c r="I158" s="81">
        <f t="shared" ca="1" si="93"/>
        <v>269627.80342734238</v>
      </c>
      <c r="J158" s="80">
        <f t="shared" ca="1" si="94"/>
        <v>2162902.6666666665</v>
      </c>
      <c r="K158" s="80">
        <f t="shared" ca="1" si="95"/>
        <v>36828.700099999995</v>
      </c>
      <c r="L158" s="80">
        <f t="shared" ca="1" si="96"/>
        <v>496546.66750675708</v>
      </c>
      <c r="M158" s="82">
        <f t="shared" ca="1" si="97"/>
        <v>2696278.0342734237</v>
      </c>
      <c r="N158" s="1">
        <v>4300322</v>
      </c>
      <c r="O158" s="94" t="str">
        <f t="shared" si="98"/>
        <v>133BA2FB-V</v>
      </c>
      <c r="P158" s="94" t="str">
        <f t="shared" si="99"/>
        <v>133BA2FB-ae</v>
      </c>
      <c r="Q158" s="94" t="str">
        <f t="shared" si="100"/>
        <v>133BA2FB-ak</v>
      </c>
    </row>
    <row r="159" spans="1:17">
      <c r="A159" s="220">
        <f ca="1">HYPERLINK("#"&amp;CELL("direccion",APU!A6602),IF(E159&gt;0,A158+1,""))</f>
        <v>150</v>
      </c>
      <c r="B159" s="96" t="s">
        <v>1287</v>
      </c>
      <c r="C159" s="83" t="s">
        <v>1284</v>
      </c>
      <c r="D159" s="74" t="s">
        <v>9</v>
      </c>
      <c r="E159" s="206">
        <v>2</v>
      </c>
      <c r="F159" s="99">
        <f ca="1">_xlfn.XLOOKUP(O159,APU!$B$2:$B$10000,APU!$G$2:$G$10000,,0,1)</f>
        <v>81100</v>
      </c>
      <c r="G159" s="99">
        <f ca="1">_xlfn.XLOOKUP(P159,APU!$B$2:$B$10000,APU!$G$2:$G$10000,,0,1)</f>
        <v>47058.143749999996</v>
      </c>
      <c r="H159" s="99">
        <f ca="1">_xlfn.XLOOKUP(Q159,APU!$B$2:$B$10000,APU!$G$2:$G$10000,,0,1)</f>
        <v>197098.89987154875</v>
      </c>
      <c r="I159" s="81">
        <f t="shared" ca="1" si="93"/>
        <v>325257.04362154874</v>
      </c>
      <c r="J159" s="80">
        <f t="shared" ca="1" si="94"/>
        <v>162200</v>
      </c>
      <c r="K159" s="80">
        <f t="shared" ca="1" si="95"/>
        <v>94116.287499999991</v>
      </c>
      <c r="L159" s="80">
        <f t="shared" ca="1" si="96"/>
        <v>394197.79974309751</v>
      </c>
      <c r="M159" s="82">
        <f t="shared" ca="1" si="97"/>
        <v>650514.08724309749</v>
      </c>
      <c r="N159" s="1">
        <v>9391776</v>
      </c>
      <c r="O159" s="94" t="str">
        <f t="shared" si="98"/>
        <v>317F9E59-V</v>
      </c>
      <c r="P159" s="94" t="str">
        <f t="shared" si="99"/>
        <v>317F9E59-ae</v>
      </c>
      <c r="Q159" s="94" t="str">
        <f t="shared" si="100"/>
        <v>317F9E59-ak</v>
      </c>
    </row>
    <row r="160" spans="1:17">
      <c r="A160" s="220">
        <f ca="1">HYPERLINK("#"&amp;CELL("direccion",APU!A6646),IF(E160&gt;0,A159+1,""))</f>
        <v>151</v>
      </c>
      <c r="B160" s="96" t="s">
        <v>1286</v>
      </c>
      <c r="C160" s="83" t="s">
        <v>1285</v>
      </c>
      <c r="D160" s="74" t="s">
        <v>9</v>
      </c>
      <c r="E160" s="206">
        <v>2</v>
      </c>
      <c r="F160" s="99">
        <f ca="1">_xlfn.XLOOKUP(O160,APU!$B$2:$B$10000,APU!$G$2:$G$10000,,0,1)</f>
        <v>1072804</v>
      </c>
      <c r="G160" s="99">
        <f ca="1">_xlfn.XLOOKUP(P160,APU!$B$2:$B$10000,APU!$G$2:$G$10000,,0,1)</f>
        <v>14895.518749999996</v>
      </c>
      <c r="H160" s="99">
        <f ca="1">_xlfn.XLOOKUP(Q160,APU!$B$2:$B$10000,APU!$G$2:$G$10000,,0,1)</f>
        <v>119973.24340007314</v>
      </c>
      <c r="I160" s="81">
        <f t="shared" ca="1" si="93"/>
        <v>1207672.7621500732</v>
      </c>
      <c r="J160" s="80">
        <f t="shared" ca="1" si="94"/>
        <v>2145608</v>
      </c>
      <c r="K160" s="80">
        <f t="shared" ca="1" si="95"/>
        <v>29791.037499999991</v>
      </c>
      <c r="L160" s="80">
        <f t="shared" ca="1" si="96"/>
        <v>239946.48680014629</v>
      </c>
      <c r="M160" s="82">
        <f t="shared" ca="1" si="97"/>
        <v>2415345.5243001464</v>
      </c>
      <c r="N160" s="1">
        <v>3049880</v>
      </c>
      <c r="O160" s="94" t="str">
        <f t="shared" si="98"/>
        <v>313EBA4F-V</v>
      </c>
      <c r="P160" s="94" t="str">
        <f t="shared" si="99"/>
        <v>313EBA4F-ae</v>
      </c>
      <c r="Q160" s="94" t="str">
        <f t="shared" si="100"/>
        <v>313EBA4F-ak</v>
      </c>
    </row>
    <row r="161" spans="1:17">
      <c r="A161" s="220">
        <f ca="1">HYPERLINK("#"&amp;CELL("direccion",APU!A6690),IF(E161&gt;0,A160+1,""))</f>
        <v>152</v>
      </c>
      <c r="B161" s="96" t="s">
        <v>1291</v>
      </c>
      <c r="C161" s="83" t="s">
        <v>1290</v>
      </c>
      <c r="D161" s="74" t="s">
        <v>162</v>
      </c>
      <c r="E161" s="206">
        <v>1</v>
      </c>
      <c r="F161" s="99">
        <f ca="1">_xlfn.XLOOKUP(O161,APU!$B$2:$B$10000,APU!$G$2:$G$10000,,0,1)</f>
        <v>394600</v>
      </c>
      <c r="G161" s="99">
        <f ca="1">_xlfn.XLOOKUP(P161,APU!$B$2:$B$10000,APU!$G$2:$G$10000,,0,1)</f>
        <v>9080.2562500000004</v>
      </c>
      <c r="H161" s="99">
        <f ca="1">_xlfn.XLOOKUP(Q161,APU!$B$2:$B$10000,APU!$G$2:$G$10000,,0,1)</f>
        <v>63517.871280942323</v>
      </c>
      <c r="I161" s="81">
        <f t="shared" ca="1" si="93"/>
        <v>467198.12753094232</v>
      </c>
      <c r="J161" s="80">
        <f t="shared" ca="1" si="94"/>
        <v>394600</v>
      </c>
      <c r="K161" s="80">
        <f t="shared" ca="1" si="95"/>
        <v>9080.2562500000004</v>
      </c>
      <c r="L161" s="80">
        <f t="shared" ca="1" si="96"/>
        <v>63517.871280942323</v>
      </c>
      <c r="M161" s="82">
        <f t="shared" ca="1" si="97"/>
        <v>467198.12753094232</v>
      </c>
      <c r="N161" s="1">
        <v>6519205</v>
      </c>
      <c r="O161" s="94" t="str">
        <f t="shared" si="98"/>
        <v>22BACF97-V</v>
      </c>
      <c r="P161" s="94" t="str">
        <f t="shared" si="99"/>
        <v>22BACF97-ae</v>
      </c>
      <c r="Q161" s="94" t="str">
        <f t="shared" si="100"/>
        <v>22BACF97-ak</v>
      </c>
    </row>
    <row r="162" spans="1:17" ht="27">
      <c r="A162" s="220">
        <f ca="1">HYPERLINK("#"&amp;CELL("direccion",APU!A6734),IF(E162&gt;0,A161+1,""))</f>
        <v>153</v>
      </c>
      <c r="B162" s="96" t="s">
        <v>1295</v>
      </c>
      <c r="C162" s="83" t="s">
        <v>1294</v>
      </c>
      <c r="D162" s="74" t="s">
        <v>162</v>
      </c>
      <c r="E162" s="206">
        <v>1</v>
      </c>
      <c r="F162" s="99">
        <f ca="1">_xlfn.XLOOKUP(O162,APU!$B$2:$B$10000,APU!$G$2:$G$10000,,0,1)</f>
        <v>365000</v>
      </c>
      <c r="G162" s="99">
        <f ca="1">_xlfn.XLOOKUP(P162,APU!$B$2:$B$10000,APU!$G$2:$G$10000,,0,1)</f>
        <v>27208.281249999996</v>
      </c>
      <c r="H162" s="99">
        <f ca="1">_xlfn.XLOOKUP(Q162,APU!$B$2:$B$10000,APU!$G$2:$G$10000,,0,1)</f>
        <v>257085.52157158533</v>
      </c>
      <c r="I162" s="81">
        <f t="shared" ca="1" si="93"/>
        <v>649293.80282158533</v>
      </c>
      <c r="J162" s="80">
        <f t="shared" ca="1" si="94"/>
        <v>365000</v>
      </c>
      <c r="K162" s="80">
        <f t="shared" ca="1" si="95"/>
        <v>27208.281249999996</v>
      </c>
      <c r="L162" s="80">
        <f t="shared" ca="1" si="96"/>
        <v>257085.52157158533</v>
      </c>
      <c r="M162" s="82">
        <f t="shared" ca="1" si="97"/>
        <v>649293.80282158533</v>
      </c>
      <c r="N162" s="1">
        <v>2458326</v>
      </c>
      <c r="O162" s="94" t="str">
        <f t="shared" si="98"/>
        <v>D1E4D6E-V</v>
      </c>
      <c r="P162" s="94" t="str">
        <f t="shared" si="99"/>
        <v>D1E4D6E-ae</v>
      </c>
      <c r="Q162" s="94" t="str">
        <f t="shared" si="100"/>
        <v>D1E4D6E-ak</v>
      </c>
    </row>
    <row r="163" spans="1:17" ht="27">
      <c r="A163" s="220">
        <f ca="1">HYPERLINK("#"&amp;CELL("direccion",APU!A6778),IF(E163&gt;0,A162+1,""))</f>
        <v>154</v>
      </c>
      <c r="B163" s="96" t="s">
        <v>1300</v>
      </c>
      <c r="C163" s="83" t="s">
        <v>1299</v>
      </c>
      <c r="D163" s="74" t="s">
        <v>7</v>
      </c>
      <c r="E163" s="206">
        <v>20</v>
      </c>
      <c r="F163" s="99">
        <f ca="1">_xlfn.XLOOKUP(O163,APU!$B$2:$B$10000,APU!$G$2:$G$10000,,0,1)</f>
        <v>3036385.5</v>
      </c>
      <c r="G163" s="99">
        <f ca="1">_xlfn.XLOOKUP(P163,APU!$B$2:$B$10000,APU!$G$2:$G$10000,,0,1)</f>
        <v>24771.718749999996</v>
      </c>
      <c r="H163" s="99">
        <f ca="1">_xlfn.XLOOKUP(Q163,APU!$B$2:$B$10000,APU!$G$2:$G$10000,,0,1)</f>
        <v>414680.9596484378</v>
      </c>
      <c r="I163" s="81">
        <f t="shared" ca="1" si="93"/>
        <v>3475838.1783984378</v>
      </c>
      <c r="J163" s="80">
        <f t="shared" ca="1" si="94"/>
        <v>60727710</v>
      </c>
      <c r="K163" s="80">
        <f t="shared" ca="1" si="95"/>
        <v>495434.37499999994</v>
      </c>
      <c r="L163" s="80">
        <f t="shared" ca="1" si="96"/>
        <v>8293619.192968756</v>
      </c>
      <c r="M163" s="82">
        <f t="shared" ca="1" si="97"/>
        <v>69516763.567968756</v>
      </c>
      <c r="N163" s="1">
        <v>5823727</v>
      </c>
      <c r="O163" s="94" t="str">
        <f t="shared" si="98"/>
        <v>334C2BB-V</v>
      </c>
      <c r="P163" s="94" t="str">
        <f t="shared" si="99"/>
        <v>334C2BB-ae</v>
      </c>
      <c r="Q163" s="94" t="str">
        <f t="shared" si="100"/>
        <v>334C2BB-ak</v>
      </c>
    </row>
    <row r="164" spans="1:17" ht="27">
      <c r="A164" s="220">
        <f ca="1">HYPERLINK("#"&amp;CELL("direccion",APU!A6822),IF(E164&gt;0,A163+1,""))</f>
        <v>155</v>
      </c>
      <c r="B164" s="96" t="s">
        <v>1305</v>
      </c>
      <c r="C164" s="83" t="s">
        <v>1306</v>
      </c>
      <c r="D164" s="74" t="s">
        <v>7</v>
      </c>
      <c r="E164" s="206">
        <v>20</v>
      </c>
      <c r="F164" s="99">
        <f ca="1">_xlfn.XLOOKUP(O164,APU!$B$2:$B$10000,APU!$G$2:$G$10000,,0,1)</f>
        <v>309474.44999999995</v>
      </c>
      <c r="G164" s="99">
        <f ca="1">_xlfn.XLOOKUP(P164,APU!$B$2:$B$10000,APU!$G$2:$G$10000,,0,1)</f>
        <v>24771.718749999996</v>
      </c>
      <c r="H164" s="99">
        <f ca="1">_xlfn.XLOOKUP(Q164,APU!$B$2:$B$10000,APU!$G$2:$G$10000,,0,1)</f>
        <v>77128.843698287106</v>
      </c>
      <c r="I164" s="81">
        <f t="shared" ca="1" si="93"/>
        <v>411375.01244828705</v>
      </c>
      <c r="J164" s="80">
        <f t="shared" ca="1" si="94"/>
        <v>6189488.9999999991</v>
      </c>
      <c r="K164" s="80">
        <f t="shared" ca="1" si="95"/>
        <v>495434.37499999994</v>
      </c>
      <c r="L164" s="80">
        <f t="shared" ca="1" si="96"/>
        <v>1542576.8739657421</v>
      </c>
      <c r="M164" s="82">
        <f t="shared" ca="1" si="97"/>
        <v>8227500.2489657411</v>
      </c>
      <c r="N164" s="1">
        <v>5286302</v>
      </c>
      <c r="O164" s="94" t="str">
        <f t="shared" si="98"/>
        <v>2EE83F03-V</v>
      </c>
      <c r="P164" s="94" t="str">
        <f t="shared" si="99"/>
        <v>2EE83F03-ae</v>
      </c>
      <c r="Q164" s="94" t="str">
        <f t="shared" si="100"/>
        <v>2EE83F03-ak</v>
      </c>
    </row>
    <row r="165" spans="1:17" ht="27">
      <c r="A165" s="220">
        <f ca="1">HYPERLINK("#"&amp;CELL("direccion",APU!A6866),IF(E165&gt;0,A164+1,""))</f>
        <v>156</v>
      </c>
      <c r="B165" s="96" t="s">
        <v>1309</v>
      </c>
      <c r="C165" s="83" t="s">
        <v>1307</v>
      </c>
      <c r="D165" s="74" t="s">
        <v>7</v>
      </c>
      <c r="E165" s="206">
        <v>20</v>
      </c>
      <c r="F165" s="99">
        <f ca="1">_xlfn.XLOOKUP(O165,APU!$B$2:$B$10000,APU!$G$2:$G$10000,,0,1)</f>
        <v>537322.54999999993</v>
      </c>
      <c r="G165" s="99">
        <f ca="1">_xlfn.XLOOKUP(P165,APU!$B$2:$B$10000,APU!$G$2:$G$10000,,0,1)</f>
        <v>7585.8312499999984</v>
      </c>
      <c r="H165" s="99">
        <f ca="1">_xlfn.XLOOKUP(Q165,APU!$B$2:$B$10000,APU!$G$2:$G$10000,,0,1)</f>
        <v>86202.825309850305</v>
      </c>
      <c r="I165" s="81">
        <f t="shared" ca="1" si="93"/>
        <v>631111.20655985025</v>
      </c>
      <c r="J165" s="80">
        <f t="shared" ca="1" si="94"/>
        <v>10746450.999999998</v>
      </c>
      <c r="K165" s="80">
        <f t="shared" ca="1" si="95"/>
        <v>151716.62499999997</v>
      </c>
      <c r="L165" s="80">
        <f t="shared" ca="1" si="96"/>
        <v>1724056.506197006</v>
      </c>
      <c r="M165" s="82">
        <f t="shared" ca="1" si="97"/>
        <v>12622224.131197004</v>
      </c>
      <c r="N165" s="1">
        <v>1263706</v>
      </c>
      <c r="O165" s="94" t="str">
        <f t="shared" si="98"/>
        <v>14619CA5-V</v>
      </c>
      <c r="P165" s="94" t="str">
        <f t="shared" si="99"/>
        <v>14619CA5-ae</v>
      </c>
      <c r="Q165" s="94" t="str">
        <f t="shared" si="100"/>
        <v>14619CA5-ak</v>
      </c>
    </row>
    <row r="166" spans="1:17" ht="27">
      <c r="A166" s="220">
        <f ca="1">HYPERLINK("#"&amp;CELL("direccion",APU!A6910),IF(E166&gt;0,A165+1,""))</f>
        <v>157</v>
      </c>
      <c r="B166" s="96" t="s">
        <v>1310</v>
      </c>
      <c r="C166" s="83" t="s">
        <v>1308</v>
      </c>
      <c r="D166" s="74" t="s">
        <v>7</v>
      </c>
      <c r="E166" s="206">
        <v>20</v>
      </c>
      <c r="F166" s="99">
        <f ca="1">_xlfn.XLOOKUP(O166,APU!$B$2:$B$10000,APU!$G$2:$G$10000,,0,1)</f>
        <v>653621.04999999993</v>
      </c>
      <c r="G166" s="99">
        <f ca="1">_xlfn.XLOOKUP(P166,APU!$B$2:$B$10000,APU!$G$2:$G$10000,,0,1)</f>
        <v>7585.8312499999984</v>
      </c>
      <c r="H166" s="99">
        <f ca="1">_xlfn.XLOOKUP(Q166,APU!$B$2:$B$10000,APU!$G$2:$G$10000,,0,1)</f>
        <v>150174.39567137079</v>
      </c>
      <c r="I166" s="81">
        <f t="shared" ca="1" si="93"/>
        <v>811381.27692137077</v>
      </c>
      <c r="J166" s="80">
        <f t="shared" ca="1" si="94"/>
        <v>13072420.999999998</v>
      </c>
      <c r="K166" s="80">
        <f t="shared" ca="1" si="95"/>
        <v>151716.62499999997</v>
      </c>
      <c r="L166" s="80">
        <f t="shared" ca="1" si="96"/>
        <v>3003487.9134274158</v>
      </c>
      <c r="M166" s="82">
        <f t="shared" ca="1" si="97"/>
        <v>16227625.538427414</v>
      </c>
      <c r="N166" s="1">
        <v>4446621</v>
      </c>
      <c r="O166" s="94" t="str">
        <f t="shared" si="98"/>
        <v>2AB93AB-V</v>
      </c>
      <c r="P166" s="94" t="str">
        <f t="shared" si="99"/>
        <v>2AB93AB-ae</v>
      </c>
      <c r="Q166" s="94" t="str">
        <f t="shared" si="100"/>
        <v>2AB93AB-ak</v>
      </c>
    </row>
    <row r="167" spans="1:17">
      <c r="A167" s="220">
        <f ca="1">HYPERLINK("#"&amp;CELL("direccion",APU!A6954),IF(E167&gt;0,A166+1,""))</f>
        <v>158</v>
      </c>
      <c r="B167" s="96" t="s">
        <v>1347</v>
      </c>
      <c r="C167" s="83" t="s">
        <v>1346</v>
      </c>
      <c r="D167" s="74" t="s">
        <v>7</v>
      </c>
      <c r="E167" s="206">
        <v>4</v>
      </c>
      <c r="F167" s="99">
        <f ca="1">_xlfn.XLOOKUP(O167,APU!$B$2:$B$10000,APU!$G$2:$G$10000,,0,1)</f>
        <v>118041</v>
      </c>
      <c r="G167" s="99">
        <f ca="1">_xlfn.XLOOKUP(P167,APU!$B$2:$B$10000,APU!$G$2:$G$10000,,0,1)</f>
        <v>6172.6249999999991</v>
      </c>
      <c r="H167" s="99">
        <f ca="1">_xlfn.XLOOKUP(Q167,APU!$B$2:$B$10000,APU!$G$2:$G$10000,,0,1)</f>
        <v>45369.908057815948</v>
      </c>
      <c r="I167" s="81">
        <f t="shared" ca="1" si="93"/>
        <v>169583.53305781595</v>
      </c>
      <c r="J167" s="80">
        <f t="shared" ca="1" si="94"/>
        <v>472164</v>
      </c>
      <c r="K167" s="80">
        <f t="shared" ca="1" si="95"/>
        <v>24690.499999999996</v>
      </c>
      <c r="L167" s="80">
        <f t="shared" ca="1" si="96"/>
        <v>181479.63223126379</v>
      </c>
      <c r="M167" s="82">
        <f t="shared" ca="1" si="97"/>
        <v>678334.13223126379</v>
      </c>
      <c r="N167" s="1">
        <v>4382284</v>
      </c>
      <c r="O167" s="94" t="str">
        <f t="shared" si="98"/>
        <v>C122DD-V</v>
      </c>
      <c r="P167" s="94" t="str">
        <f t="shared" si="99"/>
        <v>C122DD-ae</v>
      </c>
      <c r="Q167" s="94" t="str">
        <f t="shared" si="100"/>
        <v>C122DD-ak</v>
      </c>
    </row>
    <row r="168" spans="1:17">
      <c r="A168" s="220">
        <f ca="1">HYPERLINK("#"&amp;CELL("direccion",APU!A6998),IF(E168&gt;0,A167+1,""))</f>
        <v>159</v>
      </c>
      <c r="B168" s="96" t="s">
        <v>1349</v>
      </c>
      <c r="C168" s="83" t="s">
        <v>1348</v>
      </c>
      <c r="D168" s="74" t="s">
        <v>9</v>
      </c>
      <c r="E168" s="206">
        <v>10</v>
      </c>
      <c r="F168" s="99">
        <f ca="1">_xlfn.XLOOKUP(O168,APU!$B$2:$B$10000,APU!$G$2:$G$10000,,0,1)</f>
        <v>489563</v>
      </c>
      <c r="G168" s="99">
        <f ca="1">_xlfn.XLOOKUP(P168,APU!$B$2:$B$10000,APU!$G$2:$G$10000,,0,1)</f>
        <v>13092.462499999998</v>
      </c>
      <c r="H168" s="99">
        <f ca="1">_xlfn.XLOOKUP(Q168,APU!$B$2:$B$10000,APU!$G$2:$G$10000,,0,1)</f>
        <v>127035.74256188465</v>
      </c>
      <c r="I168" s="81">
        <f t="shared" ca="1" si="93"/>
        <v>629691.20506188471</v>
      </c>
      <c r="J168" s="80">
        <f t="shared" ca="1" si="94"/>
        <v>4895630</v>
      </c>
      <c r="K168" s="80">
        <f t="shared" ca="1" si="95"/>
        <v>130924.62499999997</v>
      </c>
      <c r="L168" s="80">
        <f t="shared" ca="1" si="96"/>
        <v>1270357.4256188464</v>
      </c>
      <c r="M168" s="82">
        <f t="shared" ca="1" si="97"/>
        <v>6296912.050618846</v>
      </c>
      <c r="N168" s="1">
        <v>9685573</v>
      </c>
      <c r="O168" s="94" t="str">
        <f t="shared" si="98"/>
        <v>121C1AFC-V</v>
      </c>
      <c r="P168" s="94" t="str">
        <f t="shared" si="99"/>
        <v>121C1AFC-ae</v>
      </c>
      <c r="Q168" s="94" t="str">
        <f t="shared" si="100"/>
        <v>121C1AFC-ak</v>
      </c>
    </row>
    <row r="169" spans="1:17">
      <c r="A169" s="220">
        <f ca="1">HYPERLINK("#"&amp;CELL("direccion",APU!A7042),IF(E169&gt;0,A168+1,""))</f>
        <v>160</v>
      </c>
      <c r="B169" s="96" t="s">
        <v>1355</v>
      </c>
      <c r="C169" s="83" t="s">
        <v>1354</v>
      </c>
      <c r="D169" s="74" t="s">
        <v>9</v>
      </c>
      <c r="E169" s="206">
        <v>2</v>
      </c>
      <c r="F169" s="99">
        <f ca="1">_xlfn.XLOOKUP(O169,APU!$B$2:$B$10000,APU!$G$2:$G$10000,,0,1)</f>
        <v>334700</v>
      </c>
      <c r="G169" s="99">
        <f ca="1">_xlfn.XLOOKUP(P169,APU!$B$2:$B$10000,APU!$G$2:$G$10000,,0,1)</f>
        <v>8438.6281249999993</v>
      </c>
      <c r="H169" s="99">
        <f ca="1">_xlfn.XLOOKUP(Q169,APU!$B$2:$B$10000,APU!$G$2:$G$10000,,0,1)</f>
        <v>58476.416249317059</v>
      </c>
      <c r="I169" s="81">
        <f t="shared" ca="1" si="93"/>
        <v>401615.04437431705</v>
      </c>
      <c r="J169" s="80">
        <f t="shared" ca="1" si="94"/>
        <v>669400</v>
      </c>
      <c r="K169" s="80">
        <f t="shared" ca="1" si="95"/>
        <v>16877.256249999999</v>
      </c>
      <c r="L169" s="80">
        <f t="shared" ca="1" si="96"/>
        <v>116952.83249863412</v>
      </c>
      <c r="M169" s="82">
        <f t="shared" ca="1" si="97"/>
        <v>803230.08874863409</v>
      </c>
      <c r="N169" s="1">
        <v>2337799</v>
      </c>
      <c r="O169" s="94" t="str">
        <f t="shared" si="98"/>
        <v>2F52EC59-V</v>
      </c>
      <c r="P169" s="94" t="str">
        <f t="shared" si="99"/>
        <v>2F52EC59-ae</v>
      </c>
      <c r="Q169" s="94" t="str">
        <f t="shared" si="100"/>
        <v>2F52EC59-ak</v>
      </c>
    </row>
    <row r="170" spans="1:17">
      <c r="A170" s="220">
        <f ca="1">HYPERLINK("#"&amp;CELL("direccion",APU!A7086),IF(E170&gt;0,A169+1,""))</f>
        <v>161</v>
      </c>
      <c r="B170" s="96" t="s">
        <v>1358</v>
      </c>
      <c r="C170" s="83" t="s">
        <v>1359</v>
      </c>
      <c r="D170" s="74" t="s">
        <v>9</v>
      </c>
      <c r="E170" s="206">
        <v>1</v>
      </c>
      <c r="F170" s="99">
        <f ca="1">_xlfn.XLOOKUP(O170,APU!$B$2:$B$10000,APU!$G$2:$G$10000,,0,1)</f>
        <v>137400</v>
      </c>
      <c r="G170" s="99">
        <f ca="1">_xlfn.XLOOKUP(P170,APU!$B$2:$B$10000,APU!$G$2:$G$10000,,0,1)</f>
        <v>1879.401875</v>
      </c>
      <c r="H170" s="99">
        <f ca="1">_xlfn.XLOOKUP(Q170,APU!$B$2:$B$10000,APU!$G$2:$G$10000,,0,1)</f>
        <v>16333.166900813741</v>
      </c>
      <c r="I170" s="81">
        <f t="shared" ca="1" si="93"/>
        <v>155612.56877581376</v>
      </c>
      <c r="J170" s="80">
        <f t="shared" ca="1" si="94"/>
        <v>137400</v>
      </c>
      <c r="K170" s="80">
        <f t="shared" ca="1" si="95"/>
        <v>1879.401875</v>
      </c>
      <c r="L170" s="80">
        <f t="shared" ca="1" si="96"/>
        <v>16333.166900813741</v>
      </c>
      <c r="M170" s="82">
        <f t="shared" ca="1" si="97"/>
        <v>155612.56877581376</v>
      </c>
      <c r="N170" s="1">
        <v>7675617</v>
      </c>
      <c r="O170" s="94" t="str">
        <f t="shared" si="98"/>
        <v>B7C2561-V</v>
      </c>
      <c r="P170" s="94" t="str">
        <f t="shared" si="99"/>
        <v>B7C2561-ae</v>
      </c>
      <c r="Q170" s="94" t="str">
        <f t="shared" si="100"/>
        <v>B7C2561-ak</v>
      </c>
    </row>
    <row r="171" spans="1:17" ht="27">
      <c r="A171" s="220">
        <f ca="1">HYPERLINK("#"&amp;CELL("direccion",APU!A7130),IF(E171&gt;0,A170+1,""))</f>
        <v>162</v>
      </c>
      <c r="B171" s="96" t="s">
        <v>1362</v>
      </c>
      <c r="C171" s="83" t="s">
        <v>1363</v>
      </c>
      <c r="D171" s="74" t="s">
        <v>162</v>
      </c>
      <c r="E171" s="206">
        <v>1</v>
      </c>
      <c r="F171" s="99">
        <f ca="1">_xlfn.XLOOKUP(O171,APU!$B$2:$B$10000,APU!$G$2:$G$10000,,0,1)</f>
        <v>10098006.300000001</v>
      </c>
      <c r="G171" s="99">
        <f ca="1">_xlfn.XLOOKUP(P171,APU!$B$2:$B$10000,APU!$G$2:$G$10000,,0,1)</f>
        <v>97787.374999999985</v>
      </c>
      <c r="H171" s="99">
        <f ca="1">_xlfn.XLOOKUP(Q171,APU!$B$2:$B$10000,APU!$G$2:$G$10000,,0,1)</f>
        <v>1986186.6700270281</v>
      </c>
      <c r="I171" s="81">
        <f t="shared" ref="I171:I186" ca="1" si="101">+(F171+G171+H171)</f>
        <v>12181980.34502703</v>
      </c>
      <c r="J171" s="80">
        <f t="shared" ref="J171:J186" ca="1" si="102">+E171*F171</f>
        <v>10098006.300000001</v>
      </c>
      <c r="K171" s="80">
        <f t="shared" ref="K171:K186" ca="1" si="103">+G171*E171</f>
        <v>97787.374999999985</v>
      </c>
      <c r="L171" s="80">
        <f t="shared" ref="L171:L186" ca="1" si="104">+H171*E171</f>
        <v>1986186.6700270281</v>
      </c>
      <c r="M171" s="82">
        <f t="shared" ref="M171:M186" ca="1" si="105">SUM(J171:L171)</f>
        <v>12181980.34502703</v>
      </c>
      <c r="N171" s="1">
        <v>3129621</v>
      </c>
      <c r="O171" s="94" t="str">
        <f t="shared" ref="O171:O186" si="106">_xlfn.CONCAT(B171,"V")</f>
        <v>2382DBD1-V</v>
      </c>
      <c r="P171" s="94" t="str">
        <f t="shared" ref="P171:P186" si="107">_xlfn.CONCAT(B171,"ae")</f>
        <v>2382DBD1-ae</v>
      </c>
      <c r="Q171" s="94" t="str">
        <f t="shared" ref="Q171:Q186" si="108">_xlfn.CONCAT(B171,"ak")</f>
        <v>2382DBD1-ak</v>
      </c>
    </row>
    <row r="172" spans="1:17">
      <c r="A172" s="220">
        <f ca="1">HYPERLINK("#"&amp;CELL("direccion",APU!A7174),IF(E172&gt;0,A171+1,""))</f>
        <v>163</v>
      </c>
      <c r="B172" s="96" t="s">
        <v>1365</v>
      </c>
      <c r="C172" s="83" t="s">
        <v>1364</v>
      </c>
      <c r="D172" s="74" t="s">
        <v>162</v>
      </c>
      <c r="E172" s="206">
        <v>1</v>
      </c>
      <c r="F172" s="99">
        <f ca="1">_xlfn.XLOOKUP(O172,APU!$B$2:$B$10000,APU!$G$2:$G$10000,,0,1)</f>
        <v>4790920</v>
      </c>
      <c r="G172" s="99">
        <f ca="1">_xlfn.XLOOKUP(P172,APU!$B$2:$B$10000,APU!$G$2:$G$10000,,0,1)</f>
        <v>181069.08124999999</v>
      </c>
      <c r="H172" s="99">
        <f ca="1">_xlfn.XLOOKUP(Q172,APU!$B$2:$B$10000,APU!$G$2:$G$10000,,0,1)</f>
        <v>1270357.4256188464</v>
      </c>
      <c r="I172" s="81">
        <f t="shared" ca="1" si="101"/>
        <v>6242346.5068688467</v>
      </c>
      <c r="J172" s="80">
        <f t="shared" ca="1" si="102"/>
        <v>4790920</v>
      </c>
      <c r="K172" s="80">
        <f t="shared" ca="1" si="103"/>
        <v>181069.08124999999</v>
      </c>
      <c r="L172" s="80">
        <f t="shared" ca="1" si="104"/>
        <v>1270357.4256188464</v>
      </c>
      <c r="M172" s="82">
        <f t="shared" ca="1" si="105"/>
        <v>6242346.5068688467</v>
      </c>
      <c r="N172" s="1">
        <v>6203668</v>
      </c>
      <c r="O172" s="94" t="str">
        <f t="shared" si="106"/>
        <v>BDF69F4-V</v>
      </c>
      <c r="P172" s="94" t="str">
        <f t="shared" si="107"/>
        <v>BDF69F4-ae</v>
      </c>
      <c r="Q172" s="94" t="str">
        <f t="shared" si="108"/>
        <v>BDF69F4-ak</v>
      </c>
    </row>
    <row r="173" spans="1:17">
      <c r="A173" s="220">
        <f ca="1">HYPERLINK("#"&amp;CELL("direccion",APU!A7218),IF(E173&gt;0,A172+1,""))</f>
        <v>164</v>
      </c>
      <c r="B173" s="96" t="s">
        <v>1387</v>
      </c>
      <c r="C173" s="83" t="s">
        <v>1386</v>
      </c>
      <c r="D173" s="74" t="s">
        <v>162</v>
      </c>
      <c r="E173" s="206">
        <v>1</v>
      </c>
      <c r="F173" s="99">
        <f ca="1">_xlfn.XLOOKUP(O173,APU!$B$2:$B$10000,APU!$G$2:$G$10000,,0,1)</f>
        <v>186580</v>
      </c>
      <c r="G173" s="99">
        <f ca="1">_xlfn.XLOOKUP(P173,APU!$B$2:$B$10000,APU!$G$2:$G$10000,,0,1)</f>
        <v>13716.956999999999</v>
      </c>
      <c r="H173" s="99">
        <f ca="1">_xlfn.XLOOKUP(Q173,APU!$B$2:$B$10000,APU!$G$2:$G$10000,,0,1)</f>
        <v>36295.926446252757</v>
      </c>
      <c r="I173" s="81">
        <f t="shared" ca="1" si="101"/>
        <v>236592.88344625276</v>
      </c>
      <c r="J173" s="80">
        <f t="shared" ca="1" si="102"/>
        <v>186580</v>
      </c>
      <c r="K173" s="80">
        <f t="shared" ca="1" si="103"/>
        <v>13716.956999999999</v>
      </c>
      <c r="L173" s="80">
        <f t="shared" ca="1" si="104"/>
        <v>36295.926446252757</v>
      </c>
      <c r="M173" s="82">
        <f t="shared" ca="1" si="105"/>
        <v>236592.88344625276</v>
      </c>
      <c r="N173" s="1">
        <v>2393634</v>
      </c>
      <c r="O173" s="94" t="str">
        <f t="shared" si="106"/>
        <v>F280D43-V</v>
      </c>
      <c r="P173" s="94" t="str">
        <f t="shared" si="107"/>
        <v>F280D43-ae</v>
      </c>
      <c r="Q173" s="94" t="str">
        <f t="shared" si="108"/>
        <v>F280D43-ak</v>
      </c>
    </row>
    <row r="174" spans="1:17">
      <c r="A174" s="220">
        <f ca="1">HYPERLINK("#"&amp;CELL("direccion",APU!A7262),IF(E174&gt;0,A173+1,""))</f>
        <v>165</v>
      </c>
      <c r="B174" s="96" t="s">
        <v>1389</v>
      </c>
      <c r="C174" s="83" t="s">
        <v>1388</v>
      </c>
      <c r="D174" s="74" t="s">
        <v>9</v>
      </c>
      <c r="E174" s="206">
        <v>1</v>
      </c>
      <c r="F174" s="99">
        <f ca="1">_xlfn.XLOOKUP(O174,APU!$B$2:$B$10000,APU!$G$2:$G$10000,,0,1)</f>
        <v>129776</v>
      </c>
      <c r="G174" s="99">
        <f ca="1">_xlfn.XLOOKUP(P174,APU!$B$2:$B$10000,APU!$G$2:$G$10000,,0,1)</f>
        <v>1231.9712</v>
      </c>
      <c r="H174" s="99">
        <f ca="1">_xlfn.XLOOKUP(Q174,APU!$B$2:$B$10000,APU!$G$2:$G$10000,,0,1)</f>
        <v>36295.926446252757</v>
      </c>
      <c r="I174" s="81">
        <f t="shared" ca="1" si="101"/>
        <v>167303.89764625276</v>
      </c>
      <c r="J174" s="80">
        <f t="shared" ca="1" si="102"/>
        <v>129776</v>
      </c>
      <c r="K174" s="80">
        <f t="shared" ca="1" si="103"/>
        <v>1231.9712</v>
      </c>
      <c r="L174" s="80">
        <f t="shared" ca="1" si="104"/>
        <v>36295.926446252757</v>
      </c>
      <c r="M174" s="82">
        <f t="shared" ca="1" si="105"/>
        <v>167303.89764625276</v>
      </c>
      <c r="N174" s="1">
        <v>5934763</v>
      </c>
      <c r="O174" s="94" t="str">
        <f t="shared" si="106"/>
        <v>AB7DCF4-V</v>
      </c>
      <c r="P174" s="94" t="str">
        <f t="shared" si="107"/>
        <v>AB7DCF4-ae</v>
      </c>
      <c r="Q174" s="94" t="str">
        <f t="shared" si="108"/>
        <v>AB7DCF4-ak</v>
      </c>
    </row>
    <row r="175" spans="1:17">
      <c r="A175" s="220">
        <f ca="1">HYPERLINK("#"&amp;CELL("direccion",APU!A7306),IF(E175&gt;0,A174+1,""))</f>
        <v>166</v>
      </c>
      <c r="B175" s="96" t="s">
        <v>1393</v>
      </c>
      <c r="C175" s="83" t="s">
        <v>1392</v>
      </c>
      <c r="D175" s="74" t="s">
        <v>9</v>
      </c>
      <c r="E175" s="206">
        <v>1</v>
      </c>
      <c r="F175" s="99">
        <f ca="1">_xlfn.XLOOKUP(O175,APU!$B$2:$B$10000,APU!$G$2:$G$10000,,0,1)</f>
        <v>182820</v>
      </c>
      <c r="G175" s="99">
        <f ca="1">_xlfn.XLOOKUP(P175,APU!$B$2:$B$10000,APU!$G$2:$G$10000,,0,1)</f>
        <v>1231.9712</v>
      </c>
      <c r="H175" s="99">
        <f ca="1">_xlfn.XLOOKUP(Q175,APU!$B$2:$B$10000,APU!$G$2:$G$10000,,0,1)</f>
        <v>40832.917252034356</v>
      </c>
      <c r="I175" s="81">
        <f t="shared" ca="1" si="101"/>
        <v>224884.88845203436</v>
      </c>
      <c r="J175" s="80">
        <f t="shared" ca="1" si="102"/>
        <v>182820</v>
      </c>
      <c r="K175" s="80">
        <f t="shared" ca="1" si="103"/>
        <v>1231.9712</v>
      </c>
      <c r="L175" s="80">
        <f t="shared" ca="1" si="104"/>
        <v>40832.917252034356</v>
      </c>
      <c r="M175" s="82">
        <f t="shared" ca="1" si="105"/>
        <v>224884.88845203436</v>
      </c>
      <c r="N175" s="1">
        <v>2871978</v>
      </c>
      <c r="O175" s="94" t="str">
        <f t="shared" si="106"/>
        <v>73B7FCC-V</v>
      </c>
      <c r="P175" s="94" t="str">
        <f t="shared" si="107"/>
        <v>73B7FCC-ae</v>
      </c>
      <c r="Q175" s="94" t="str">
        <f t="shared" si="108"/>
        <v>73B7FCC-ak</v>
      </c>
    </row>
    <row r="176" spans="1:17">
      <c r="A176" s="220">
        <f ca="1">HYPERLINK("#"&amp;CELL("direccion",APU!A7350),IF(E176&gt;0,A175+1,""))</f>
        <v>167</v>
      </c>
      <c r="B176" s="96" t="s">
        <v>1397</v>
      </c>
      <c r="C176" s="83" t="s">
        <v>1396</v>
      </c>
      <c r="D176" s="74" t="s">
        <v>9</v>
      </c>
      <c r="E176" s="206">
        <v>1</v>
      </c>
      <c r="F176" s="99">
        <f ca="1">_xlfn.XLOOKUP(O176,APU!$B$2:$B$10000,APU!$G$2:$G$10000,,0,1)</f>
        <v>1079633</v>
      </c>
      <c r="G176" s="99">
        <f ca="1">_xlfn.XLOOKUP(P176,APU!$B$2:$B$10000,APU!$G$2:$G$10000,,0,1)</f>
        <v>9713.7624999999971</v>
      </c>
      <c r="H176" s="99">
        <f ca="1">_xlfn.XLOOKUP(Q176,APU!$B$2:$B$10000,APU!$G$2:$G$10000,,0,1)</f>
        <v>99813.797727195095</v>
      </c>
      <c r="I176" s="81">
        <f t="shared" ca="1" si="101"/>
        <v>1189160.560227195</v>
      </c>
      <c r="J176" s="80">
        <f t="shared" ca="1" si="102"/>
        <v>1079633</v>
      </c>
      <c r="K176" s="80">
        <f t="shared" ca="1" si="103"/>
        <v>9713.7624999999971</v>
      </c>
      <c r="L176" s="80">
        <f t="shared" ca="1" si="104"/>
        <v>99813.797727195095</v>
      </c>
      <c r="M176" s="82">
        <f t="shared" ca="1" si="105"/>
        <v>1189160.560227195</v>
      </c>
      <c r="N176" s="1">
        <v>3458123</v>
      </c>
      <c r="O176" s="94" t="str">
        <f t="shared" si="106"/>
        <v>266F50A2-V</v>
      </c>
      <c r="P176" s="94" t="str">
        <f t="shared" si="107"/>
        <v>266F50A2-ae</v>
      </c>
      <c r="Q176" s="94" t="str">
        <f t="shared" si="108"/>
        <v>266F50A2-ak</v>
      </c>
    </row>
    <row r="177" spans="1:17">
      <c r="A177" s="220">
        <f ca="1">HYPERLINK("#"&amp;CELL("direccion",APU!A7394),IF(E177&gt;0,A176+1,""))</f>
        <v>168</v>
      </c>
      <c r="B177" s="96" t="s">
        <v>1400</v>
      </c>
      <c r="C177" s="83" t="s">
        <v>1403</v>
      </c>
      <c r="D177" s="74" t="s">
        <v>9</v>
      </c>
      <c r="E177" s="206">
        <v>1</v>
      </c>
      <c r="F177" s="99">
        <f ca="1">_xlfn.XLOOKUP(O177,APU!$B$2:$B$10000,APU!$G$2:$G$10000,,0,1)</f>
        <v>1734332</v>
      </c>
      <c r="G177" s="99">
        <f ca="1">_xlfn.XLOOKUP(P177,APU!$B$2:$B$10000,APU!$G$2:$G$10000,,0,1)</f>
        <v>9713.7624999999971</v>
      </c>
      <c r="H177" s="99">
        <f ca="1">_xlfn.XLOOKUP(Q177,APU!$B$2:$B$10000,APU!$G$2:$G$10000,,0,1)</f>
        <v>127035.74256188465</v>
      </c>
      <c r="I177" s="81">
        <f t="shared" ca="1" si="101"/>
        <v>1871081.5050618846</v>
      </c>
      <c r="J177" s="80">
        <f t="shared" ca="1" si="102"/>
        <v>1734332</v>
      </c>
      <c r="K177" s="80">
        <f t="shared" ca="1" si="103"/>
        <v>9713.7624999999971</v>
      </c>
      <c r="L177" s="80">
        <f t="shared" ca="1" si="104"/>
        <v>127035.74256188465</v>
      </c>
      <c r="M177" s="82">
        <f t="shared" ca="1" si="105"/>
        <v>1871081.5050618846</v>
      </c>
      <c r="N177" s="1">
        <v>1707533</v>
      </c>
      <c r="O177" s="94" t="str">
        <f t="shared" si="106"/>
        <v>266F50B4-V</v>
      </c>
      <c r="P177" s="94" t="str">
        <f t="shared" si="107"/>
        <v>266F50B4-ae</v>
      </c>
      <c r="Q177" s="94" t="str">
        <f t="shared" si="108"/>
        <v>266F50B4-ak</v>
      </c>
    </row>
    <row r="178" spans="1:17">
      <c r="A178" s="220">
        <f ca="1">HYPERLINK("#"&amp;CELL("direccion",APU!A7438),IF(E178&gt;0,A177+1,""))</f>
        <v>169</v>
      </c>
      <c r="B178" s="96" t="s">
        <v>1404</v>
      </c>
      <c r="C178" s="83" t="s">
        <v>1405</v>
      </c>
      <c r="D178" s="74" t="s">
        <v>7</v>
      </c>
      <c r="E178" s="206">
        <v>32</v>
      </c>
      <c r="F178" s="99">
        <f ca="1">_xlfn.XLOOKUP(O178,APU!$B$2:$B$10000,APU!$G$2:$G$10000,,0,1)</f>
        <v>330072.565</v>
      </c>
      <c r="G178" s="99">
        <f ca="1">_xlfn.XLOOKUP(P178,APU!$B$2:$B$10000,APU!$G$2:$G$10000,,0,1)</f>
        <v>8869.0874999999996</v>
      </c>
      <c r="H178" s="99">
        <f ca="1">_xlfn.XLOOKUP(Q178,APU!$B$2:$B$10000,APU!$G$2:$G$10000,,0,1)</f>
        <v>238947.12002889349</v>
      </c>
      <c r="I178" s="81">
        <f t="shared" ca="1" si="101"/>
        <v>577888.77252889355</v>
      </c>
      <c r="J178" s="80">
        <f t="shared" ca="1" si="102"/>
        <v>10562322.08</v>
      </c>
      <c r="K178" s="80">
        <f t="shared" ca="1" si="103"/>
        <v>283810.8</v>
      </c>
      <c r="L178" s="80">
        <f t="shared" ca="1" si="104"/>
        <v>7646307.8409245918</v>
      </c>
      <c r="M178" s="82">
        <f t="shared" ca="1" si="105"/>
        <v>18492440.720924594</v>
      </c>
      <c r="N178" s="1">
        <v>2757409</v>
      </c>
      <c r="O178" s="94" t="str">
        <f t="shared" si="106"/>
        <v>135232BA-V</v>
      </c>
      <c r="P178" s="94" t="str">
        <f t="shared" si="107"/>
        <v>135232BA-ae</v>
      </c>
      <c r="Q178" s="94" t="str">
        <f t="shared" si="108"/>
        <v>135232BA-ak</v>
      </c>
    </row>
    <row r="179" spans="1:17" ht="27">
      <c r="A179" s="220">
        <f ca="1">HYPERLINK("#"&amp;CELL("direccion",APU!A7482),IF(E179&gt;0,A178+1,""))</f>
        <v>170</v>
      </c>
      <c r="B179" s="96" t="s">
        <v>1410</v>
      </c>
      <c r="C179" s="83" t="s">
        <v>1411</v>
      </c>
      <c r="D179" s="74" t="s">
        <v>7</v>
      </c>
      <c r="E179" s="206">
        <v>20</v>
      </c>
      <c r="F179" s="99">
        <f ca="1">_xlfn.XLOOKUP(O179,APU!$B$2:$B$10000,APU!$G$2:$G$10000,,0,1)</f>
        <v>328848.5</v>
      </c>
      <c r="G179" s="99">
        <f ca="1">_xlfn.XLOOKUP(P179,APU!$B$2:$B$10000,APU!$G$2:$G$10000,,0,1)</f>
        <v>24771.718749999996</v>
      </c>
      <c r="H179" s="99">
        <f ca="1">_xlfn.XLOOKUP(Q179,APU!$B$2:$B$10000,APU!$G$2:$G$10000,,0,1)</f>
        <v>70777.056570192886</v>
      </c>
      <c r="I179" s="81">
        <f t="shared" ca="1" si="101"/>
        <v>424397.27532019292</v>
      </c>
      <c r="J179" s="80">
        <f t="shared" ca="1" si="102"/>
        <v>6576970</v>
      </c>
      <c r="K179" s="80">
        <f t="shared" ca="1" si="103"/>
        <v>495434.37499999994</v>
      </c>
      <c r="L179" s="80">
        <f t="shared" ca="1" si="104"/>
        <v>1415541.1314038578</v>
      </c>
      <c r="M179" s="82">
        <f t="shared" ca="1" si="105"/>
        <v>8487945.5064038578</v>
      </c>
      <c r="N179" s="1">
        <v>9142554</v>
      </c>
      <c r="O179" s="94" t="str">
        <f t="shared" si="106"/>
        <v>2EE83F04-V</v>
      </c>
      <c r="P179" s="94" t="str">
        <f t="shared" si="107"/>
        <v>2EE83F04-ae</v>
      </c>
      <c r="Q179" s="94" t="str">
        <f t="shared" si="108"/>
        <v>2EE83F04-ak</v>
      </c>
    </row>
    <row r="180" spans="1:17">
      <c r="A180" s="220">
        <f ca="1">HYPERLINK("#"&amp;CELL("direccion",APU!A7526),IF(E180&gt;0,A179+1,""))</f>
        <v>171</v>
      </c>
      <c r="B180" s="96" t="s">
        <v>1413</v>
      </c>
      <c r="C180" s="83" t="s">
        <v>1434</v>
      </c>
      <c r="D180" s="74" t="s">
        <v>7</v>
      </c>
      <c r="E180" s="206">
        <v>20</v>
      </c>
      <c r="F180" s="99">
        <f ca="1">_xlfn.XLOOKUP(O180,APU!$B$2:$B$10000,APU!$G$2:$G$10000,,0,1)</f>
        <v>50521.65</v>
      </c>
      <c r="G180" s="99">
        <f ca="1">_xlfn.XLOOKUP(P180,APU!$B$2:$B$10000,APU!$G$2:$G$10000,,0,1)</f>
        <v>5581.3525</v>
      </c>
      <c r="H180" s="99">
        <f ca="1">_xlfn.XLOOKUP(Q180,APU!$B$2:$B$10000,APU!$G$2:$G$10000,,0,1)</f>
        <v>43555.111735503306</v>
      </c>
      <c r="I180" s="81">
        <f t="shared" ca="1" si="101"/>
        <v>99658.114235503308</v>
      </c>
      <c r="J180" s="80">
        <f t="shared" ca="1" si="102"/>
        <v>1010433</v>
      </c>
      <c r="K180" s="80">
        <f t="shared" ca="1" si="103"/>
        <v>111627.05</v>
      </c>
      <c r="L180" s="80">
        <f t="shared" ca="1" si="104"/>
        <v>871102.23471006611</v>
      </c>
      <c r="M180" s="82">
        <f t="shared" ca="1" si="105"/>
        <v>1993162.2847100662</v>
      </c>
      <c r="N180" s="1">
        <v>9027040</v>
      </c>
      <c r="O180" s="94" t="str">
        <f t="shared" si="106"/>
        <v>28BD4DA2-V</v>
      </c>
      <c r="P180" s="94" t="str">
        <f t="shared" si="107"/>
        <v>28BD4DA2-ae</v>
      </c>
      <c r="Q180" s="94" t="str">
        <f t="shared" si="108"/>
        <v>28BD4DA2-ak</v>
      </c>
    </row>
    <row r="181" spans="1:17">
      <c r="A181" s="220">
        <f ca="1">HYPERLINK("#"&amp;CELL("direccion",APU!A7570),IF(E181&gt;0,A180+1,""))</f>
        <v>172</v>
      </c>
      <c r="B181" s="96" t="s">
        <v>1433</v>
      </c>
      <c r="C181" s="83" t="s">
        <v>1432</v>
      </c>
      <c r="D181" s="74" t="s">
        <v>7</v>
      </c>
      <c r="E181" s="206">
        <v>20</v>
      </c>
      <c r="F181" s="99">
        <f ca="1">_xlfn.XLOOKUP(O181,APU!$B$2:$B$10000,APU!$G$2:$G$10000,,0,1)</f>
        <v>44659</v>
      </c>
      <c r="G181" s="99">
        <f ca="1">_xlfn.XLOOKUP(P181,APU!$B$2:$B$10000,APU!$G$2:$G$10000,,0,1)</f>
        <v>2110.0631249999997</v>
      </c>
      <c r="H181" s="99">
        <f ca="1">_xlfn.XLOOKUP(Q181,APU!$B$2:$B$10000,APU!$G$2:$G$10000,,0,1)</f>
        <v>30851.537479314848</v>
      </c>
      <c r="I181" s="81">
        <f t="shared" ca="1" si="101"/>
        <v>77620.600604314852</v>
      </c>
      <c r="J181" s="80">
        <f t="shared" ca="1" si="102"/>
        <v>893180</v>
      </c>
      <c r="K181" s="80">
        <f t="shared" ca="1" si="103"/>
        <v>42201.262499999997</v>
      </c>
      <c r="L181" s="80">
        <f t="shared" ca="1" si="104"/>
        <v>617030.74958629697</v>
      </c>
      <c r="M181" s="82">
        <f t="shared" ca="1" si="105"/>
        <v>1552412.0120862969</v>
      </c>
      <c r="N181" s="1">
        <v>3701490</v>
      </c>
      <c r="O181" s="94" t="str">
        <f t="shared" si="106"/>
        <v>2AD4DA3-V</v>
      </c>
      <c r="P181" s="94" t="str">
        <f t="shared" si="107"/>
        <v>2AD4DA3-ae</v>
      </c>
      <c r="Q181" s="94" t="str">
        <f t="shared" si="108"/>
        <v>2AD4DA3-ak</v>
      </c>
    </row>
    <row r="182" spans="1:17">
      <c r="A182" s="220">
        <f ca="1">HYPERLINK("#"&amp;CELL("direccion",APU!A7614),IF(E182&gt;0,A181+1,""))</f>
        <v>173</v>
      </c>
      <c r="B182" s="96" t="s">
        <v>1415</v>
      </c>
      <c r="C182" s="83" t="s">
        <v>1416</v>
      </c>
      <c r="D182" s="74" t="s">
        <v>7</v>
      </c>
      <c r="E182" s="206">
        <v>20</v>
      </c>
      <c r="F182" s="99">
        <f ca="1">_xlfn.XLOOKUP(O182,APU!$B$2:$B$10000,APU!$G$2:$G$10000,,0,1)</f>
        <v>58176</v>
      </c>
      <c r="G182" s="99">
        <f ca="1">_xlfn.XLOOKUP(P182,APU!$B$2:$B$10000,APU!$G$2:$G$10000,,0,1)</f>
        <v>6083.2843749999993</v>
      </c>
      <c r="H182" s="99">
        <f ca="1">_xlfn.XLOOKUP(Q182,APU!$B$2:$B$10000,APU!$G$2:$G$10000,,0,1)</f>
        <v>62610.473119786002</v>
      </c>
      <c r="I182" s="81">
        <f t="shared" ca="1" si="101"/>
        <v>126869.757494786</v>
      </c>
      <c r="J182" s="80">
        <f t="shared" ca="1" si="102"/>
        <v>1163520</v>
      </c>
      <c r="K182" s="80">
        <f t="shared" ca="1" si="103"/>
        <v>121665.68749999999</v>
      </c>
      <c r="L182" s="80">
        <f t="shared" ca="1" si="104"/>
        <v>1252209.46239572</v>
      </c>
      <c r="M182" s="82">
        <f t="shared" ca="1" si="105"/>
        <v>2537395.1498957202</v>
      </c>
      <c r="N182" s="1">
        <v>3539665</v>
      </c>
      <c r="O182" s="94" t="str">
        <f t="shared" si="106"/>
        <v>34637822-V</v>
      </c>
      <c r="P182" s="94" t="str">
        <f t="shared" si="107"/>
        <v>34637822-ae</v>
      </c>
      <c r="Q182" s="94" t="str">
        <f t="shared" si="108"/>
        <v>34637822-ak</v>
      </c>
    </row>
    <row r="183" spans="1:17">
      <c r="A183" s="220">
        <f ca="1">HYPERLINK("#"&amp;CELL("direccion",APU!A7658),IF(E183&gt;0,A182+1,""))</f>
        <v>174</v>
      </c>
      <c r="B183" s="96" t="s">
        <v>1422</v>
      </c>
      <c r="C183" s="83" t="s">
        <v>1421</v>
      </c>
      <c r="D183" s="74" t="s">
        <v>7</v>
      </c>
      <c r="E183" s="206">
        <v>20</v>
      </c>
      <c r="F183" s="99">
        <f ca="1">_xlfn.XLOOKUP(O183,APU!$B$2:$B$10000,APU!$G$2:$G$10000,,0,1)</f>
        <v>81634.2</v>
      </c>
      <c r="G183" s="99">
        <f ca="1">_xlfn.XLOOKUP(P183,APU!$B$2:$B$10000,APU!$G$2:$G$10000,,0,1)</f>
        <v>6326.9406249999993</v>
      </c>
      <c r="H183" s="99">
        <f ca="1">_xlfn.XLOOKUP(Q183,APU!$B$2:$B$10000,APU!$G$2:$G$10000,,0,1)</f>
        <v>69869.658409036565</v>
      </c>
      <c r="I183" s="81">
        <f t="shared" ca="1" si="101"/>
        <v>157830.79903403658</v>
      </c>
      <c r="J183" s="80">
        <f t="shared" ca="1" si="102"/>
        <v>1632684</v>
      </c>
      <c r="K183" s="80">
        <f t="shared" ca="1" si="103"/>
        <v>126538.81249999999</v>
      </c>
      <c r="L183" s="80">
        <f t="shared" ca="1" si="104"/>
        <v>1397393.1681807314</v>
      </c>
      <c r="M183" s="82">
        <f t="shared" ca="1" si="105"/>
        <v>3156615.9806807311</v>
      </c>
      <c r="N183" s="1">
        <v>4317181</v>
      </c>
      <c r="O183" s="94" t="str">
        <f t="shared" si="106"/>
        <v>101C7854-V</v>
      </c>
      <c r="P183" s="94" t="str">
        <f t="shared" si="107"/>
        <v>101C7854-ae</v>
      </c>
      <c r="Q183" s="94" t="str">
        <f t="shared" si="108"/>
        <v>101C7854-ak</v>
      </c>
    </row>
    <row r="184" spans="1:17">
      <c r="A184" s="220">
        <f ca="1">HYPERLINK("#"&amp;CELL("direccion",APU!A7702),IF(E184&gt;0,A183+1,""))</f>
        <v>175</v>
      </c>
      <c r="B184" s="96" t="s">
        <v>1424</v>
      </c>
      <c r="C184" s="83" t="s">
        <v>1423</v>
      </c>
      <c r="D184" s="74" t="s">
        <v>7</v>
      </c>
      <c r="E184" s="206">
        <v>20</v>
      </c>
      <c r="F184" s="99">
        <f ca="1">_xlfn.XLOOKUP(O184,APU!$B$2:$B$10000,APU!$G$2:$G$10000,,0,1)</f>
        <v>336862.05</v>
      </c>
      <c r="G184" s="99">
        <f ca="1">_xlfn.XLOOKUP(P184,APU!$B$2:$B$10000,APU!$G$2:$G$10000,,0,1)</f>
        <v>24771.718749999996</v>
      </c>
      <c r="H184" s="99">
        <f ca="1">_xlfn.XLOOKUP(Q184,APU!$B$2:$B$10000,APU!$G$2:$G$10000,,0,1)</f>
        <v>72591.852892505514</v>
      </c>
      <c r="I184" s="81">
        <f t="shared" ca="1" si="101"/>
        <v>434225.62164250552</v>
      </c>
      <c r="J184" s="80">
        <f t="shared" ca="1" si="102"/>
        <v>6737241</v>
      </c>
      <c r="K184" s="80">
        <f t="shared" ca="1" si="103"/>
        <v>495434.37499999994</v>
      </c>
      <c r="L184" s="80">
        <f t="shared" ca="1" si="104"/>
        <v>1451837.0578501103</v>
      </c>
      <c r="M184" s="82">
        <f t="shared" ca="1" si="105"/>
        <v>8684512.4328501113</v>
      </c>
      <c r="N184" s="1">
        <v>5808594</v>
      </c>
      <c r="O184" s="94" t="str">
        <f t="shared" si="106"/>
        <v>2EE83F05-V</v>
      </c>
      <c r="P184" s="94" t="str">
        <f t="shared" si="107"/>
        <v>2EE83F05-ae</v>
      </c>
      <c r="Q184" s="94" t="str">
        <f t="shared" si="108"/>
        <v>2EE83F05-ak</v>
      </c>
    </row>
    <row r="185" spans="1:17">
      <c r="A185" s="220">
        <f ca="1">HYPERLINK("#"&amp;CELL("direccion",APU!A7746),IF(E185&gt;0,A184+1,""))</f>
        <v>176</v>
      </c>
      <c r="B185" s="96" t="s">
        <v>1425</v>
      </c>
      <c r="C185" s="83" t="s">
        <v>1426</v>
      </c>
      <c r="D185" s="74" t="s">
        <v>7</v>
      </c>
      <c r="E185" s="206">
        <v>20</v>
      </c>
      <c r="F185" s="99">
        <f ca="1">_xlfn.XLOOKUP(O185,APU!$B$2:$B$10000,APU!$G$2:$G$10000,,0,1)</f>
        <v>88355.35</v>
      </c>
      <c r="G185" s="99">
        <f ca="1">_xlfn.XLOOKUP(P185,APU!$B$2:$B$10000,APU!$G$2:$G$10000,,0,1)</f>
        <v>6326.9406249999993</v>
      </c>
      <c r="H185" s="99">
        <f ca="1">_xlfn.XLOOKUP(Q185,APU!$B$2:$B$10000,APU!$G$2:$G$10000,,0,1)</f>
        <v>74406.649214818157</v>
      </c>
      <c r="I185" s="81">
        <f t="shared" ca="1" si="101"/>
        <v>169088.93983981817</v>
      </c>
      <c r="J185" s="80">
        <f t="shared" ca="1" si="102"/>
        <v>1767107</v>
      </c>
      <c r="K185" s="80">
        <f t="shared" ca="1" si="103"/>
        <v>126538.81249999999</v>
      </c>
      <c r="L185" s="80">
        <f t="shared" ca="1" si="104"/>
        <v>1488132.9842963631</v>
      </c>
      <c r="M185" s="82">
        <f t="shared" ca="1" si="105"/>
        <v>3381778.7967963628</v>
      </c>
      <c r="N185" s="1">
        <v>3422173</v>
      </c>
      <c r="O185" s="94" t="str">
        <f t="shared" si="106"/>
        <v>5FB65CB-V</v>
      </c>
      <c r="P185" s="94" t="str">
        <f t="shared" si="107"/>
        <v>5FB65CB-ae</v>
      </c>
      <c r="Q185" s="94" t="str">
        <f t="shared" si="108"/>
        <v>5FB65CB-ak</v>
      </c>
    </row>
    <row r="186" spans="1:17">
      <c r="A186" s="220">
        <f ca="1">HYPERLINK("#"&amp;CELL("direccion",APU!A7790),IF(E186&gt;0,A185+1,""))</f>
        <v>177</v>
      </c>
      <c r="B186" s="96" t="s">
        <v>1454</v>
      </c>
      <c r="C186" s="83" t="s">
        <v>1435</v>
      </c>
      <c r="D186" s="74" t="s">
        <v>7</v>
      </c>
      <c r="E186" s="206">
        <v>20</v>
      </c>
      <c r="F186" s="99">
        <f ca="1">_xlfn.XLOOKUP(O186,APU!$B$2:$B$10000,APU!$G$2:$G$10000,,0,1)</f>
        <v>58269</v>
      </c>
      <c r="G186" s="99">
        <f ca="1">_xlfn.XLOOKUP(P186,APU!$B$2:$B$10000,APU!$G$2:$G$10000,,0,1)</f>
        <v>5581.3525</v>
      </c>
      <c r="H186" s="99">
        <f ca="1">_xlfn.XLOOKUP(Q186,APU!$B$2:$B$10000,APU!$G$2:$G$10000,,0,1)</f>
        <v>37203.324607409078</v>
      </c>
      <c r="I186" s="81">
        <f t="shared" ca="1" si="101"/>
        <v>101053.67710740908</v>
      </c>
      <c r="J186" s="80">
        <f t="shared" ca="1" si="102"/>
        <v>1165380</v>
      </c>
      <c r="K186" s="80">
        <f t="shared" ca="1" si="103"/>
        <v>111627.05</v>
      </c>
      <c r="L186" s="80">
        <f t="shared" ca="1" si="104"/>
        <v>744066.49214818154</v>
      </c>
      <c r="M186" s="82">
        <f t="shared" ca="1" si="105"/>
        <v>2021073.5421481817</v>
      </c>
      <c r="N186" s="1">
        <v>3716150</v>
      </c>
      <c r="O186" s="94" t="str">
        <f t="shared" si="106"/>
        <v>30ABD4DA3-V</v>
      </c>
      <c r="P186" s="94" t="str">
        <f t="shared" si="107"/>
        <v>30ABD4DA3-ae</v>
      </c>
      <c r="Q186" s="94" t="str">
        <f t="shared" si="108"/>
        <v>30ABD4DA3-ak</v>
      </c>
    </row>
    <row r="187" spans="1:17">
      <c r="A187" s="220">
        <f ca="1">HYPERLINK("#"&amp;CELL("direccion",APU!A7834),IF(E187&gt;0,A186+1,""))</f>
        <v>178</v>
      </c>
      <c r="B187" s="96" t="s">
        <v>1455</v>
      </c>
      <c r="C187" s="83" t="s">
        <v>1436</v>
      </c>
      <c r="D187" s="74" t="s">
        <v>7</v>
      </c>
      <c r="E187" s="206">
        <v>20</v>
      </c>
      <c r="F187" s="99">
        <f ca="1">_xlfn.XLOOKUP(O187,APU!$B$2:$B$10000,APU!$G$2:$G$10000,,0,1)</f>
        <v>65767</v>
      </c>
      <c r="G187" s="99">
        <f ca="1">_xlfn.XLOOKUP(P187,APU!$B$2:$B$10000,APU!$G$2:$G$10000,,0,1)</f>
        <v>2110.0631249999997</v>
      </c>
      <c r="H187" s="99">
        <f ca="1">_xlfn.XLOOKUP(Q187,APU!$B$2:$B$10000,APU!$G$2:$G$10000,,0,1)</f>
        <v>49906.898863597547</v>
      </c>
      <c r="I187" s="81">
        <f t="shared" ref="I187:I210" ca="1" si="109">+(F187+G187+H187)</f>
        <v>117783.96198859756</v>
      </c>
      <c r="J187" s="80">
        <f t="shared" ref="J187:J210" ca="1" si="110">+E187*F187</f>
        <v>1315340</v>
      </c>
      <c r="K187" s="80">
        <f t="shared" ref="K187:K210" ca="1" si="111">+G187*E187</f>
        <v>42201.262499999997</v>
      </c>
      <c r="L187" s="80">
        <f t="shared" ref="L187:L210" ca="1" si="112">+H187*E187</f>
        <v>998137.97727195092</v>
      </c>
      <c r="M187" s="82">
        <f t="shared" ref="M187:M210" ca="1" si="113">SUM(J187:L187)</f>
        <v>2355679.239771951</v>
      </c>
      <c r="N187" s="1">
        <v>9139999</v>
      </c>
      <c r="O187" s="94" t="str">
        <f t="shared" ref="O187:O210" si="114">_xlfn.CONCAT(B187,"V")</f>
        <v>30ABD4DB4-V</v>
      </c>
      <c r="P187" s="94" t="str">
        <f t="shared" ref="P187:P210" si="115">_xlfn.CONCAT(B187,"ae")</f>
        <v>30ABD4DB4-ae</v>
      </c>
      <c r="Q187" s="94" t="str">
        <f t="shared" ref="Q187:Q210" si="116">_xlfn.CONCAT(B187,"ak")</f>
        <v>30ABD4DB4-ak</v>
      </c>
    </row>
    <row r="188" spans="1:17">
      <c r="A188" s="220">
        <f ca="1">HYPERLINK("#"&amp;CELL("direccion",APU!A7878),IF(E188&gt;0,A187+1,""))</f>
        <v>179</v>
      </c>
      <c r="B188" s="96" t="s">
        <v>1447</v>
      </c>
      <c r="C188" s="83" t="s">
        <v>1448</v>
      </c>
      <c r="D188" s="74" t="s">
        <v>7</v>
      </c>
      <c r="E188" s="206">
        <v>20</v>
      </c>
      <c r="F188" s="99">
        <f ca="1">_xlfn.XLOOKUP(O188,APU!$B$2:$B$10000,APU!$G$2:$G$10000,,0,1)</f>
        <v>36269.65</v>
      </c>
      <c r="G188" s="99">
        <f ca="1">_xlfn.XLOOKUP(P188,APU!$B$2:$B$10000,APU!$G$2:$G$10000,,0,1)</f>
        <v>1073.711875</v>
      </c>
      <c r="H188" s="99">
        <f ca="1">_xlfn.XLOOKUP(Q188,APU!$B$2:$B$10000,APU!$G$2:$G$10000,,0,1)</f>
        <v>22684.954028907974</v>
      </c>
      <c r="I188" s="81">
        <f t="shared" ca="1" si="109"/>
        <v>60028.315903907976</v>
      </c>
      <c r="J188" s="80">
        <f t="shared" ca="1" si="110"/>
        <v>725393</v>
      </c>
      <c r="K188" s="80">
        <f t="shared" ca="1" si="111"/>
        <v>21474.237499999999</v>
      </c>
      <c r="L188" s="80">
        <f t="shared" ca="1" si="112"/>
        <v>453699.08057815948</v>
      </c>
      <c r="M188" s="82">
        <f t="shared" ca="1" si="113"/>
        <v>1200566.3180781596</v>
      </c>
      <c r="N188" s="1">
        <v>4803703</v>
      </c>
      <c r="O188" s="94" t="str">
        <f t="shared" si="114"/>
        <v>1506F925-V</v>
      </c>
      <c r="P188" s="94" t="str">
        <f t="shared" si="115"/>
        <v>1506F925-ae</v>
      </c>
      <c r="Q188" s="94" t="str">
        <f t="shared" si="116"/>
        <v>1506F925-ak</v>
      </c>
    </row>
    <row r="189" spans="1:17">
      <c r="A189" s="220">
        <f ca="1">HYPERLINK("#"&amp;CELL("direccion",APU!A7922),IF(E189&gt;0,A188+1,""))</f>
        <v>180</v>
      </c>
      <c r="B189" s="96" t="s">
        <v>1450</v>
      </c>
      <c r="C189" s="83" t="s">
        <v>1449</v>
      </c>
      <c r="D189" s="74" t="s">
        <v>7</v>
      </c>
      <c r="E189" s="206">
        <v>20</v>
      </c>
      <c r="F189" s="99">
        <f ca="1">_xlfn.XLOOKUP(O189,APU!$B$2:$B$10000,APU!$G$2:$G$10000,,0,1)</f>
        <v>45202.65</v>
      </c>
      <c r="G189" s="99">
        <f ca="1">_xlfn.XLOOKUP(P189,APU!$B$2:$B$10000,APU!$G$2:$G$10000,,0,1)</f>
        <v>1317.3681249999997</v>
      </c>
      <c r="H189" s="99">
        <f ca="1">_xlfn.XLOOKUP(Q189,APU!$B$2:$B$10000,APU!$G$2:$G$10000,,0,1)</f>
        <v>26768.245754111409</v>
      </c>
      <c r="I189" s="81">
        <f t="shared" ca="1" si="109"/>
        <v>73288.263879111415</v>
      </c>
      <c r="J189" s="80">
        <f t="shared" ca="1" si="110"/>
        <v>904053</v>
      </c>
      <c r="K189" s="80">
        <f t="shared" ca="1" si="111"/>
        <v>26347.362499999996</v>
      </c>
      <c r="L189" s="80">
        <f t="shared" ca="1" si="112"/>
        <v>535364.91508222814</v>
      </c>
      <c r="M189" s="82">
        <f t="shared" ca="1" si="113"/>
        <v>1465765.2775822282</v>
      </c>
      <c r="N189" s="1">
        <v>2657782</v>
      </c>
      <c r="O189" s="94" t="str">
        <f t="shared" si="114"/>
        <v>1506F926-V</v>
      </c>
      <c r="P189" s="94" t="str">
        <f t="shared" si="115"/>
        <v>1506F926-ae</v>
      </c>
      <c r="Q189" s="94" t="str">
        <f t="shared" si="116"/>
        <v>1506F926-ak</v>
      </c>
    </row>
    <row r="190" spans="1:17">
      <c r="A190" s="220">
        <f ca="1">HYPERLINK("#"&amp;CELL("direccion",APU!A7966),IF(E190&gt;0,A189+1,""))</f>
        <v>181</v>
      </c>
      <c r="B190" s="96" t="s">
        <v>1452</v>
      </c>
      <c r="C190" s="83" t="s">
        <v>1451</v>
      </c>
      <c r="D190" s="74" t="s">
        <v>7</v>
      </c>
      <c r="E190" s="206">
        <v>20</v>
      </c>
      <c r="F190" s="99">
        <f ca="1">_xlfn.XLOOKUP(O190,APU!$B$2:$B$10000,APU!$G$2:$G$10000,,0,1)</f>
        <v>91002.7</v>
      </c>
      <c r="G190" s="99">
        <f ca="1">_xlfn.XLOOKUP(P190,APU!$B$2:$B$10000,APU!$G$2:$G$10000,,0,1)</f>
        <v>5581.3525</v>
      </c>
      <c r="H190" s="99">
        <f ca="1">_xlfn.XLOOKUP(Q190,APU!$B$2:$B$10000,APU!$G$2:$G$10000,,0,1)</f>
        <v>63517.871280942323</v>
      </c>
      <c r="I190" s="81">
        <f t="shared" ca="1" si="109"/>
        <v>160101.92378094231</v>
      </c>
      <c r="J190" s="80">
        <f t="shared" ca="1" si="110"/>
        <v>1820054</v>
      </c>
      <c r="K190" s="80">
        <f t="shared" ca="1" si="111"/>
        <v>111627.05</v>
      </c>
      <c r="L190" s="80">
        <f t="shared" ca="1" si="112"/>
        <v>1270357.4256188464</v>
      </c>
      <c r="M190" s="82">
        <f t="shared" ca="1" si="113"/>
        <v>3202038.4756188467</v>
      </c>
      <c r="N190" s="1">
        <v>4441798</v>
      </c>
      <c r="O190" s="94" t="str">
        <f t="shared" si="114"/>
        <v>AAE5F07-V</v>
      </c>
      <c r="P190" s="94" t="str">
        <f t="shared" si="115"/>
        <v>AAE5F07-ae</v>
      </c>
      <c r="Q190" s="94" t="str">
        <f t="shared" si="116"/>
        <v>AAE5F07-ak</v>
      </c>
    </row>
    <row r="191" spans="1:17">
      <c r="A191" s="220">
        <f ca="1">HYPERLINK("#"&amp;CELL("direccion",APU!A8010),IF(E191&gt;0,A190+1,""))</f>
        <v>182</v>
      </c>
      <c r="B191" s="96" t="s">
        <v>1414</v>
      </c>
      <c r="C191" s="83" t="s">
        <v>1453</v>
      </c>
      <c r="D191" s="74" t="s">
        <v>7</v>
      </c>
      <c r="E191" s="206">
        <v>20</v>
      </c>
      <c r="F191" s="99">
        <f ca="1">_xlfn.XLOOKUP(O191,APU!$B$2:$B$10000,APU!$G$2:$G$10000,,0,1)</f>
        <v>51248.1</v>
      </c>
      <c r="G191" s="99">
        <f ca="1">_xlfn.XLOOKUP(P191,APU!$B$2:$B$10000,APU!$G$2:$G$10000,,0,1)</f>
        <v>4442.6656249999996</v>
      </c>
      <c r="H191" s="99">
        <f ca="1">_xlfn.XLOOKUP(Q191,APU!$B$2:$B$10000,APU!$G$2:$G$10000,,0,1)</f>
        <v>45369.908057815948</v>
      </c>
      <c r="I191" s="81">
        <f t="shared" ca="1" si="109"/>
        <v>101060.67368281595</v>
      </c>
      <c r="J191" s="80">
        <f t="shared" ca="1" si="110"/>
        <v>1024962</v>
      </c>
      <c r="K191" s="80">
        <f t="shared" ca="1" si="111"/>
        <v>88853.3125</v>
      </c>
      <c r="L191" s="80">
        <f t="shared" ca="1" si="112"/>
        <v>907398.16115631897</v>
      </c>
      <c r="M191" s="82">
        <f t="shared" ca="1" si="113"/>
        <v>2021213.4736563191</v>
      </c>
      <c r="N191" s="1">
        <v>5900711</v>
      </c>
      <c r="O191" s="94" t="str">
        <f t="shared" si="114"/>
        <v>28BD4DA3-V</v>
      </c>
      <c r="P191" s="94" t="str">
        <f t="shared" si="115"/>
        <v>28BD4DA3-ae</v>
      </c>
      <c r="Q191" s="94" t="str">
        <f t="shared" si="116"/>
        <v>28BD4DA3-ak</v>
      </c>
    </row>
    <row r="192" spans="1:17">
      <c r="A192" s="220">
        <f ca="1">HYPERLINK("#"&amp;CELL("direccion",APU!A8054),IF(E192&gt;0,A191+1,""))</f>
        <v>183</v>
      </c>
      <c r="B192" s="96" t="s">
        <v>1457</v>
      </c>
      <c r="C192" s="83" t="s">
        <v>1456</v>
      </c>
      <c r="D192" s="74" t="s">
        <v>7</v>
      </c>
      <c r="E192" s="206">
        <v>15</v>
      </c>
      <c r="F192" s="99">
        <f ca="1">_xlfn.XLOOKUP(O192,APU!$B$2:$B$10000,APU!$G$2:$G$10000,,0,1)</f>
        <v>87869.7</v>
      </c>
      <c r="G192" s="99">
        <f ca="1">_xlfn.XLOOKUP(P192,APU!$B$2:$B$10000,APU!$G$2:$G$10000,,0,1)</f>
        <v>5581.3525</v>
      </c>
      <c r="H192" s="99">
        <f ca="1">_xlfn.XLOOKUP(Q192,APU!$B$2:$B$10000,APU!$G$2:$G$10000,,0,1)</f>
        <v>61703.074958629695</v>
      </c>
      <c r="I192" s="81">
        <f t="shared" ca="1" si="109"/>
        <v>155154.12745862969</v>
      </c>
      <c r="J192" s="80">
        <f t="shared" ca="1" si="110"/>
        <v>1318045.5</v>
      </c>
      <c r="K192" s="80">
        <f t="shared" ca="1" si="111"/>
        <v>83720.287500000006</v>
      </c>
      <c r="L192" s="80">
        <f t="shared" ca="1" si="112"/>
        <v>925546.12437944545</v>
      </c>
      <c r="M192" s="82">
        <f t="shared" ca="1" si="113"/>
        <v>2327311.9118794454</v>
      </c>
      <c r="N192" s="1">
        <v>2144804</v>
      </c>
      <c r="O192" s="94" t="str">
        <f t="shared" si="114"/>
        <v>AAE5F08-V</v>
      </c>
      <c r="P192" s="94" t="str">
        <f t="shared" si="115"/>
        <v>AAE5F08-ae</v>
      </c>
      <c r="Q192" s="94" t="str">
        <f t="shared" si="116"/>
        <v>AAE5F08-ak</v>
      </c>
    </row>
    <row r="193" spans="1:17">
      <c r="A193" s="220">
        <f ca="1">HYPERLINK("#"&amp;CELL("direccion",APU!A8098),IF(E193&gt;0,A192+1,""))</f>
        <v>184</v>
      </c>
      <c r="B193" s="96" t="s">
        <v>1458</v>
      </c>
      <c r="C193" s="83" t="s">
        <v>1459</v>
      </c>
      <c r="D193" s="74" t="s">
        <v>7</v>
      </c>
      <c r="E193" s="206">
        <v>15</v>
      </c>
      <c r="F193" s="99">
        <f ca="1">_xlfn.XLOOKUP(O193,APU!$B$2:$B$10000,APU!$G$2:$G$10000,,0,1)</f>
        <v>91764.7</v>
      </c>
      <c r="G193" s="99">
        <f ca="1">_xlfn.XLOOKUP(P193,APU!$B$2:$B$10000,APU!$G$2:$G$10000,,0,1)</f>
        <v>5581.3525</v>
      </c>
      <c r="H193" s="99">
        <f ca="1">_xlfn.XLOOKUP(Q193,APU!$B$2:$B$10000,APU!$G$2:$G$10000,,0,1)</f>
        <v>62610.473119786002</v>
      </c>
      <c r="I193" s="81">
        <f t="shared" ca="1" si="109"/>
        <v>159956.525619786</v>
      </c>
      <c r="J193" s="80">
        <f t="shared" ca="1" si="110"/>
        <v>1376470.5</v>
      </c>
      <c r="K193" s="80">
        <f t="shared" ca="1" si="111"/>
        <v>83720.287500000006</v>
      </c>
      <c r="L193" s="80">
        <f t="shared" ca="1" si="112"/>
        <v>939157.09679679002</v>
      </c>
      <c r="M193" s="82">
        <f t="shared" ca="1" si="113"/>
        <v>2399347.8842967902</v>
      </c>
      <c r="N193" s="1">
        <v>6885892</v>
      </c>
      <c r="O193" s="94" t="str">
        <f t="shared" si="114"/>
        <v>AAE5F085-V</v>
      </c>
      <c r="P193" s="94" t="str">
        <f t="shared" si="115"/>
        <v>AAE5F085-ae</v>
      </c>
      <c r="Q193" s="94" t="str">
        <f t="shared" si="116"/>
        <v>AAE5F085-ak</v>
      </c>
    </row>
    <row r="194" spans="1:17" ht="40.5">
      <c r="A194" s="220">
        <f ca="1">HYPERLINK("#"&amp;CELL("direccion",APU!A8142),IF(E194&gt;0,A193+1,""))</f>
        <v>185</v>
      </c>
      <c r="B194" s="96" t="s">
        <v>1461</v>
      </c>
      <c r="C194" s="83" t="s">
        <v>1460</v>
      </c>
      <c r="D194" s="74" t="s">
        <v>9</v>
      </c>
      <c r="E194" s="206">
        <v>4</v>
      </c>
      <c r="F194" s="99">
        <f ca="1">_xlfn.XLOOKUP(O194,APU!$B$2:$B$10000,APU!$G$2:$G$10000,,0,1)</f>
        <v>106850</v>
      </c>
      <c r="G194" s="99">
        <f ca="1">_xlfn.XLOOKUP(P194,APU!$B$2:$B$10000,APU!$G$2:$G$10000,,0,1)</f>
        <v>2002.8543749999997</v>
      </c>
      <c r="H194" s="99">
        <f ca="1">_xlfn.XLOOKUP(Q194,APU!$B$2:$B$10000,APU!$G$2:$G$10000,,0,1)</f>
        <v>10888.777933875826</v>
      </c>
      <c r="I194" s="81">
        <f t="shared" ca="1" si="109"/>
        <v>119741.63230887582</v>
      </c>
      <c r="J194" s="80">
        <f t="shared" ca="1" si="110"/>
        <v>427400</v>
      </c>
      <c r="K194" s="80">
        <f t="shared" ca="1" si="111"/>
        <v>8011.4174999999987</v>
      </c>
      <c r="L194" s="80">
        <f t="shared" ca="1" si="112"/>
        <v>43555.111735503306</v>
      </c>
      <c r="M194" s="82">
        <f t="shared" ca="1" si="113"/>
        <v>478966.52923550329</v>
      </c>
      <c r="N194" s="1">
        <v>8935768</v>
      </c>
      <c r="O194" s="94" t="str">
        <f t="shared" si="114"/>
        <v>2DB3B614-V</v>
      </c>
      <c r="P194" s="94" t="str">
        <f t="shared" si="115"/>
        <v>2DB3B614-ae</v>
      </c>
      <c r="Q194" s="94" t="str">
        <f t="shared" si="116"/>
        <v>2DB3B614-ak</v>
      </c>
    </row>
    <row r="195" spans="1:17" ht="40.5">
      <c r="A195" s="220">
        <f ca="1">HYPERLINK("#"&amp;CELL("direccion",APU!A8186),IF(E195&gt;0,A194+1,""))</f>
        <v>186</v>
      </c>
      <c r="B195" s="96" t="s">
        <v>1465</v>
      </c>
      <c r="C195" s="83" t="s">
        <v>1464</v>
      </c>
      <c r="D195" s="74" t="s">
        <v>9</v>
      </c>
      <c r="E195" s="206">
        <v>4</v>
      </c>
      <c r="F195" s="99">
        <f ca="1">_xlfn.XLOOKUP(O195,APU!$B$2:$B$10000,APU!$G$2:$G$10000,,0,1)</f>
        <v>33290</v>
      </c>
      <c r="G195" s="99">
        <f ca="1">_xlfn.XLOOKUP(P195,APU!$B$2:$B$10000,APU!$G$2:$G$10000,,0,1)</f>
        <v>622.13562499999989</v>
      </c>
      <c r="H195" s="99">
        <f ca="1">_xlfn.XLOOKUP(Q195,APU!$B$2:$B$10000,APU!$G$2:$G$10000,,0,1)</f>
        <v>9073.9816115631893</v>
      </c>
      <c r="I195" s="81">
        <f t="shared" ca="1" si="109"/>
        <v>42986.117236563194</v>
      </c>
      <c r="J195" s="80">
        <f t="shared" ca="1" si="110"/>
        <v>133160</v>
      </c>
      <c r="K195" s="80">
        <f t="shared" ca="1" si="111"/>
        <v>2488.5424999999996</v>
      </c>
      <c r="L195" s="80">
        <f t="shared" ca="1" si="112"/>
        <v>36295.926446252757</v>
      </c>
      <c r="M195" s="82">
        <f t="shared" ca="1" si="113"/>
        <v>171944.46894625277</v>
      </c>
      <c r="N195" s="1">
        <v>3136856</v>
      </c>
      <c r="O195" s="94" t="str">
        <f t="shared" si="114"/>
        <v>39B90C95-V</v>
      </c>
      <c r="P195" s="94" t="str">
        <f t="shared" si="115"/>
        <v>39B90C95-ae</v>
      </c>
      <c r="Q195" s="94" t="str">
        <f t="shared" si="116"/>
        <v>39B90C95-ak</v>
      </c>
    </row>
    <row r="196" spans="1:17" ht="40.5">
      <c r="A196" s="220">
        <f ca="1">HYPERLINK("#"&amp;CELL("direccion",APU!A8230),IF(E196&gt;0,A195+1,""))</f>
        <v>187</v>
      </c>
      <c r="B196" s="96" t="s">
        <v>1471</v>
      </c>
      <c r="C196" s="83" t="s">
        <v>1468</v>
      </c>
      <c r="D196" s="74" t="s">
        <v>9</v>
      </c>
      <c r="E196" s="206">
        <v>4</v>
      </c>
      <c r="F196" s="99">
        <f ca="1">_xlfn.XLOOKUP(O196,APU!$B$2:$B$10000,APU!$G$2:$G$10000,,0,1)</f>
        <v>3912230</v>
      </c>
      <c r="G196" s="99">
        <f ca="1">_xlfn.XLOOKUP(P196,APU!$B$2:$B$10000,APU!$G$2:$G$10000,,0,1)</f>
        <v>80406.562499999985</v>
      </c>
      <c r="H196" s="99">
        <f ca="1">_xlfn.XLOOKUP(Q196,APU!$B$2:$B$10000,APU!$G$2:$G$10000,,0,1)</f>
        <v>272219.44834689569</v>
      </c>
      <c r="I196" s="81">
        <f t="shared" ca="1" si="109"/>
        <v>4264856.0108468961</v>
      </c>
      <c r="J196" s="80">
        <f t="shared" ca="1" si="110"/>
        <v>15648920</v>
      </c>
      <c r="K196" s="80">
        <f t="shared" ca="1" si="111"/>
        <v>321626.24999999994</v>
      </c>
      <c r="L196" s="80">
        <f t="shared" ca="1" si="112"/>
        <v>1088877.7933875828</v>
      </c>
      <c r="M196" s="82">
        <f t="shared" ca="1" si="113"/>
        <v>17059424.043387584</v>
      </c>
      <c r="N196" s="1">
        <v>7253846</v>
      </c>
      <c r="O196" s="94" t="str">
        <f t="shared" si="114"/>
        <v>24AE92-V</v>
      </c>
      <c r="P196" s="94" t="str">
        <f t="shared" si="115"/>
        <v>24AE92-ae</v>
      </c>
      <c r="Q196" s="94" t="str">
        <f t="shared" si="116"/>
        <v>24AE92-ak</v>
      </c>
    </row>
    <row r="197" spans="1:17" ht="27">
      <c r="A197" s="220">
        <f ca="1">HYPERLINK("#"&amp;CELL("direccion",APU!A8274),IF(E197&gt;0,A196+1,""))</f>
        <v>188</v>
      </c>
      <c r="B197" s="96" t="s">
        <v>1473</v>
      </c>
      <c r="C197" s="83" t="s">
        <v>1474</v>
      </c>
      <c r="D197" s="74" t="s">
        <v>9</v>
      </c>
      <c r="E197" s="206">
        <v>1</v>
      </c>
      <c r="F197" s="99">
        <f ca="1">_xlfn.XLOOKUP(O197,APU!$B$2:$B$10000,APU!$G$2:$G$10000,,0,1)</f>
        <v>97271200</v>
      </c>
      <c r="G197" s="99">
        <f ca="1">_xlfn.XLOOKUP(P197,APU!$B$2:$B$10000,APU!$G$2:$G$10000,,0,1)</f>
        <v>1036838.5624999999</v>
      </c>
      <c r="H197" s="99">
        <f ca="1">_xlfn.XLOOKUP(Q197,APU!$B$2:$B$10000,APU!$G$2:$G$10000,,0,1)</f>
        <v>2994413.9318158524</v>
      </c>
      <c r="I197" s="81">
        <f t="shared" ca="1" si="109"/>
        <v>101302452.49431585</v>
      </c>
      <c r="J197" s="80">
        <f t="shared" ca="1" si="110"/>
        <v>97271200</v>
      </c>
      <c r="K197" s="80">
        <f t="shared" ca="1" si="111"/>
        <v>1036838.5624999999</v>
      </c>
      <c r="L197" s="80">
        <f t="shared" ca="1" si="112"/>
        <v>2994413.9318158524</v>
      </c>
      <c r="M197" s="82">
        <f t="shared" ca="1" si="113"/>
        <v>101302452.49431585</v>
      </c>
      <c r="N197" s="1">
        <v>7623908</v>
      </c>
      <c r="O197" s="94" t="str">
        <f t="shared" si="114"/>
        <v>1F9C26EC-V</v>
      </c>
      <c r="P197" s="94" t="str">
        <f t="shared" si="115"/>
        <v>1F9C26EC-ae</v>
      </c>
      <c r="Q197" s="94" t="str">
        <f t="shared" si="116"/>
        <v>1F9C26EC-ak</v>
      </c>
    </row>
    <row r="198" spans="1:17">
      <c r="A198" s="220">
        <f ca="1">HYPERLINK("#"&amp;CELL("direccion",APU!A8318),IF(E198&gt;0,A197+1,""))</f>
        <v>189</v>
      </c>
      <c r="B198" s="96" t="s">
        <v>1476</v>
      </c>
      <c r="C198" s="83" t="s">
        <v>1475</v>
      </c>
      <c r="D198" s="74" t="s">
        <v>9</v>
      </c>
      <c r="E198" s="206">
        <v>1</v>
      </c>
      <c r="F198" s="99">
        <f ca="1">_xlfn.XLOOKUP(O198,APU!$B$2:$B$10000,APU!$G$2:$G$10000,,0,1)</f>
        <v>56238400</v>
      </c>
      <c r="G198" s="99">
        <f ca="1">_xlfn.XLOOKUP(P198,APU!$B$2:$B$10000,APU!$G$2:$G$10000,,0,1)</f>
        <v>927193.24999999988</v>
      </c>
      <c r="H198" s="99">
        <f ca="1">_xlfn.XLOOKUP(Q198,APU!$B$2:$B$10000,APU!$G$2:$G$10000,,0,1)</f>
        <v>4083291.7252034354</v>
      </c>
      <c r="I198" s="81">
        <f t="shared" ca="1" si="109"/>
        <v>61248884.975203432</v>
      </c>
      <c r="J198" s="80">
        <f t="shared" ca="1" si="110"/>
        <v>56238400</v>
      </c>
      <c r="K198" s="80">
        <f t="shared" ca="1" si="111"/>
        <v>927193.24999999988</v>
      </c>
      <c r="L198" s="80">
        <f t="shared" ca="1" si="112"/>
        <v>4083291.7252034354</v>
      </c>
      <c r="M198" s="82">
        <f t="shared" ca="1" si="113"/>
        <v>61248884.975203432</v>
      </c>
      <c r="N198" s="1">
        <v>6603970</v>
      </c>
      <c r="O198" s="94" t="str">
        <f t="shared" si="114"/>
        <v>69BB9CF-V</v>
      </c>
      <c r="P198" s="94" t="str">
        <f t="shared" si="115"/>
        <v>69BB9CF-ae</v>
      </c>
      <c r="Q198" s="94" t="str">
        <f t="shared" si="116"/>
        <v>69BB9CF-ak</v>
      </c>
    </row>
    <row r="199" spans="1:17">
      <c r="A199" s="220">
        <f ca="1">HYPERLINK("#"&amp;CELL("direccion",APU!A8362),IF(E199&gt;0,A198+1,""))</f>
        <v>190</v>
      </c>
      <c r="B199" s="96" t="s">
        <v>1494</v>
      </c>
      <c r="C199" s="83" t="s">
        <v>1495</v>
      </c>
      <c r="D199" s="74" t="s">
        <v>9</v>
      </c>
      <c r="E199" s="206">
        <v>1</v>
      </c>
      <c r="F199" s="99">
        <f ca="1">_xlfn.XLOOKUP(O199,APU!$B$2:$B$10000,APU!$G$2:$G$10000,,0,1)</f>
        <v>9842900</v>
      </c>
      <c r="G199" s="99">
        <f ca="1">_xlfn.XLOOKUP(P199,APU!$B$2:$B$10000,APU!$G$2:$G$10000,,0,1)</f>
        <v>290600.68749999994</v>
      </c>
      <c r="H199" s="99">
        <f ca="1">_xlfn.XLOOKUP(Q199,APU!$B$2:$B$10000,APU!$G$2:$G$10000,,0,1)</f>
        <v>1088877.7933875828</v>
      </c>
      <c r="I199" s="81">
        <f t="shared" ca="1" si="109"/>
        <v>11222378.480887583</v>
      </c>
      <c r="J199" s="80">
        <f t="shared" ca="1" si="110"/>
        <v>9842900</v>
      </c>
      <c r="K199" s="80">
        <f t="shared" ca="1" si="111"/>
        <v>290600.68749999994</v>
      </c>
      <c r="L199" s="80">
        <f t="shared" ca="1" si="112"/>
        <v>1088877.7933875828</v>
      </c>
      <c r="M199" s="82">
        <f t="shared" ca="1" si="113"/>
        <v>11222378.480887583</v>
      </c>
      <c r="N199" s="1">
        <v>5072367</v>
      </c>
      <c r="O199" s="94" t="str">
        <f t="shared" si="114"/>
        <v>10FCD6BB-V</v>
      </c>
      <c r="P199" s="94" t="str">
        <f t="shared" si="115"/>
        <v>10FCD6BB-ae</v>
      </c>
      <c r="Q199" s="94" t="str">
        <f t="shared" si="116"/>
        <v>10FCD6BB-ak</v>
      </c>
    </row>
    <row r="200" spans="1:17">
      <c r="A200" s="220">
        <f ca="1">HYPERLINK("#"&amp;CELL("direccion",APU!A8406),IF(E200&gt;0,A199+1,""))</f>
        <v>191</v>
      </c>
      <c r="B200" s="96" t="s">
        <v>1496</v>
      </c>
      <c r="C200" s="83" t="s">
        <v>1497</v>
      </c>
      <c r="D200" s="74" t="s">
        <v>9</v>
      </c>
      <c r="E200" s="206">
        <v>1</v>
      </c>
      <c r="F200" s="99">
        <f ca="1">_xlfn.XLOOKUP(O200,APU!$B$2:$B$10000,APU!$G$2:$G$10000,,0,1)</f>
        <v>26277440</v>
      </c>
      <c r="G200" s="99">
        <f ca="1">_xlfn.XLOOKUP(P200,APU!$B$2:$B$10000,APU!$G$2:$G$10000,,0,1)</f>
        <v>409667.37499999994</v>
      </c>
      <c r="H200" s="99">
        <f ca="1">_xlfn.XLOOKUP(Q200,APU!$B$2:$B$10000,APU!$G$2:$G$10000,,0,1)</f>
        <v>1814796.3223126379</v>
      </c>
      <c r="I200" s="81">
        <f t="shared" ca="1" si="109"/>
        <v>28501903.697312638</v>
      </c>
      <c r="J200" s="80">
        <f t="shared" ca="1" si="110"/>
        <v>26277440</v>
      </c>
      <c r="K200" s="80">
        <f t="shared" ca="1" si="111"/>
        <v>409667.37499999994</v>
      </c>
      <c r="L200" s="80">
        <f t="shared" ca="1" si="112"/>
        <v>1814796.3223126379</v>
      </c>
      <c r="M200" s="82">
        <f t="shared" ca="1" si="113"/>
        <v>28501903.697312638</v>
      </c>
      <c r="N200" s="1">
        <v>8559099</v>
      </c>
      <c r="O200" s="94" t="str">
        <f t="shared" si="114"/>
        <v>39941F8E-V</v>
      </c>
      <c r="P200" s="94" t="str">
        <f t="shared" si="115"/>
        <v>39941F8E-ae</v>
      </c>
      <c r="Q200" s="94" t="str">
        <f t="shared" si="116"/>
        <v>39941F8E-ak</v>
      </c>
    </row>
    <row r="201" spans="1:17" ht="40.5">
      <c r="A201" s="220">
        <f ca="1">HYPERLINK("#"&amp;CELL("direccion",APU!A8450),IF(E201&gt;0,A200+1,""))</f>
        <v>192</v>
      </c>
      <c r="B201" s="96" t="s">
        <v>1506</v>
      </c>
      <c r="C201" s="83" t="s">
        <v>1505</v>
      </c>
      <c r="D201" s="74" t="s">
        <v>9</v>
      </c>
      <c r="E201" s="206">
        <v>1</v>
      </c>
      <c r="F201" s="99">
        <f ca="1">_xlfn.XLOOKUP(O201,APU!$B$2:$B$10000,APU!$G$2:$G$10000,,0,1)</f>
        <v>164014.20000000001</v>
      </c>
      <c r="G201" s="99">
        <f ca="1">_xlfn.XLOOKUP(P201,APU!$B$2:$B$10000,APU!$G$2:$G$10000,,0,1)</f>
        <v>2943.7793849999994</v>
      </c>
      <c r="H201" s="99">
        <f ca="1">_xlfn.XLOOKUP(Q201,APU!$B$2:$B$10000,APU!$G$2:$G$10000,,0,1)</f>
        <v>40832.917252034356</v>
      </c>
      <c r="I201" s="81">
        <f t="shared" ca="1" si="109"/>
        <v>207790.89663703437</v>
      </c>
      <c r="J201" s="80">
        <f t="shared" ca="1" si="110"/>
        <v>164014.20000000001</v>
      </c>
      <c r="K201" s="80">
        <f t="shared" ca="1" si="111"/>
        <v>2943.7793849999994</v>
      </c>
      <c r="L201" s="80">
        <f t="shared" ca="1" si="112"/>
        <v>40832.917252034356</v>
      </c>
      <c r="M201" s="82">
        <f t="shared" ca="1" si="113"/>
        <v>207790.89663703437</v>
      </c>
      <c r="N201" s="1">
        <v>5292227</v>
      </c>
      <c r="O201" s="94" t="str">
        <f t="shared" si="114"/>
        <v>13BA4BD-V</v>
      </c>
      <c r="P201" s="94" t="str">
        <f t="shared" si="115"/>
        <v>13BA4BD-ae</v>
      </c>
      <c r="Q201" s="94" t="str">
        <f t="shared" si="116"/>
        <v>13BA4BD-ak</v>
      </c>
    </row>
    <row r="202" spans="1:17" ht="40.5">
      <c r="A202" s="220">
        <f ca="1">HYPERLINK("#"&amp;CELL("direccion",APU!A8494),IF(E202&gt;0,A201+1,""))</f>
        <v>193</v>
      </c>
      <c r="B202" s="96" t="s">
        <v>1508</v>
      </c>
      <c r="C202" s="83" t="s">
        <v>1507</v>
      </c>
      <c r="D202" s="74" t="s">
        <v>9</v>
      </c>
      <c r="E202" s="206">
        <v>1</v>
      </c>
      <c r="F202" s="99">
        <f ca="1">_xlfn.XLOOKUP(O202,APU!$B$2:$B$10000,APU!$G$2:$G$10000,,0,1)</f>
        <v>89163</v>
      </c>
      <c r="G202" s="99">
        <f ca="1">_xlfn.XLOOKUP(P202,APU!$B$2:$B$10000,APU!$G$2:$G$10000,,0,1)</f>
        <v>2943.7793849999994</v>
      </c>
      <c r="H202" s="99">
        <f ca="1">_xlfn.XLOOKUP(Q202,APU!$B$2:$B$10000,APU!$G$2:$G$10000,,0,1)</f>
        <v>40832.917252034356</v>
      </c>
      <c r="I202" s="81">
        <f t="shared" ca="1" si="109"/>
        <v>132939.69663703436</v>
      </c>
      <c r="J202" s="80">
        <f t="shared" ca="1" si="110"/>
        <v>89163</v>
      </c>
      <c r="K202" s="80">
        <f t="shared" ca="1" si="111"/>
        <v>2943.7793849999994</v>
      </c>
      <c r="L202" s="80">
        <f t="shared" ca="1" si="112"/>
        <v>40832.917252034356</v>
      </c>
      <c r="M202" s="82">
        <f t="shared" ca="1" si="113"/>
        <v>132939.69663703436</v>
      </c>
      <c r="N202" s="1">
        <v>5617189</v>
      </c>
      <c r="O202" s="94" t="str">
        <f t="shared" si="114"/>
        <v>1F6D91D5-V</v>
      </c>
      <c r="P202" s="94" t="str">
        <f t="shared" si="115"/>
        <v>1F6D91D5-ae</v>
      </c>
      <c r="Q202" s="94" t="str">
        <f t="shared" si="116"/>
        <v>1F6D91D5-ak</v>
      </c>
    </row>
    <row r="203" spans="1:17">
      <c r="A203" s="220">
        <f ca="1">HYPERLINK("#"&amp;CELL("direccion",APU!A8538),IF(E203&gt;0,A202+1,""))</f>
        <v>194</v>
      </c>
      <c r="B203" s="96" t="s">
        <v>1509</v>
      </c>
      <c r="C203" s="83" t="s">
        <v>1510</v>
      </c>
      <c r="D203" s="74" t="s">
        <v>9</v>
      </c>
      <c r="E203" s="206">
        <v>1</v>
      </c>
      <c r="F203" s="99">
        <f ca="1">_xlfn.XLOOKUP(O203,APU!$B$2:$B$10000,APU!$G$2:$G$10000,,0,1)</f>
        <v>286700</v>
      </c>
      <c r="G203" s="99">
        <f ca="1">_xlfn.XLOOKUP(P203,APU!$B$2:$B$10000,APU!$G$2:$G$10000,,0,1)</f>
        <v>3195.1456250000001</v>
      </c>
      <c r="H203" s="99">
        <f ca="1">_xlfn.XLOOKUP(Q203,APU!$B$2:$B$10000,APU!$G$2:$G$10000,,0,1)</f>
        <v>40832.917252034356</v>
      </c>
      <c r="I203" s="81">
        <f t="shared" ca="1" si="109"/>
        <v>330728.06287703436</v>
      </c>
      <c r="J203" s="80">
        <f t="shared" ca="1" si="110"/>
        <v>286700</v>
      </c>
      <c r="K203" s="80">
        <f t="shared" ca="1" si="111"/>
        <v>3195.1456250000001</v>
      </c>
      <c r="L203" s="80">
        <f t="shared" ca="1" si="112"/>
        <v>40832.917252034356</v>
      </c>
      <c r="M203" s="82">
        <f t="shared" ca="1" si="113"/>
        <v>330728.06287703436</v>
      </c>
      <c r="N203" s="1">
        <v>2642209</v>
      </c>
      <c r="O203" s="94" t="str">
        <f t="shared" si="114"/>
        <v>34F286E2-V</v>
      </c>
      <c r="P203" s="94" t="str">
        <f t="shared" si="115"/>
        <v>34F286E2-ae</v>
      </c>
      <c r="Q203" s="94" t="str">
        <f t="shared" si="116"/>
        <v>34F286E2-ak</v>
      </c>
    </row>
    <row r="204" spans="1:17">
      <c r="A204" s="220">
        <f ca="1">HYPERLINK("#"&amp;CELL("direccion",APU!A8582),IF(E204&gt;0,A203+1,""))</f>
        <v>195</v>
      </c>
      <c r="B204" s="96" t="s">
        <v>1514</v>
      </c>
      <c r="C204" s="83" t="s">
        <v>1515</v>
      </c>
      <c r="D204" s="74" t="s">
        <v>7</v>
      </c>
      <c r="E204" s="206">
        <v>15</v>
      </c>
      <c r="F204" s="99">
        <f ca="1">_xlfn.XLOOKUP(O204,APU!$B$2:$B$10000,APU!$G$2:$G$10000,,0,1)</f>
        <v>15123.6</v>
      </c>
      <c r="G204" s="99">
        <f ca="1">_xlfn.XLOOKUP(P204,APU!$B$2:$B$10000,APU!$G$2:$G$10000,,0,1)</f>
        <v>2818.2906249999996</v>
      </c>
      <c r="H204" s="99">
        <f ca="1">_xlfn.XLOOKUP(Q204,APU!$B$2:$B$10000,APU!$G$2:$G$10000,,0,1)</f>
        <v>4360.428326736308</v>
      </c>
      <c r="I204" s="81">
        <f t="shared" ca="1" si="109"/>
        <v>22302.318951736306</v>
      </c>
      <c r="J204" s="80">
        <f t="shared" ca="1" si="110"/>
        <v>226854</v>
      </c>
      <c r="K204" s="80">
        <f t="shared" ca="1" si="111"/>
        <v>42274.359374999993</v>
      </c>
      <c r="L204" s="80">
        <f t="shared" ca="1" si="112"/>
        <v>65406.424901044622</v>
      </c>
      <c r="M204" s="82">
        <f t="shared" ca="1" si="113"/>
        <v>334534.78427604464</v>
      </c>
      <c r="N204" s="1">
        <v>7999896</v>
      </c>
      <c r="O204" s="94" t="str">
        <f t="shared" si="114"/>
        <v>61A0AB0-V</v>
      </c>
      <c r="P204" s="94" t="str">
        <f t="shared" si="115"/>
        <v>61A0AB0-ae</v>
      </c>
      <c r="Q204" s="94" t="str">
        <f t="shared" si="116"/>
        <v>61A0AB0-ak</v>
      </c>
    </row>
    <row r="205" spans="1:17">
      <c r="A205" s="220">
        <f ca="1">HYPERLINK("#"&amp;CELL("direccion",APU!A8626),IF(E205&gt;0,A204+1,""))</f>
        <v>196</v>
      </c>
      <c r="B205" s="96" t="s">
        <v>1517</v>
      </c>
      <c r="C205" s="83" t="s">
        <v>1516</v>
      </c>
      <c r="D205" s="74" t="s">
        <v>7</v>
      </c>
      <c r="E205" s="206">
        <v>16</v>
      </c>
      <c r="F205" s="99">
        <f ca="1">_xlfn.XLOOKUP(O205,APU!$B$2:$B$10000,APU!$G$2:$G$10000,,0,1)</f>
        <v>40565</v>
      </c>
      <c r="G205" s="99">
        <f ca="1">_xlfn.XLOOKUP(P205,APU!$B$2:$B$10000,APU!$G$2:$G$10000,,0,1)</f>
        <v>10152.34375</v>
      </c>
      <c r="H205" s="99">
        <f ca="1">_xlfn.XLOOKUP(Q205,APU!$B$2:$B$10000,APU!$G$2:$G$10000,,0,1)</f>
        <v>13106.508191501107</v>
      </c>
      <c r="I205" s="81">
        <f t="shared" ca="1" si="109"/>
        <v>63823.851941501111</v>
      </c>
      <c r="J205" s="80">
        <f t="shared" ca="1" si="110"/>
        <v>649040</v>
      </c>
      <c r="K205" s="80">
        <f t="shared" ca="1" si="111"/>
        <v>162437.5</v>
      </c>
      <c r="L205" s="80">
        <f t="shared" ca="1" si="112"/>
        <v>209704.13106401771</v>
      </c>
      <c r="M205" s="82">
        <f t="shared" ca="1" si="113"/>
        <v>1021181.6310640178</v>
      </c>
      <c r="N205" s="1">
        <v>1528610</v>
      </c>
      <c r="O205" s="94" t="str">
        <f t="shared" si="114"/>
        <v>64A0AB0-V</v>
      </c>
      <c r="P205" s="94" t="str">
        <f t="shared" si="115"/>
        <v>64A0AB0-ae</v>
      </c>
      <c r="Q205" s="94" t="str">
        <f t="shared" si="116"/>
        <v>64A0AB0-ak</v>
      </c>
    </row>
    <row r="206" spans="1:17">
      <c r="A206" s="220">
        <f ca="1">HYPERLINK("#"&amp;CELL("direccion",APU!A8670),IF(E206&gt;0,A205+1,""))</f>
        <v>197</v>
      </c>
      <c r="B206" s="96" t="s">
        <v>1519</v>
      </c>
      <c r="C206" s="83" t="s">
        <v>1518</v>
      </c>
      <c r="D206" s="74" t="s">
        <v>7</v>
      </c>
      <c r="E206" s="206">
        <v>16</v>
      </c>
      <c r="F206" s="99">
        <f ca="1">_xlfn.XLOOKUP(O206,APU!$B$2:$B$10000,APU!$G$2:$G$10000,,0,1)</f>
        <v>59126.15</v>
      </c>
      <c r="G206" s="99">
        <f ca="1">_xlfn.XLOOKUP(P206,APU!$B$2:$B$10000,APU!$G$2:$G$10000,,0,1)</f>
        <v>13181.803124999999</v>
      </c>
      <c r="H206" s="99">
        <f ca="1">_xlfn.XLOOKUP(Q206,APU!$B$2:$B$10000,APU!$G$2:$G$10000,,0,1)</f>
        <v>18959.066969618787</v>
      </c>
      <c r="I206" s="81">
        <f t="shared" ca="1" si="109"/>
        <v>91267.020094618783</v>
      </c>
      <c r="J206" s="80">
        <f t="shared" ca="1" si="110"/>
        <v>946018.4</v>
      </c>
      <c r="K206" s="80">
        <f t="shared" ca="1" si="111"/>
        <v>210908.84999999998</v>
      </c>
      <c r="L206" s="80">
        <f t="shared" ca="1" si="112"/>
        <v>303345.07151390059</v>
      </c>
      <c r="M206" s="82">
        <f t="shared" ca="1" si="113"/>
        <v>1460272.3215139005</v>
      </c>
      <c r="N206" s="1">
        <v>8618048</v>
      </c>
      <c r="O206" s="94" t="str">
        <f t="shared" si="114"/>
        <v>4F21F4-V</v>
      </c>
      <c r="P206" s="94" t="str">
        <f t="shared" si="115"/>
        <v>4F21F4-ae</v>
      </c>
      <c r="Q206" s="94" t="str">
        <f t="shared" si="116"/>
        <v>4F21F4-ak</v>
      </c>
    </row>
    <row r="207" spans="1:17">
      <c r="A207" s="220">
        <f ca="1">HYPERLINK("#"&amp;CELL("direccion",APU!A8714),IF(E207&gt;0,A206+1,""))</f>
        <v>198</v>
      </c>
      <c r="B207" s="96" t="s">
        <v>1520</v>
      </c>
      <c r="C207" s="83" t="s">
        <v>1521</v>
      </c>
      <c r="D207" s="74" t="s">
        <v>7</v>
      </c>
      <c r="E207" s="206">
        <v>17</v>
      </c>
      <c r="F207" s="99">
        <f ca="1">_xlfn.XLOOKUP(O207,APU!$B$2:$B$10000,APU!$G$2:$G$10000,,0,1)</f>
        <v>122464.8</v>
      </c>
      <c r="G207" s="99">
        <f ca="1">_xlfn.XLOOKUP(P207,APU!$B$2:$B$10000,APU!$G$2:$G$10000,,0,1)</f>
        <v>26233.656249999996</v>
      </c>
      <c r="H207" s="99">
        <f ca="1">_xlfn.XLOOKUP(Q207,APU!$B$2:$B$10000,APU!$G$2:$G$10000,,0,1)</f>
        <v>39319.524574503317</v>
      </c>
      <c r="I207" s="81">
        <f t="shared" ca="1" si="109"/>
        <v>188017.98082450329</v>
      </c>
      <c r="J207" s="80">
        <f t="shared" ca="1" si="110"/>
        <v>2081901.6</v>
      </c>
      <c r="K207" s="80">
        <f t="shared" ca="1" si="111"/>
        <v>445972.15624999994</v>
      </c>
      <c r="L207" s="80">
        <f t="shared" ca="1" si="112"/>
        <v>668431.91776655638</v>
      </c>
      <c r="M207" s="82">
        <f t="shared" ca="1" si="113"/>
        <v>3196305.6740165567</v>
      </c>
      <c r="N207" s="1">
        <v>2410393</v>
      </c>
      <c r="O207" s="94" t="str">
        <f t="shared" si="114"/>
        <v>5F24F4-V</v>
      </c>
      <c r="P207" s="94" t="str">
        <f t="shared" si="115"/>
        <v>5F24F4-ae</v>
      </c>
      <c r="Q207" s="94" t="str">
        <f t="shared" si="116"/>
        <v>5F24F4-ak</v>
      </c>
    </row>
    <row r="208" spans="1:17">
      <c r="A208" s="220">
        <f ca="1">HYPERLINK("#"&amp;CELL("direccion",APU!A8758),IF(E208&gt;0,A207+1,""))</f>
        <v>199</v>
      </c>
      <c r="B208" s="96" t="s">
        <v>1522</v>
      </c>
      <c r="C208" s="83" t="s">
        <v>1523</v>
      </c>
      <c r="D208" s="74" t="s">
        <v>7</v>
      </c>
      <c r="E208" s="206">
        <v>18</v>
      </c>
      <c r="F208" s="99">
        <f ca="1">_xlfn.XLOOKUP(O208,APU!$B$2:$B$10000,APU!$G$2:$G$10000,,0,1)</f>
        <v>77687.3</v>
      </c>
      <c r="G208" s="99">
        <f ca="1">_xlfn.XLOOKUP(P208,APU!$B$2:$B$10000,APU!$G$2:$G$10000,,0,1)</f>
        <v>16211.262499999997</v>
      </c>
      <c r="H208" s="99">
        <f ca="1">_xlfn.XLOOKUP(Q208,APU!$B$2:$B$10000,APU!$G$2:$G$10000,,0,1)</f>
        <v>25759.317302424053</v>
      </c>
      <c r="I208" s="81">
        <f t="shared" ca="1" si="109"/>
        <v>119657.87980242405</v>
      </c>
      <c r="J208" s="80">
        <f t="shared" ca="1" si="110"/>
        <v>1398371.4000000001</v>
      </c>
      <c r="K208" s="80">
        <f t="shared" ca="1" si="111"/>
        <v>291802.72499999998</v>
      </c>
      <c r="L208" s="80">
        <f t="shared" ca="1" si="112"/>
        <v>463667.71144363296</v>
      </c>
      <c r="M208" s="82">
        <f t="shared" ca="1" si="113"/>
        <v>2153841.8364436328</v>
      </c>
      <c r="N208" s="1">
        <v>1378352</v>
      </c>
      <c r="O208" s="94" t="str">
        <f t="shared" si="114"/>
        <v>4F22F4-V</v>
      </c>
      <c r="P208" s="94" t="str">
        <f t="shared" si="115"/>
        <v>4F22F4-ae</v>
      </c>
      <c r="Q208" s="94" t="str">
        <f t="shared" si="116"/>
        <v>4F22F4-ak</v>
      </c>
    </row>
    <row r="209" spans="1:17">
      <c r="A209" s="220">
        <f ca="1">HYPERLINK("#"&amp;CELL("direccion",APU!A8802),IF(E209&gt;0,A208+1,""))</f>
        <v>200</v>
      </c>
      <c r="B209" s="96" t="s">
        <v>1524</v>
      </c>
      <c r="C209" s="83" t="s">
        <v>1525</v>
      </c>
      <c r="D209" s="74" t="s">
        <v>7</v>
      </c>
      <c r="E209" s="206">
        <v>18</v>
      </c>
      <c r="F209" s="99">
        <f ca="1">_xlfn.XLOOKUP(O209,APU!$B$2:$B$10000,APU!$G$2:$G$10000,,0,1)</f>
        <v>133370.75</v>
      </c>
      <c r="G209" s="99">
        <f ca="1">_xlfn.XLOOKUP(P209,APU!$B$2:$B$10000,APU!$G$2:$G$10000,,0,1)</f>
        <v>29043.82499999999</v>
      </c>
      <c r="H209" s="99">
        <f ca="1">_xlfn.XLOOKUP(Q209,APU!$B$2:$B$10000,APU!$G$2:$G$10000,,0,1)</f>
        <v>42797.777951375494</v>
      </c>
      <c r="I209" s="81">
        <f t="shared" ca="1" si="109"/>
        <v>205212.35295137548</v>
      </c>
      <c r="J209" s="80">
        <f t="shared" ca="1" si="110"/>
        <v>2400673.5</v>
      </c>
      <c r="K209" s="80">
        <f t="shared" ca="1" si="111"/>
        <v>522788.8499999998</v>
      </c>
      <c r="L209" s="80">
        <f t="shared" ca="1" si="112"/>
        <v>770360.00312475883</v>
      </c>
      <c r="M209" s="82">
        <f t="shared" ca="1" si="113"/>
        <v>3693822.3531247582</v>
      </c>
      <c r="N209" s="1">
        <v>8615938</v>
      </c>
      <c r="O209" s="94" t="str">
        <f t="shared" si="114"/>
        <v>4F25F4-V</v>
      </c>
      <c r="P209" s="94" t="str">
        <f t="shared" si="115"/>
        <v>4F25F4-ae</v>
      </c>
      <c r="Q209" s="94" t="str">
        <f t="shared" si="116"/>
        <v>4F25F4-ak</v>
      </c>
    </row>
    <row r="210" spans="1:17">
      <c r="A210" s="220">
        <f ca="1">HYPERLINK("#"&amp;CELL("direccion",APU!A8846),IF(E210&gt;0,A209+1,""))</f>
        <v>201</v>
      </c>
      <c r="B210" s="96" t="s">
        <v>1526</v>
      </c>
      <c r="C210" s="83" t="s">
        <v>1527</v>
      </c>
      <c r="D210" s="74" t="s">
        <v>7</v>
      </c>
      <c r="E210" s="206">
        <v>18</v>
      </c>
      <c r="F210" s="99">
        <f ca="1">_xlfn.XLOOKUP(O210,APU!$B$2:$B$10000,APU!$G$2:$G$10000,,0,1)</f>
        <v>85544.8</v>
      </c>
      <c r="G210" s="99">
        <f ca="1">_xlfn.XLOOKUP(P210,APU!$B$2:$B$10000,APU!$G$2:$G$10000,,0,1)</f>
        <v>17754.418749999997</v>
      </c>
      <c r="H210" s="99">
        <f ca="1">_xlfn.XLOOKUP(Q210,APU!$B$2:$B$10000,APU!$G$2:$G$10000,,0,1)</f>
        <v>28834.318021302435</v>
      </c>
      <c r="I210" s="81">
        <f t="shared" ca="1" si="109"/>
        <v>132133.53677130243</v>
      </c>
      <c r="J210" s="80">
        <f t="shared" ca="1" si="110"/>
        <v>1539806.4000000001</v>
      </c>
      <c r="K210" s="80">
        <f t="shared" ca="1" si="111"/>
        <v>319579.53749999998</v>
      </c>
      <c r="L210" s="80">
        <f t="shared" ca="1" si="112"/>
        <v>519017.72438344383</v>
      </c>
      <c r="M210" s="82">
        <f t="shared" ca="1" si="113"/>
        <v>2378403.6618834436</v>
      </c>
      <c r="N210" s="1">
        <v>6472339</v>
      </c>
      <c r="O210" s="94" t="str">
        <f t="shared" si="114"/>
        <v>5F22F4-V</v>
      </c>
      <c r="P210" s="94" t="str">
        <f t="shared" si="115"/>
        <v>5F22F4-ae</v>
      </c>
      <c r="Q210" s="94" t="str">
        <f t="shared" si="116"/>
        <v>5F22F4-ak</v>
      </c>
    </row>
    <row r="211" spans="1:17" ht="27">
      <c r="A211" s="220">
        <f ca="1">HYPERLINK("#"&amp;CELL("direccion",APU!A8890),IF(E211&gt;0,A210+1,""))</f>
        <v>202</v>
      </c>
      <c r="B211" s="96" t="s">
        <v>1528</v>
      </c>
      <c r="C211" s="83" t="s">
        <v>1529</v>
      </c>
      <c r="D211" s="74" t="s">
        <v>7</v>
      </c>
      <c r="E211" s="206">
        <v>1</v>
      </c>
      <c r="F211" s="99">
        <f ca="1">_xlfn.XLOOKUP(O211,APU!$B$2:$B$10000,APU!$G$2:$G$10000,,0,1)</f>
        <v>15619.35</v>
      </c>
      <c r="G211" s="99">
        <f ca="1">_xlfn.XLOOKUP(P211,APU!$B$2:$B$10000,APU!$G$2:$G$10000,,0,1)</f>
        <v>1241.0224999999998</v>
      </c>
      <c r="H211" s="99">
        <f ca="1">_xlfn.XLOOKUP(Q211,APU!$B$2:$B$10000,APU!$G$2:$G$10000,,0,1)</f>
        <v>13610.972417344785</v>
      </c>
      <c r="I211" s="81">
        <f ca="1">+(F211+G211+H211)</f>
        <v>30471.344917344788</v>
      </c>
      <c r="J211" s="80">
        <f ca="1">+E211*F211</f>
        <v>15619.35</v>
      </c>
      <c r="K211" s="80">
        <f ca="1">+G211*E211</f>
        <v>1241.0224999999998</v>
      </c>
      <c r="L211" s="80">
        <f ca="1">+H211*E211</f>
        <v>13610.972417344785</v>
      </c>
      <c r="M211" s="82">
        <f ca="1">SUM(J211:L211)</f>
        <v>30471.344917344788</v>
      </c>
      <c r="N211" s="1">
        <v>3378046</v>
      </c>
      <c r="O211" s="94" t="str">
        <f t="shared" ref="O211:O225" si="117">_xlfn.CONCAT(B211,"V")</f>
        <v>24A8694-V</v>
      </c>
      <c r="P211" s="94" t="str">
        <f t="shared" ref="P211:P225" si="118">_xlfn.CONCAT(B211,"ae")</f>
        <v>24A8694-ae</v>
      </c>
      <c r="Q211" s="94" t="str">
        <f t="shared" ref="Q211:Q225" si="119">_xlfn.CONCAT(B211,"ak")</f>
        <v>24A8694-ak</v>
      </c>
    </row>
    <row r="212" spans="1:17" ht="27">
      <c r="A212" s="220">
        <f ca="1">HYPERLINK("#"&amp;CELL("direccion",APU!A8934),IF(E212&gt;0,A211+1,""))</f>
        <v>203</v>
      </c>
      <c r="B212" s="96" t="s">
        <v>1534</v>
      </c>
      <c r="C212" s="83" t="s">
        <v>1535</v>
      </c>
      <c r="D212" s="74" t="s">
        <v>7</v>
      </c>
      <c r="E212" s="206">
        <v>1</v>
      </c>
      <c r="F212" s="99">
        <f ca="1">_xlfn.XLOOKUP(O212,APU!$B$2:$B$10000,APU!$G$2:$G$10000,,0,1)</f>
        <v>24360.95</v>
      </c>
      <c r="G212" s="99">
        <f ca="1">_xlfn.XLOOKUP(P212,APU!$B$2:$B$10000,APU!$G$2:$G$10000,,0,1)</f>
        <v>1241.0224999999998</v>
      </c>
      <c r="H212" s="99">
        <f ca="1">_xlfn.XLOOKUP(Q212,APU!$B$2:$B$10000,APU!$G$2:$G$10000,,0,1)</f>
        <v>13610.972417344785</v>
      </c>
      <c r="I212" s="81">
        <f ca="1">+(F212+G212+H212)</f>
        <v>39212.944917344787</v>
      </c>
      <c r="J212" s="80">
        <f ca="1">+E212*F212</f>
        <v>24360.95</v>
      </c>
      <c r="K212" s="80">
        <f ca="1">+G212*E212</f>
        <v>1241.0224999999998</v>
      </c>
      <c r="L212" s="80">
        <f ca="1">+H212*E212</f>
        <v>13610.972417344785</v>
      </c>
      <c r="M212" s="82">
        <f ca="1">SUM(J212:L212)</f>
        <v>39212.944917344787</v>
      </c>
      <c r="N212" s="1">
        <v>9551020</v>
      </c>
      <c r="O212" s="94" t="str">
        <f t="shared" si="117"/>
        <v>24A8695-V</v>
      </c>
      <c r="P212" s="94" t="str">
        <f t="shared" si="118"/>
        <v>24A8695-ae</v>
      </c>
      <c r="Q212" s="94" t="str">
        <f t="shared" si="119"/>
        <v>24A8695-ak</v>
      </c>
    </row>
    <row r="213" spans="1:17" ht="27">
      <c r="A213" s="220">
        <f ca="1">HYPERLINK("#"&amp;CELL("direccion",APU!A8978),IF(E213&gt;0,A212+1,""))</f>
        <v>204</v>
      </c>
      <c r="B213" s="96" t="s">
        <v>1541</v>
      </c>
      <c r="C213" s="83" t="s">
        <v>1543</v>
      </c>
      <c r="D213" s="74" t="s">
        <v>9</v>
      </c>
      <c r="E213" s="206">
        <v>1</v>
      </c>
      <c r="F213" s="99">
        <f ca="1">_xlfn.XLOOKUP(O213,APU!$B$2:$B$10000,APU!$G$2:$G$10000,,0,1)</f>
        <v>301306.75</v>
      </c>
      <c r="G213" s="99">
        <f ca="1">_xlfn.XLOOKUP(P213,APU!$B$2:$B$10000,APU!$G$2:$G$10000,,0,1)</f>
        <v>2838.8492799999995</v>
      </c>
      <c r="H213" s="99">
        <f ca="1">_xlfn.XLOOKUP(Q213,APU!$B$2:$B$10000,APU!$G$2:$G$10000,,0,1)</f>
        <v>377058.76497165853</v>
      </c>
      <c r="I213" s="81">
        <f ca="1">+(F213+G213+H213)</f>
        <v>681204.36425165855</v>
      </c>
      <c r="J213" s="80">
        <f ca="1">+E213*F213</f>
        <v>301306.75</v>
      </c>
      <c r="K213" s="80">
        <f ca="1">+G213*E213</f>
        <v>2838.8492799999995</v>
      </c>
      <c r="L213" s="80">
        <f ca="1">+H213*E213</f>
        <v>377058.76497165853</v>
      </c>
      <c r="M213" s="82">
        <f ca="1">SUM(J213:L213)</f>
        <v>681204.36425165855</v>
      </c>
      <c r="N213" s="1">
        <v>1547109</v>
      </c>
      <c r="O213" s="94" t="str">
        <f t="shared" si="117"/>
        <v>227B31E3-V</v>
      </c>
      <c r="P213" s="94" t="str">
        <f t="shared" si="118"/>
        <v>227B31E3-ae</v>
      </c>
      <c r="Q213" s="94" t="str">
        <f t="shared" si="119"/>
        <v>227B31E3-ak</v>
      </c>
    </row>
    <row r="214" spans="1:17" ht="27">
      <c r="A214" s="220">
        <f ca="1">HYPERLINK("#"&amp;CELL("direccion",APU!A9022),IF(E214&gt;0,A213+1,""))</f>
        <v>205</v>
      </c>
      <c r="B214" s="96" t="s">
        <v>1542</v>
      </c>
      <c r="C214" s="83" t="s">
        <v>1540</v>
      </c>
      <c r="D214" s="74" t="s">
        <v>9</v>
      </c>
      <c r="E214" s="206">
        <v>1</v>
      </c>
      <c r="F214" s="99">
        <f ca="1">_xlfn.XLOOKUP(O214,APU!$B$2:$B$10000,APU!$G$2:$G$10000,,0,1)</f>
        <v>2394682.5</v>
      </c>
      <c r="G214" s="99">
        <f ca="1">_xlfn.XLOOKUP(P214,APU!$B$2:$B$10000,APU!$G$2:$G$10000,,0,1)</f>
        <v>21871.737599999997</v>
      </c>
      <c r="H214" s="99">
        <f ca="1">_xlfn.XLOOKUP(Q214,APU!$B$2:$B$10000,APU!$G$2:$G$10000,,0,1)</f>
        <v>2056684.1725726826</v>
      </c>
      <c r="I214" s="81">
        <f ca="1">+(F214+G214+H214)</f>
        <v>4473238.4101726823</v>
      </c>
      <c r="J214" s="80">
        <f ca="1">+E214*F214</f>
        <v>2394682.5</v>
      </c>
      <c r="K214" s="80">
        <f ca="1">+G214*E214</f>
        <v>21871.737599999997</v>
      </c>
      <c r="L214" s="80">
        <f ca="1">+H214*E214</f>
        <v>2056684.1725726826</v>
      </c>
      <c r="M214" s="82">
        <f ca="1">SUM(J214:L214)</f>
        <v>4473238.4101726823</v>
      </c>
      <c r="N214" s="1">
        <v>2319607</v>
      </c>
      <c r="O214" s="94" t="str">
        <f t="shared" si="117"/>
        <v>23D159F6-V</v>
      </c>
      <c r="P214" s="94" t="str">
        <f t="shared" si="118"/>
        <v>23D159F6-ae</v>
      </c>
      <c r="Q214" s="94" t="str">
        <f t="shared" si="119"/>
        <v>23D159F6-ak</v>
      </c>
    </row>
    <row r="215" spans="1:17" ht="27">
      <c r="A215" s="220">
        <f ca="1">HYPERLINK("#"&amp;CELL("direccion",APU!A9066),IF(E215&gt;0,A214+1,""))</f>
        <v>206</v>
      </c>
      <c r="B215" s="96" t="s">
        <v>1547</v>
      </c>
      <c r="C215" s="83" t="s">
        <v>1546</v>
      </c>
      <c r="D215" s="74" t="s">
        <v>7</v>
      </c>
      <c r="E215" s="206">
        <v>5</v>
      </c>
      <c r="F215" s="99">
        <f ca="1">_xlfn.XLOOKUP(O215,APU!$B$2:$B$10000,APU!$G$2:$G$10000,,0,1)</f>
        <v>178438.25</v>
      </c>
      <c r="G215" s="99">
        <f ca="1">_xlfn.XLOOKUP(P215,APU!$B$2:$B$10000,APU!$G$2:$G$10000,,0,1)</f>
        <v>38822.5625</v>
      </c>
      <c r="H215" s="99">
        <f ca="1">_xlfn.XLOOKUP(Q215,APU!$B$2:$B$10000,APU!$G$2:$G$10000,,0,1)</f>
        <v>57668.63604260487</v>
      </c>
      <c r="I215" s="81">
        <f ca="1">+(F215+G215+H215)</f>
        <v>274929.44854260486</v>
      </c>
      <c r="J215" s="80">
        <f ca="1">+E215*F215</f>
        <v>892191.25</v>
      </c>
      <c r="K215" s="80">
        <f ca="1">+G215*E215</f>
        <v>194112.8125</v>
      </c>
      <c r="L215" s="80">
        <f ca="1">+H215*E215</f>
        <v>288343.18021302437</v>
      </c>
      <c r="M215" s="82">
        <f ca="1">SUM(J215:L215)</f>
        <v>1374647.2427130244</v>
      </c>
      <c r="N215" s="1">
        <v>4493128</v>
      </c>
      <c r="O215" s="94" t="str">
        <f t="shared" si="117"/>
        <v>23DAC4F6-V</v>
      </c>
      <c r="P215" s="94" t="str">
        <f t="shared" si="118"/>
        <v>23DAC4F6-ae</v>
      </c>
      <c r="Q215" s="94" t="str">
        <f t="shared" si="119"/>
        <v>23DAC4F6-ak</v>
      </c>
    </row>
    <row r="216" spans="1:17">
      <c r="A216" s="220">
        <f ca="1">HYPERLINK("#"&amp;CELL("direccion",APU!A9110),IF(E216&gt;0,A215+1,""))</f>
        <v>207</v>
      </c>
      <c r="B216" s="96" t="s">
        <v>1551</v>
      </c>
      <c r="C216" s="83" t="s">
        <v>1550</v>
      </c>
      <c r="D216" s="74" t="s">
        <v>7</v>
      </c>
      <c r="E216" s="206">
        <v>18</v>
      </c>
      <c r="F216" s="99">
        <f ca="1">_xlfn.XLOOKUP(O216,APU!$B$2:$B$10000,APU!$G$2:$G$10000,,0,1)</f>
        <v>443937.45</v>
      </c>
      <c r="G216" s="99">
        <f ca="1">_xlfn.XLOOKUP(P216,APU!$B$2:$B$10000,APU!$G$2:$G$10000,,0,1)</f>
        <v>7894.4624999999978</v>
      </c>
      <c r="H216" s="99">
        <f ca="1">_xlfn.XLOOKUP(Q216,APU!$B$2:$B$10000,APU!$G$2:$G$10000,,0,1)</f>
        <v>254071.48512376929</v>
      </c>
      <c r="I216" s="81">
        <f t="shared" ref="I216" ca="1" si="120">+(F216+G216+H216)</f>
        <v>705903.39762376936</v>
      </c>
      <c r="J216" s="80">
        <f t="shared" ref="J216" ca="1" si="121">+E216*F216</f>
        <v>7990874.1000000006</v>
      </c>
      <c r="K216" s="80">
        <f t="shared" ref="K216" ca="1" si="122">+G216*E216</f>
        <v>142100.32499999995</v>
      </c>
      <c r="L216" s="80">
        <f t="shared" ref="L216" ca="1" si="123">+H216*E216</f>
        <v>4573286.732227847</v>
      </c>
      <c r="M216" s="82">
        <f t="shared" ref="M216" ca="1" si="124">SUM(J216:L216)</f>
        <v>12706261.157227848</v>
      </c>
      <c r="N216" s="1">
        <v>2969287</v>
      </c>
      <c r="O216" s="94" t="str">
        <f t="shared" si="117"/>
        <v>653FA5B-V</v>
      </c>
      <c r="P216" s="94" t="str">
        <f t="shared" si="118"/>
        <v>653FA5B-ae</v>
      </c>
      <c r="Q216" s="94" t="str">
        <f t="shared" si="119"/>
        <v>653FA5B-ak</v>
      </c>
    </row>
    <row r="217" spans="1:17">
      <c r="A217" s="220">
        <f ca="1">HYPERLINK("#"&amp;CELL("direccion",APU!A9154),IF(E217&gt;0,A216+1,""))</f>
        <v>208</v>
      </c>
      <c r="B217" s="96" t="s">
        <v>1553</v>
      </c>
      <c r="C217" s="83" t="s">
        <v>1552</v>
      </c>
      <c r="D217" s="74" t="s">
        <v>7</v>
      </c>
      <c r="E217" s="206">
        <v>5</v>
      </c>
      <c r="F217" s="99">
        <f ca="1">_xlfn.XLOOKUP(O217,APU!$B$2:$B$10000,APU!$G$2:$G$10000,,0,1)</f>
        <v>154590.70000000001</v>
      </c>
      <c r="G217" s="99">
        <f ca="1">_xlfn.XLOOKUP(P217,APU!$B$2:$B$10000,APU!$G$2:$G$10000,,0,1)</f>
        <v>2789.0518749999997</v>
      </c>
      <c r="H217" s="99">
        <f ca="1">_xlfn.XLOOKUP(Q217,APU!$B$2:$B$10000,APU!$G$2:$G$10000,,0,1)</f>
        <v>83480.630826381355</v>
      </c>
      <c r="I217" s="81">
        <f t="shared" ref="I217" ca="1" si="125">+(F217+G217+H217)</f>
        <v>240860.38270138137</v>
      </c>
      <c r="J217" s="80">
        <f t="shared" ref="J217" ca="1" si="126">+E217*F217</f>
        <v>772953.5</v>
      </c>
      <c r="K217" s="80">
        <f t="shared" ref="K217" ca="1" si="127">+G217*E217</f>
        <v>13945.259374999998</v>
      </c>
      <c r="L217" s="80">
        <f t="shared" ref="L217" ca="1" si="128">+H217*E217</f>
        <v>417403.15413190681</v>
      </c>
      <c r="M217" s="82">
        <f t="shared" ref="M217" ca="1" si="129">SUM(J217:L217)</f>
        <v>1204301.9135069069</v>
      </c>
      <c r="N217" s="1">
        <v>8110419</v>
      </c>
      <c r="O217" s="94" t="str">
        <f t="shared" si="117"/>
        <v>170C2A7F-V</v>
      </c>
      <c r="P217" s="94" t="str">
        <f t="shared" si="118"/>
        <v>170C2A7F-ae</v>
      </c>
      <c r="Q217" s="94" t="str">
        <f t="shared" si="119"/>
        <v>170C2A7F-ak</v>
      </c>
    </row>
    <row r="218" spans="1:17">
      <c r="A218" s="220">
        <f ca="1">HYPERLINK("#"&amp;CELL("direccion",APU!A9198),IF(E218&gt;0,A217+1,""))</f>
        <v>209</v>
      </c>
      <c r="B218" s="96" t="s">
        <v>1555</v>
      </c>
      <c r="C218" s="83" t="s">
        <v>1554</v>
      </c>
      <c r="D218" s="74" t="s">
        <v>7</v>
      </c>
      <c r="E218" s="206">
        <v>5</v>
      </c>
      <c r="F218" s="99">
        <f ca="1">_xlfn.XLOOKUP(O218,APU!$B$2:$B$10000,APU!$G$2:$G$10000,,0,1)</f>
        <v>171821.87</v>
      </c>
      <c r="G218" s="99">
        <f ca="1">_xlfn.XLOOKUP(P218,APU!$B$2:$B$10000,APU!$G$2:$G$10000,,0,1)</f>
        <v>2789.0518749999997</v>
      </c>
      <c r="H218" s="99">
        <f ca="1">_xlfn.XLOOKUP(Q218,APU!$B$2:$B$10000,APU!$G$2:$G$10000,,0,1)</f>
        <v>95276.806921413488</v>
      </c>
      <c r="I218" s="81">
        <f t="shared" ref="I218" ca="1" si="130">+(F218+G218+H218)</f>
        <v>269887.72879641352</v>
      </c>
      <c r="J218" s="80">
        <f t="shared" ref="J218" ca="1" si="131">+E218*F218</f>
        <v>859109.35</v>
      </c>
      <c r="K218" s="80">
        <f t="shared" ref="K218" ca="1" si="132">+G218*E218</f>
        <v>13945.259374999998</v>
      </c>
      <c r="L218" s="80">
        <f t="shared" ref="L218" ca="1" si="133">+H218*E218</f>
        <v>476384.03460706747</v>
      </c>
      <c r="M218" s="82">
        <f t="shared" ref="M218" ca="1" si="134">SUM(J218:L218)</f>
        <v>1349438.6439820675</v>
      </c>
      <c r="N218" s="1">
        <v>9497167</v>
      </c>
      <c r="O218" s="94" t="str">
        <f t="shared" si="117"/>
        <v>9946AD-V</v>
      </c>
      <c r="P218" s="94" t="str">
        <f t="shared" si="118"/>
        <v>9946AD-ae</v>
      </c>
      <c r="Q218" s="94" t="str">
        <f t="shared" si="119"/>
        <v>9946AD-ak</v>
      </c>
    </row>
    <row r="219" spans="1:17">
      <c r="A219" s="220">
        <f ca="1">HYPERLINK("#"&amp;CELL("direccion",APU!A9242),IF(E219&gt;0,A218+1,""))</f>
        <v>210</v>
      </c>
      <c r="B219" s="96" t="s">
        <v>1557</v>
      </c>
      <c r="C219" s="83" t="s">
        <v>1556</v>
      </c>
      <c r="D219" s="74" t="s">
        <v>7</v>
      </c>
      <c r="E219" s="206">
        <v>5</v>
      </c>
      <c r="F219" s="99">
        <f ca="1">_xlfn.XLOOKUP(O219,APU!$B$2:$B$10000,APU!$G$2:$G$10000,,0,1)</f>
        <v>43773</v>
      </c>
      <c r="G219" s="99">
        <f ca="1">_xlfn.XLOOKUP(P219,APU!$B$2:$B$10000,APU!$G$2:$G$10000,,0,1)</f>
        <v>2730.5743749999997</v>
      </c>
      <c r="H219" s="99">
        <f ca="1">_xlfn.XLOOKUP(Q219,APU!$B$2:$B$10000,APU!$G$2:$G$10000,,0,1)</f>
        <v>31758.935640471162</v>
      </c>
      <c r="I219" s="81">
        <f t="shared" ref="I219" ca="1" si="135">+(F219+G219+H219)</f>
        <v>78262.510015471154</v>
      </c>
      <c r="J219" s="80">
        <f t="shared" ref="J219" ca="1" si="136">+E219*F219</f>
        <v>218865</v>
      </c>
      <c r="K219" s="80">
        <f t="shared" ref="K219" ca="1" si="137">+G219*E219</f>
        <v>13652.871874999999</v>
      </c>
      <c r="L219" s="80">
        <f t="shared" ref="L219" ca="1" si="138">+H219*E219</f>
        <v>158794.6782023558</v>
      </c>
      <c r="M219" s="82">
        <f t="shared" ref="M219" ca="1" si="139">SUM(J219:L219)</f>
        <v>391312.55007735582</v>
      </c>
      <c r="N219" s="1">
        <v>2332230</v>
      </c>
      <c r="O219" s="94" t="str">
        <f t="shared" si="117"/>
        <v>15FE5936-V</v>
      </c>
      <c r="P219" s="94" t="str">
        <f t="shared" si="118"/>
        <v>15FE5936-ae</v>
      </c>
      <c r="Q219" s="94" t="str">
        <f t="shared" si="119"/>
        <v>15FE5936-ak</v>
      </c>
    </row>
    <row r="220" spans="1:17">
      <c r="A220" s="220">
        <f ca="1">HYPERLINK("#"&amp;CELL("direccion",APU!A9286),IF(E220&gt;0,A219+1,""))</f>
        <v>211</v>
      </c>
      <c r="B220" s="96" t="s">
        <v>1559</v>
      </c>
      <c r="C220" s="83" t="s">
        <v>1558</v>
      </c>
      <c r="D220" s="74" t="s">
        <v>7</v>
      </c>
      <c r="E220" s="206">
        <v>5</v>
      </c>
      <c r="F220" s="99">
        <f ca="1">_xlfn.XLOOKUP(O220,APU!$B$2:$B$10000,APU!$G$2:$G$10000,,0,1)</f>
        <v>65941.049999999988</v>
      </c>
      <c r="G220" s="99">
        <f ca="1">_xlfn.XLOOKUP(P220,APU!$B$2:$B$10000,APU!$G$2:$G$10000,,0,1)</f>
        <v>2730.5743749999997</v>
      </c>
      <c r="H220" s="99">
        <f ca="1">_xlfn.XLOOKUP(Q220,APU!$B$2:$B$10000,APU!$G$2:$G$10000,,0,1)</f>
        <v>83480.630826381355</v>
      </c>
      <c r="I220" s="81">
        <f t="shared" ref="I220" ca="1" si="140">+(F220+G220+H220)</f>
        <v>152152.25520138134</v>
      </c>
      <c r="J220" s="80">
        <f t="shared" ref="J220" ca="1" si="141">+E220*F220</f>
        <v>329705.24999999994</v>
      </c>
      <c r="K220" s="80">
        <f t="shared" ref="K220" ca="1" si="142">+G220*E220</f>
        <v>13652.871874999999</v>
      </c>
      <c r="L220" s="80">
        <f t="shared" ref="L220" ca="1" si="143">+H220*E220</f>
        <v>417403.15413190681</v>
      </c>
      <c r="M220" s="82">
        <f t="shared" ref="M220" ca="1" si="144">SUM(J220:L220)</f>
        <v>760761.27600690676</v>
      </c>
      <c r="N220" s="1">
        <v>5770205</v>
      </c>
      <c r="O220" s="94" t="str">
        <f t="shared" si="117"/>
        <v>39F6E3D7-V</v>
      </c>
      <c r="P220" s="94" t="str">
        <f t="shared" si="118"/>
        <v>39F6E3D7-ae</v>
      </c>
      <c r="Q220" s="94" t="str">
        <f t="shared" si="119"/>
        <v>39F6E3D7-ak</v>
      </c>
    </row>
    <row r="221" spans="1:17">
      <c r="A221" s="220">
        <f ca="1">HYPERLINK("#"&amp;CELL("direccion",APU!A9330),IF(E221&gt;0,A220+1,""))</f>
        <v>212</v>
      </c>
      <c r="B221" s="96" t="s">
        <v>1560</v>
      </c>
      <c r="C221" s="83" t="s">
        <v>1561</v>
      </c>
      <c r="D221" s="74" t="s">
        <v>7</v>
      </c>
      <c r="E221" s="206">
        <v>5</v>
      </c>
      <c r="F221" s="99">
        <f ca="1">_xlfn.XLOOKUP(O221,APU!$B$2:$B$10000,APU!$G$2:$G$10000,,0,1)</f>
        <v>15541.6</v>
      </c>
      <c r="G221" s="99">
        <f ca="1">_xlfn.XLOOKUP(P221,APU!$B$2:$B$10000,APU!$G$2:$G$10000,,0,1)</f>
        <v>5581.3525</v>
      </c>
      <c r="H221" s="99">
        <f ca="1">_xlfn.XLOOKUP(Q221,APU!$B$2:$B$10000,APU!$G$2:$G$10000,,0,1)</f>
        <v>10888.777933875826</v>
      </c>
      <c r="I221" s="81">
        <f t="shared" ref="I221" ca="1" si="145">+(F221+G221+H221)</f>
        <v>32011.730433875826</v>
      </c>
      <c r="J221" s="80">
        <f t="shared" ref="J221" ca="1" si="146">+E221*F221</f>
        <v>77708</v>
      </c>
      <c r="K221" s="80">
        <f t="shared" ref="K221" ca="1" si="147">+G221*E221</f>
        <v>27906.762500000001</v>
      </c>
      <c r="L221" s="80">
        <f t="shared" ref="L221" ca="1" si="148">+H221*E221</f>
        <v>54443.889669379132</v>
      </c>
      <c r="M221" s="82">
        <f t="shared" ref="M221" ca="1" si="149">SUM(J221:L221)</f>
        <v>160058.65216937911</v>
      </c>
      <c r="N221" s="1">
        <v>5880256</v>
      </c>
      <c r="O221" s="94" t="str">
        <f t="shared" si="117"/>
        <v>29F6E3D7-V</v>
      </c>
      <c r="P221" s="94" t="str">
        <f t="shared" si="118"/>
        <v>29F6E3D7-ae</v>
      </c>
      <c r="Q221" s="94" t="str">
        <f t="shared" si="119"/>
        <v>29F6E3D7-ak</v>
      </c>
    </row>
    <row r="222" spans="1:17">
      <c r="A222" s="220">
        <f ca="1">HYPERLINK("#"&amp;CELL("direccion",APU!A9374),IF(E222&gt;0,A221+1,""))</f>
        <v>213</v>
      </c>
      <c r="B222" s="96" t="s">
        <v>1565</v>
      </c>
      <c r="C222" s="83" t="s">
        <v>1564</v>
      </c>
      <c r="D222" s="74" t="s">
        <v>7</v>
      </c>
      <c r="E222" s="206">
        <v>5</v>
      </c>
      <c r="F222" s="99">
        <f ca="1">_xlfn.XLOOKUP(O222,APU!$B$2:$B$10000,APU!$G$2:$G$10000,,0,1)</f>
        <v>39832.5</v>
      </c>
      <c r="G222" s="99">
        <f ca="1">_xlfn.XLOOKUP(P222,APU!$B$2:$B$10000,APU!$G$2:$G$10000,,0,1)</f>
        <v>1296.9009999999998</v>
      </c>
      <c r="H222" s="99">
        <f ca="1">_xlfn.XLOOKUP(Q222,APU!$B$2:$B$10000,APU!$G$2:$G$10000,,0,1)</f>
        <v>14114.799197826162</v>
      </c>
      <c r="I222" s="81">
        <f t="shared" ref="I222" ca="1" si="150">+(F222+G222+H222)</f>
        <v>55244.200197826161</v>
      </c>
      <c r="J222" s="80">
        <f t="shared" ref="J222" ca="1" si="151">+E222*F222</f>
        <v>199162.5</v>
      </c>
      <c r="K222" s="80">
        <f t="shared" ref="K222" ca="1" si="152">+G222*E222</f>
        <v>6484.5049999999992</v>
      </c>
      <c r="L222" s="80">
        <f t="shared" ref="L222" ca="1" si="153">+H222*E222</f>
        <v>70573.99598913081</v>
      </c>
      <c r="M222" s="82">
        <f t="shared" ref="M222" ca="1" si="154">SUM(J222:L222)</f>
        <v>276221.00098913081</v>
      </c>
      <c r="N222" s="1">
        <v>9857352</v>
      </c>
      <c r="O222" s="94" t="str">
        <f t="shared" si="117"/>
        <v>8B3A1BA-V</v>
      </c>
      <c r="P222" s="94" t="str">
        <f t="shared" si="118"/>
        <v>8B3A1BA-ae</v>
      </c>
      <c r="Q222" s="94" t="str">
        <f t="shared" si="119"/>
        <v>8B3A1BA-ak</v>
      </c>
    </row>
    <row r="223" spans="1:17">
      <c r="A223" s="220">
        <f ca="1">HYPERLINK("#"&amp;CELL("direccion",APU!A9418),IF(E223&gt;0,A222+1,""))</f>
        <v>214</v>
      </c>
      <c r="B223" s="96" t="s">
        <v>1567</v>
      </c>
      <c r="C223" s="83" t="s">
        <v>1566</v>
      </c>
      <c r="D223" s="74" t="s">
        <v>9</v>
      </c>
      <c r="E223" s="206">
        <v>3</v>
      </c>
      <c r="F223" s="99">
        <f ca="1">_xlfn.XLOOKUP(O223,APU!$B$2:$B$10000,APU!$G$2:$G$10000,,0,1)</f>
        <v>173817.00000000003</v>
      </c>
      <c r="G223" s="99">
        <f ca="1">_xlfn.XLOOKUP(P223,APU!$B$2:$B$10000,APU!$G$2:$G$10000,,0,1)</f>
        <v>2066.0920000000001</v>
      </c>
      <c r="H223" s="99">
        <f ca="1">_xlfn.XLOOKUP(Q223,APU!$B$2:$B$10000,APU!$G$2:$G$10000,,0,1)</f>
        <v>90739.816115631897</v>
      </c>
      <c r="I223" s="81">
        <f t="shared" ref="I223" ca="1" si="155">+(F223+G223+H223)</f>
        <v>266622.9081156319</v>
      </c>
      <c r="J223" s="80">
        <f t="shared" ref="J223" ca="1" si="156">+E223*F223</f>
        <v>521451.00000000012</v>
      </c>
      <c r="K223" s="80">
        <f t="shared" ref="K223" ca="1" si="157">+G223*E223</f>
        <v>6198.2759999999998</v>
      </c>
      <c r="L223" s="80">
        <f t="shared" ref="L223" ca="1" si="158">+H223*E223</f>
        <v>272219.44834689569</v>
      </c>
      <c r="M223" s="82">
        <f t="shared" ref="M223" ca="1" si="159">SUM(J223:L223)</f>
        <v>799868.7243468957</v>
      </c>
      <c r="N223" s="1">
        <v>5727657</v>
      </c>
      <c r="O223" s="94" t="str">
        <f t="shared" si="117"/>
        <v>2668838B-V</v>
      </c>
      <c r="P223" s="94" t="str">
        <f t="shared" si="118"/>
        <v>2668838B-ae</v>
      </c>
      <c r="Q223" s="94" t="str">
        <f t="shared" si="119"/>
        <v>2668838B-ak</v>
      </c>
    </row>
    <row r="224" spans="1:17">
      <c r="A224" s="220">
        <f ca="1">HYPERLINK("#"&amp;CELL("direccion",APU!A9462),IF(E224&gt;0,A223+1,""))</f>
        <v>215</v>
      </c>
      <c r="B224" s="96" t="s">
        <v>1569</v>
      </c>
      <c r="C224" s="83" t="s">
        <v>1568</v>
      </c>
      <c r="D224" s="74" t="s">
        <v>7</v>
      </c>
      <c r="E224" s="206">
        <v>20</v>
      </c>
      <c r="F224" s="99">
        <f ca="1">_xlfn.XLOOKUP(O224,APU!$B$2:$B$10000,APU!$G$2:$G$10000,,0,1)</f>
        <v>221586.75</v>
      </c>
      <c r="G224" s="99">
        <f ca="1">_xlfn.XLOOKUP(P224,APU!$B$2:$B$10000,APU!$G$2:$G$10000,,0,1)</f>
        <v>3224.3561249999993</v>
      </c>
      <c r="H224" s="99">
        <f ca="1">_xlfn.XLOOKUP(Q224,APU!$B$2:$B$10000,APU!$G$2:$G$10000,,0,1)</f>
        <v>72591.852892505514</v>
      </c>
      <c r="I224" s="81">
        <f t="shared" ref="I224" ca="1" si="160">+(F224+G224+H224)</f>
        <v>297402.95901750552</v>
      </c>
      <c r="J224" s="80">
        <f t="shared" ref="J224" ca="1" si="161">+E224*F224</f>
        <v>4431735</v>
      </c>
      <c r="K224" s="80">
        <f t="shared" ref="K224" ca="1" si="162">+G224*E224</f>
        <v>64487.122499999983</v>
      </c>
      <c r="L224" s="80">
        <f t="shared" ref="L224" ca="1" si="163">+H224*E224</f>
        <v>1451837.0578501103</v>
      </c>
      <c r="M224" s="82">
        <f t="shared" ref="M224" ca="1" si="164">SUM(J224:L224)</f>
        <v>5948059.1803501099</v>
      </c>
      <c r="N224" s="1">
        <v>1839774</v>
      </c>
      <c r="O224" s="94" t="str">
        <f t="shared" si="117"/>
        <v>E5B17E7-V</v>
      </c>
      <c r="P224" s="94" t="str">
        <f t="shared" si="118"/>
        <v>E5B17E7-ae</v>
      </c>
      <c r="Q224" s="94" t="str">
        <f t="shared" si="119"/>
        <v>E5B17E7-ak</v>
      </c>
    </row>
    <row r="225" spans="1:17" ht="40.5">
      <c r="A225" s="220">
        <f ca="1">HYPERLINK("#"&amp;CELL("direccion",APU!A9506),IF(E225&gt;0,A224+1,""))</f>
        <v>216</v>
      </c>
      <c r="B225" s="96" t="s">
        <v>1571</v>
      </c>
      <c r="C225" s="83" t="s">
        <v>1570</v>
      </c>
      <c r="D225" s="74" t="s">
        <v>162</v>
      </c>
      <c r="E225" s="206">
        <v>1</v>
      </c>
      <c r="F225" s="99">
        <f ca="1">_xlfn.XLOOKUP(O225,APU!$B$2:$B$10000,APU!$G$2:$G$10000,,0,1)</f>
        <v>3859054</v>
      </c>
      <c r="G225" s="99">
        <f ca="1">_xlfn.XLOOKUP(P225,APU!$B$2:$B$10000,APU!$G$2:$G$10000,,0,1)</f>
        <v>110132.62499999997</v>
      </c>
      <c r="H225" s="99">
        <f ca="1">_xlfn.XLOOKUP(Q225,APU!$B$2:$B$10000,APU!$G$2:$G$10000,,0,1)</f>
        <v>1270357.4256188464</v>
      </c>
      <c r="I225" s="81">
        <f t="shared" ref="I225" ca="1" si="165">+(F225+G225+H225)</f>
        <v>5239544.050618846</v>
      </c>
      <c r="J225" s="80">
        <f t="shared" ref="J225" ca="1" si="166">+E225*F225</f>
        <v>3859054</v>
      </c>
      <c r="K225" s="80">
        <f t="shared" ref="K225" ca="1" si="167">+G225*E225</f>
        <v>110132.62499999997</v>
      </c>
      <c r="L225" s="80">
        <f t="shared" ref="L225" ca="1" si="168">+H225*E225</f>
        <v>1270357.4256188464</v>
      </c>
      <c r="M225" s="82">
        <f t="shared" ref="M225" ca="1" si="169">SUM(J225:L225)</f>
        <v>5239544.050618846</v>
      </c>
      <c r="N225" s="1">
        <v>2484692</v>
      </c>
      <c r="O225" s="94" t="str">
        <f t="shared" si="117"/>
        <v>31FECDAD-V</v>
      </c>
      <c r="P225" s="94" t="str">
        <f t="shared" si="118"/>
        <v>31FECDAD-ae</v>
      </c>
      <c r="Q225" s="94" t="str">
        <f t="shared" si="119"/>
        <v>31FECDAD-ak</v>
      </c>
    </row>
    <row r="226" spans="1:17">
      <c r="A226" s="220">
        <f ca="1">HYPERLINK("#"&amp;CELL("direccion",APU!A9550),IF(E226&gt;0,A225+1,""))</f>
        <v>217</v>
      </c>
      <c r="B226" s="96" t="s">
        <v>1581</v>
      </c>
      <c r="C226" s="83" t="s">
        <v>1580</v>
      </c>
      <c r="D226" s="74" t="s">
        <v>9</v>
      </c>
      <c r="E226" s="206">
        <v>2</v>
      </c>
      <c r="F226" s="99">
        <f ca="1">_xlfn.XLOOKUP(O226,APU!$B$2:$B$10000,APU!$G$2:$G$10000,,0,1)</f>
        <v>256130.00000000003</v>
      </c>
      <c r="G226" s="99">
        <f ca="1">_xlfn.XLOOKUP(P226,APU!$B$2:$B$10000,APU!$G$2:$G$10000,,0,1)</f>
        <v>104609.74999999999</v>
      </c>
      <c r="H226" s="99">
        <f ca="1">_xlfn.XLOOKUP(Q226,APU!$B$2:$B$10000,APU!$G$2:$G$10000,,0,1)</f>
        <v>272219.44834689569</v>
      </c>
      <c r="I226" s="81">
        <f t="shared" ref="I226" ca="1" si="170">+(F226+G226+H226)</f>
        <v>632959.19834689563</v>
      </c>
      <c r="J226" s="80">
        <f t="shared" ref="J226" ca="1" si="171">+E226*F226</f>
        <v>512260.00000000006</v>
      </c>
      <c r="K226" s="80">
        <f t="shared" ref="K226" ca="1" si="172">+G226*E226</f>
        <v>209219.49999999997</v>
      </c>
      <c r="L226" s="80">
        <f t="shared" ref="L226" ca="1" si="173">+H226*E226</f>
        <v>544438.89669379138</v>
      </c>
      <c r="M226" s="82">
        <f t="shared" ref="M226" ca="1" si="174">SUM(J226:L226)</f>
        <v>1265918.3966937913</v>
      </c>
      <c r="N226" s="1">
        <v>2901780</v>
      </c>
      <c r="O226" s="94" t="str">
        <f t="shared" ref="O226:O231" si="175">_xlfn.CONCAT(B226,"V")</f>
        <v>189EAF31-V</v>
      </c>
      <c r="P226" s="94" t="str">
        <f t="shared" ref="P226:P231" si="176">_xlfn.CONCAT(B226,"ae")</f>
        <v>189EAF31-ae</v>
      </c>
      <c r="Q226" s="94" t="str">
        <f t="shared" ref="Q226:Q231" si="177">_xlfn.CONCAT(B226,"ak")</f>
        <v>189EAF31-ak</v>
      </c>
    </row>
    <row r="227" spans="1:17">
      <c r="A227" s="220">
        <f ca="1">HYPERLINK("#"&amp;CELL("direccion",APU!A9594),IF(E227&gt;0,A226+1,""))</f>
        <v>218</v>
      </c>
      <c r="B227" s="96" t="s">
        <v>1589</v>
      </c>
      <c r="C227" s="83" t="s">
        <v>1586</v>
      </c>
      <c r="D227" s="74" t="s">
        <v>9</v>
      </c>
      <c r="E227" s="206">
        <v>3</v>
      </c>
      <c r="F227" s="99">
        <f ca="1">_xlfn.XLOOKUP(O227,APU!$B$2:$B$10000,APU!$G$2:$G$10000,,0,1)</f>
        <v>420300</v>
      </c>
      <c r="G227" s="99">
        <f ca="1">_xlfn.XLOOKUP(P227,APU!$B$2:$B$10000,APU!$G$2:$G$10000,,0,1)</f>
        <v>33137.249999999993</v>
      </c>
      <c r="H227" s="99">
        <f ca="1">_xlfn.XLOOKUP(Q227,APU!$B$2:$B$10000,APU!$G$2:$G$10000,,0,1)</f>
        <v>108887.77933875828</v>
      </c>
      <c r="I227" s="81">
        <f t="shared" ref="I227" ca="1" si="178">+(F227+G227+H227)</f>
        <v>562325.02933875832</v>
      </c>
      <c r="J227" s="80">
        <f t="shared" ref="J227" ca="1" si="179">+E227*F227</f>
        <v>1260900</v>
      </c>
      <c r="K227" s="80">
        <f t="shared" ref="K227" ca="1" si="180">+G227*E227</f>
        <v>99411.749999999971</v>
      </c>
      <c r="L227" s="80">
        <f t="shared" ref="L227" ca="1" si="181">+H227*E227</f>
        <v>326663.33801627485</v>
      </c>
      <c r="M227" s="82">
        <f t="shared" ref="M227" ca="1" si="182">SUM(J227:L227)</f>
        <v>1686975.0880162749</v>
      </c>
      <c r="N227" s="1">
        <v>4758413</v>
      </c>
      <c r="O227" s="94" t="str">
        <f t="shared" si="175"/>
        <v>F038038-V</v>
      </c>
      <c r="P227" s="94" t="str">
        <f t="shared" si="176"/>
        <v>F038038-ae</v>
      </c>
      <c r="Q227" s="94" t="str">
        <f t="shared" si="177"/>
        <v>F038038-ak</v>
      </c>
    </row>
    <row r="228" spans="1:17">
      <c r="A228" s="220">
        <f ca="1">HYPERLINK("#"&amp;CELL("direccion",APU!A9638),IF(E228&gt;0,A227+1,""))</f>
        <v>219</v>
      </c>
      <c r="B228" s="96" t="s">
        <v>1596</v>
      </c>
      <c r="C228" s="83" t="s">
        <v>1595</v>
      </c>
      <c r="D228" s="74" t="s">
        <v>9</v>
      </c>
      <c r="E228" s="206">
        <v>1</v>
      </c>
      <c r="F228" s="99">
        <f ca="1">_xlfn.XLOOKUP(O228,APU!$B$2:$B$10000,APU!$G$2:$G$10000,,0,1)</f>
        <v>523670</v>
      </c>
      <c r="G228" s="99">
        <f ca="1">_xlfn.XLOOKUP(P228,APU!$B$2:$B$10000,APU!$G$2:$G$10000,,0,1)</f>
        <v>20873.21875</v>
      </c>
      <c r="H228" s="99">
        <f ca="1">_xlfn.XLOOKUP(Q228,APU!$B$2:$B$10000,APU!$G$2:$G$10000,,0,1)</f>
        <v>220497.75316098554</v>
      </c>
      <c r="I228" s="81">
        <f t="shared" ref="I228:I229" ca="1" si="183">+(F228+G228+H228)</f>
        <v>765040.97191098554</v>
      </c>
      <c r="J228" s="80">
        <f t="shared" ref="J228:J229" ca="1" si="184">+E228*F228</f>
        <v>523670</v>
      </c>
      <c r="K228" s="80">
        <f t="shared" ref="K228:K229" ca="1" si="185">+G228*E228</f>
        <v>20873.21875</v>
      </c>
      <c r="L228" s="80">
        <f t="shared" ref="L228:L229" ca="1" si="186">+H228*E228</f>
        <v>220497.75316098554</v>
      </c>
      <c r="M228" s="82">
        <f t="shared" ref="M228:M229" ca="1" si="187">SUM(J228:L228)</f>
        <v>765040.97191098554</v>
      </c>
      <c r="N228" s="1">
        <v>6589468</v>
      </c>
      <c r="O228" s="94" t="str">
        <f t="shared" si="175"/>
        <v>28880F8B-V</v>
      </c>
      <c r="P228" s="94" t="str">
        <f t="shared" si="176"/>
        <v>28880F8B-ae</v>
      </c>
      <c r="Q228" s="94" t="str">
        <f t="shared" si="177"/>
        <v>28880F8B-ak</v>
      </c>
    </row>
    <row r="229" spans="1:17">
      <c r="A229" s="220">
        <f ca="1">HYPERLINK("#"&amp;CELL("direccion",APU!A9682),IF(E229&gt;0,A228+1,""))</f>
        <v>220</v>
      </c>
      <c r="B229" s="96" t="s">
        <v>1597</v>
      </c>
      <c r="C229" s="83" t="s">
        <v>1594</v>
      </c>
      <c r="D229" s="74" t="s">
        <v>9</v>
      </c>
      <c r="E229" s="206">
        <v>1</v>
      </c>
      <c r="F229" s="99">
        <f ca="1">_xlfn.XLOOKUP(O229,APU!$B$2:$B$10000,APU!$G$2:$G$10000,,0,1)</f>
        <v>411700</v>
      </c>
      <c r="G229" s="99">
        <f ca="1">_xlfn.XLOOKUP(P229,APU!$B$2:$B$10000,APU!$G$2:$G$10000,,0,1)</f>
        <v>20873.21875</v>
      </c>
      <c r="H229" s="99">
        <f ca="1">_xlfn.XLOOKUP(Q229,APU!$B$2:$B$10000,APU!$G$2:$G$10000,,0,1)</f>
        <v>220497.75316098554</v>
      </c>
      <c r="I229" s="81">
        <f t="shared" ca="1" si="183"/>
        <v>653070.97191098554</v>
      </c>
      <c r="J229" s="80">
        <f t="shared" ca="1" si="184"/>
        <v>411700</v>
      </c>
      <c r="K229" s="80">
        <f t="shared" ca="1" si="185"/>
        <v>20873.21875</v>
      </c>
      <c r="L229" s="80">
        <f t="shared" ca="1" si="186"/>
        <v>220497.75316098554</v>
      </c>
      <c r="M229" s="82">
        <f t="shared" ca="1" si="187"/>
        <v>653070.97191098554</v>
      </c>
      <c r="N229" s="1">
        <v>7944364</v>
      </c>
      <c r="O229" s="94" t="str">
        <f t="shared" si="175"/>
        <v>1FF24086-V</v>
      </c>
      <c r="P229" s="94" t="str">
        <f t="shared" si="176"/>
        <v>1FF24086-ae</v>
      </c>
      <c r="Q229" s="94" t="str">
        <f t="shared" si="177"/>
        <v>1FF24086-ak</v>
      </c>
    </row>
    <row r="230" spans="1:17" ht="27">
      <c r="A230" s="220">
        <f ca="1">HYPERLINK("#"&amp;CELL("direccion",APU!A9726),IF(E230&gt;0,A229+1,""))</f>
        <v>221</v>
      </c>
      <c r="B230" s="96" t="s">
        <v>1599</v>
      </c>
      <c r="C230" s="83" t="s">
        <v>1598</v>
      </c>
      <c r="D230" s="74" t="s">
        <v>9</v>
      </c>
      <c r="E230" s="206">
        <v>1</v>
      </c>
      <c r="F230" s="99">
        <f ca="1">_xlfn.XLOOKUP(O230,APU!$B$2:$B$10000,APU!$G$2:$G$10000,,0,1)</f>
        <v>126338000</v>
      </c>
      <c r="G230" s="99">
        <f ca="1">_xlfn.XLOOKUP(P230,APU!$B$2:$B$10000,APU!$G$2:$G$10000,,0,1)</f>
        <v>1215357.3749999998</v>
      </c>
      <c r="H230" s="99">
        <f ca="1">_xlfn.XLOOKUP(Q230,APU!$B$2:$B$10000,APU!$G$2:$G$10000,,0,1)</f>
        <v>3629592.6446252759</v>
      </c>
      <c r="I230" s="81">
        <f t="shared" ref="I230" ca="1" si="188">+(F230+G230+H230)</f>
        <v>131182950.01962528</v>
      </c>
      <c r="J230" s="80">
        <f t="shared" ref="J230" ca="1" si="189">+E230*F230</f>
        <v>126338000</v>
      </c>
      <c r="K230" s="80">
        <f t="shared" ref="K230" ca="1" si="190">+G230*E230</f>
        <v>1215357.3749999998</v>
      </c>
      <c r="L230" s="80">
        <f t="shared" ref="L230" ca="1" si="191">+H230*E230</f>
        <v>3629592.6446252759</v>
      </c>
      <c r="M230" s="82">
        <f t="shared" ref="M230" ca="1" si="192">SUM(J230:L230)</f>
        <v>131182950.01962528</v>
      </c>
      <c r="N230" s="1">
        <v>7293089</v>
      </c>
      <c r="O230" s="94" t="str">
        <f t="shared" si="175"/>
        <v>37757FC6-V</v>
      </c>
      <c r="P230" s="94" t="str">
        <f t="shared" si="176"/>
        <v>37757FC6-ae</v>
      </c>
      <c r="Q230" s="94" t="str">
        <f t="shared" si="177"/>
        <v>37757FC6-ak</v>
      </c>
    </row>
    <row r="231" spans="1:17" ht="27">
      <c r="A231" s="220">
        <f ca="1">HYPERLINK("#"&amp;CELL("direccion",APU!A9770),IF(E231&gt;0,A230+1,""))</f>
        <v>222</v>
      </c>
      <c r="B231" s="96" t="s">
        <v>1605</v>
      </c>
      <c r="C231" s="83" t="s">
        <v>1604</v>
      </c>
      <c r="D231" s="74" t="s">
        <v>9</v>
      </c>
      <c r="E231" s="206">
        <v>1</v>
      </c>
      <c r="F231" s="99">
        <f ca="1">_xlfn.XLOOKUP(O231,APU!$B$2:$B$10000,APU!$G$2:$G$10000,,0,1)</f>
        <v>17922389</v>
      </c>
      <c r="G231" s="99">
        <f ca="1">_xlfn.XLOOKUP(P231,APU!$B$2:$B$10000,APU!$G$2:$G$10000,,0,1)</f>
        <v>1215357.3749999998</v>
      </c>
      <c r="H231" s="99">
        <f ca="1">_xlfn.XLOOKUP(Q231,APU!$B$2:$B$10000,APU!$G$2:$G$10000,,0,1)</f>
        <v>2268495.4028907972</v>
      </c>
      <c r="I231" s="81">
        <f t="shared" ref="I231" ca="1" si="193">+(F231+G231+H231)</f>
        <v>21406241.777890798</v>
      </c>
      <c r="J231" s="80">
        <f t="shared" ref="J231" ca="1" si="194">+E231*F231</f>
        <v>17922389</v>
      </c>
      <c r="K231" s="80">
        <f t="shared" ref="K231" ca="1" si="195">+G231*E231</f>
        <v>1215357.3749999998</v>
      </c>
      <c r="L231" s="80">
        <f t="shared" ref="L231" ca="1" si="196">+H231*E231</f>
        <v>2268495.4028907972</v>
      </c>
      <c r="M231" s="82">
        <f t="shared" ref="M231" ca="1" si="197">SUM(J231:L231)</f>
        <v>21406241.777890798</v>
      </c>
      <c r="N231" s="1">
        <v>3696020</v>
      </c>
      <c r="O231" s="94" t="str">
        <f t="shared" si="175"/>
        <v>245F33B0-V</v>
      </c>
      <c r="P231" s="94" t="str">
        <f t="shared" si="176"/>
        <v>245F33B0-ae</v>
      </c>
      <c r="Q231" s="94" t="str">
        <f t="shared" si="177"/>
        <v>245F33B0-ak</v>
      </c>
    </row>
    <row r="232" spans="1:17" ht="40.5">
      <c r="A232" s="220">
        <f ca="1">HYPERLINK("#"&amp;CELL("direccion",APU!A9814),IF(E232&gt;0,A231+1,""))</f>
        <v>223</v>
      </c>
      <c r="B232" s="96" t="s">
        <v>1623</v>
      </c>
      <c r="C232" s="83" t="s">
        <v>1622</v>
      </c>
      <c r="D232" s="74" t="s">
        <v>9</v>
      </c>
      <c r="E232" s="206">
        <v>1</v>
      </c>
      <c r="F232" s="99">
        <f ca="1">_xlfn.XLOOKUP(O232,APU!$B$2:$B$10000,APU!$G$2:$G$10000,,0,1)</f>
        <v>24944035</v>
      </c>
      <c r="G232" s="99">
        <f ca="1">_xlfn.XLOOKUP(P232,APU!$B$2:$B$10000,APU!$G$2:$G$10000,,0,1)</f>
        <v>181280.24999999997</v>
      </c>
      <c r="H232" s="99">
        <f ca="1">_xlfn.XLOOKUP(Q232,APU!$B$2:$B$10000,APU!$G$2:$G$10000,,0,1)</f>
        <v>2722194.4834689568</v>
      </c>
      <c r="I232" s="81">
        <f t="shared" ref="I232" ca="1" si="198">+(F232+G232+H232)</f>
        <v>27847509.733468957</v>
      </c>
      <c r="J232" s="80">
        <f t="shared" ref="J232" ca="1" si="199">+E232*F232</f>
        <v>24944035</v>
      </c>
      <c r="K232" s="80">
        <f t="shared" ref="K232" ca="1" si="200">+G232*E232</f>
        <v>181280.24999999997</v>
      </c>
      <c r="L232" s="80">
        <f t="shared" ref="L232" ca="1" si="201">+H232*E232</f>
        <v>2722194.4834689568</v>
      </c>
      <c r="M232" s="82">
        <f t="shared" ref="M232" ca="1" si="202">SUM(J232:L232)</f>
        <v>27847509.733468957</v>
      </c>
      <c r="N232" s="1">
        <v>1520282</v>
      </c>
      <c r="O232" s="94" t="str">
        <f t="shared" ref="O232:O236" si="203">_xlfn.CONCAT(B232,"V")</f>
        <v>965224D-V</v>
      </c>
      <c r="P232" s="94" t="str">
        <f t="shared" ref="P232:P236" si="204">_xlfn.CONCAT(B232,"ae")</f>
        <v>965224D-ae</v>
      </c>
      <c r="Q232" s="94" t="str">
        <f t="shared" ref="Q232:Q236" si="205">_xlfn.CONCAT(B232,"ak")</f>
        <v>965224D-ak</v>
      </c>
    </row>
    <row r="233" spans="1:17">
      <c r="A233" s="220">
        <f ca="1">HYPERLINK("#"&amp;CELL("direccion",APU!A9858),IF(E233&gt;0,A232+1,""))</f>
        <v>224</v>
      </c>
      <c r="B233" s="96" t="s">
        <v>1627</v>
      </c>
      <c r="C233" s="83" t="s">
        <v>1624</v>
      </c>
      <c r="D233" s="74" t="s">
        <v>9</v>
      </c>
      <c r="E233" s="206">
        <v>3</v>
      </c>
      <c r="F233" s="99">
        <f ca="1">_xlfn.XLOOKUP(O233,APU!$B$2:$B$10000,APU!$G$2:$G$10000,,0,1)</f>
        <v>255460</v>
      </c>
      <c r="G233" s="99">
        <f ca="1">_xlfn.XLOOKUP(P233,APU!$B$2:$B$10000,APU!$G$2:$G$10000,,0,1)</f>
        <v>32519.987499999996</v>
      </c>
      <c r="H233" s="99">
        <f ca="1">_xlfn.XLOOKUP(Q233,APU!$B$2:$B$10000,APU!$G$2:$G$10000,,0,1)</f>
        <v>18147.963223126379</v>
      </c>
      <c r="I233" s="81">
        <f t="shared" ref="I233" ca="1" si="206">+(F233+G233+H233)</f>
        <v>306127.95072312636</v>
      </c>
      <c r="J233" s="80">
        <f t="shared" ref="J233" ca="1" si="207">+E233*F233</f>
        <v>766380</v>
      </c>
      <c r="K233" s="80">
        <f t="shared" ref="K233" ca="1" si="208">+G233*E233</f>
        <v>97559.962499999994</v>
      </c>
      <c r="L233" s="80">
        <f t="shared" ref="L233" ca="1" si="209">+H233*E233</f>
        <v>54443.889669379132</v>
      </c>
      <c r="M233" s="82">
        <f t="shared" ref="M233" ca="1" si="210">SUM(J233:L233)</f>
        <v>918383.85216937913</v>
      </c>
      <c r="N233" s="1">
        <v>8531980</v>
      </c>
      <c r="O233" s="94" t="str">
        <f t="shared" si="203"/>
        <v>2BBAB097-V</v>
      </c>
      <c r="P233" s="94" t="str">
        <f t="shared" si="204"/>
        <v>2BBAB097-ae</v>
      </c>
      <c r="Q233" s="94" t="str">
        <f t="shared" si="205"/>
        <v>2BBAB097-ak</v>
      </c>
    </row>
    <row r="234" spans="1:17" ht="40.5">
      <c r="A234" s="220">
        <f ca="1">HYPERLINK("#"&amp;CELL("direccion",APU!A9902),IF(E234&gt;0,A233+1,""))</f>
        <v>225</v>
      </c>
      <c r="B234" s="96" t="s">
        <v>1628</v>
      </c>
      <c r="C234" s="83" t="s">
        <v>1629</v>
      </c>
      <c r="D234" s="74" t="s">
        <v>9</v>
      </c>
      <c r="E234" s="206">
        <v>4</v>
      </c>
      <c r="F234" s="99">
        <f ca="1">_xlfn.XLOOKUP(O234,APU!$B$2:$B$10000,APU!$G$2:$G$10000,,0,1)</f>
        <v>35350</v>
      </c>
      <c r="G234" s="99">
        <f ca="1">_xlfn.XLOOKUP(P234,APU!$B$2:$B$10000,APU!$G$2:$G$10000,,0,1)</f>
        <v>622.13562499999989</v>
      </c>
      <c r="H234" s="99">
        <f ca="1">_xlfn.XLOOKUP(Q234,APU!$B$2:$B$10000,APU!$G$2:$G$10000,,0,1)</f>
        <v>9073.9816115631893</v>
      </c>
      <c r="I234" s="81">
        <f t="shared" ref="I234" ca="1" si="211">+(F234+G234+H234)</f>
        <v>45046.117236563194</v>
      </c>
      <c r="J234" s="80">
        <f t="shared" ref="J234" ca="1" si="212">+E234*F234</f>
        <v>141400</v>
      </c>
      <c r="K234" s="80">
        <f t="shared" ref="K234" ca="1" si="213">+G234*E234</f>
        <v>2488.5424999999996</v>
      </c>
      <c r="L234" s="80">
        <f t="shared" ref="L234" ca="1" si="214">+H234*E234</f>
        <v>36295.926446252757</v>
      </c>
      <c r="M234" s="82">
        <f t="shared" ref="M234" ca="1" si="215">SUM(J234:L234)</f>
        <v>180184.46894625277</v>
      </c>
      <c r="N234" s="1">
        <v>9507534</v>
      </c>
      <c r="O234" s="94" t="str">
        <f t="shared" si="203"/>
        <v>12D03ACC-V</v>
      </c>
      <c r="P234" s="94" t="str">
        <f t="shared" si="204"/>
        <v>12D03ACC-ae</v>
      </c>
      <c r="Q234" s="94" t="str">
        <f t="shared" si="205"/>
        <v>12D03ACC-ak</v>
      </c>
    </row>
    <row r="235" spans="1:17" ht="27">
      <c r="A235" s="220">
        <f ca="1">HYPERLINK("#"&amp;CELL("direccion",APU!A9946),IF(E235&gt;0,A234+1,""))</f>
        <v>226</v>
      </c>
      <c r="B235" s="96" t="s">
        <v>1632</v>
      </c>
      <c r="C235" s="83" t="s">
        <v>1633</v>
      </c>
      <c r="D235" s="74" t="s">
        <v>9</v>
      </c>
      <c r="E235" s="206">
        <v>2</v>
      </c>
      <c r="F235" s="99">
        <f ca="1">_xlfn.XLOOKUP(O235,APU!$B$2:$B$10000,APU!$G$2:$G$10000,,0,1)</f>
        <v>184410</v>
      </c>
      <c r="G235" s="99">
        <f ca="1">_xlfn.XLOOKUP(P235,APU!$B$2:$B$10000,APU!$G$2:$G$10000,,0,1)</f>
        <v>622.13562499999989</v>
      </c>
      <c r="H235" s="99">
        <f ca="1">_xlfn.XLOOKUP(Q235,APU!$B$2:$B$10000,APU!$G$2:$G$10000,,0,1)</f>
        <v>9073.9816115631893</v>
      </c>
      <c r="I235" s="81">
        <f t="shared" ref="I235" ca="1" si="216">+(F235+G235+H235)</f>
        <v>194106.11723656318</v>
      </c>
      <c r="J235" s="80">
        <f t="shared" ref="J235" ca="1" si="217">+E235*F235</f>
        <v>368820</v>
      </c>
      <c r="K235" s="80">
        <f t="shared" ref="K235" ca="1" si="218">+G235*E235</f>
        <v>1244.2712499999998</v>
      </c>
      <c r="L235" s="80">
        <f t="shared" ref="L235" ca="1" si="219">+H235*E235</f>
        <v>18147.963223126379</v>
      </c>
      <c r="M235" s="82">
        <f t="shared" ref="M235" ca="1" si="220">SUM(J235:L235)</f>
        <v>388212.23447312636</v>
      </c>
      <c r="N235" s="1">
        <v>3345063</v>
      </c>
      <c r="O235" s="94" t="str">
        <f t="shared" si="203"/>
        <v>21BF1F03-V</v>
      </c>
      <c r="P235" s="94" t="str">
        <f t="shared" si="204"/>
        <v>21BF1F03-ae</v>
      </c>
      <c r="Q235" s="94" t="str">
        <f t="shared" si="205"/>
        <v>21BF1F03-ak</v>
      </c>
    </row>
    <row r="236" spans="1:17" ht="27">
      <c r="A236" s="220">
        <f ca="1">HYPERLINK("#"&amp;CELL("direccion",APU!A9990),IF(E236&gt;0,A235+1,""))</f>
        <v>227</v>
      </c>
      <c r="B236" s="96" t="s">
        <v>1637</v>
      </c>
      <c r="C236" s="83" t="s">
        <v>1638</v>
      </c>
      <c r="D236" s="74" t="s">
        <v>9</v>
      </c>
      <c r="E236" s="206">
        <v>2</v>
      </c>
      <c r="F236" s="99">
        <f ca="1">_xlfn.XLOOKUP(O236,APU!$B$2:$B$29999,APU!$G$2:$G$29999,,0,1)</f>
        <v>64286.433333333349</v>
      </c>
      <c r="G236" s="99">
        <f ca="1">_xlfn.XLOOKUP(P236,APU!$B$2:$B$29999,APU!$G$2:$G$29999,,0,1)</f>
        <v>4743.1749999999993</v>
      </c>
      <c r="H236" s="99">
        <f ca="1">_xlfn.XLOOKUP(Q236,APU!$B$2:$B$29999,APU!$G$2:$G$29999,,0,1)</f>
        <v>63517.871280942323</v>
      </c>
      <c r="I236" s="81">
        <f t="shared" ref="I236" ca="1" si="221">+(F236+G236+H236)</f>
        <v>132547.47961427568</v>
      </c>
      <c r="J236" s="80">
        <f t="shared" ref="J236" ca="1" si="222">+E236*F236</f>
        <v>128572.8666666667</v>
      </c>
      <c r="K236" s="80">
        <f t="shared" ref="K236" ca="1" si="223">+G236*E236</f>
        <v>9486.3499999999985</v>
      </c>
      <c r="L236" s="80">
        <f t="shared" ref="L236" ca="1" si="224">+H236*E236</f>
        <v>127035.74256188465</v>
      </c>
      <c r="M236" s="82">
        <f t="shared" ref="M236" ca="1" si="225">SUM(J236:L236)</f>
        <v>265094.95922855136</v>
      </c>
      <c r="N236" s="1">
        <v>4664672</v>
      </c>
      <c r="O236" s="94" t="str">
        <f t="shared" si="203"/>
        <v>8CDADA2-V</v>
      </c>
      <c r="P236" s="94" t="str">
        <f t="shared" si="204"/>
        <v>8CDADA2-ae</v>
      </c>
      <c r="Q236" s="94" t="str">
        <f t="shared" si="205"/>
        <v>8CDADA2-ak</v>
      </c>
    </row>
    <row r="237" spans="1:17">
      <c r="A237" s="220">
        <f ca="1">HYPERLINK("#"&amp;CELL("direccion",APU!A10038),IF(E237&gt;0,A236+1,""))</f>
        <v>228</v>
      </c>
      <c r="B237" s="96" t="s">
        <v>1644</v>
      </c>
      <c r="C237" s="83" t="s">
        <v>1643</v>
      </c>
      <c r="D237" s="74" t="s">
        <v>7</v>
      </c>
      <c r="E237" s="206">
        <v>20</v>
      </c>
      <c r="F237" s="99">
        <f ca="1">_xlfn.XLOOKUP(O237,APU!$B$2:$B$29999,APU!$G$2:$G$29999,,0,1)</f>
        <v>21094.6</v>
      </c>
      <c r="G237" s="99">
        <f ca="1">_xlfn.XLOOKUP(P237,APU!$B$2:$B$29999,APU!$G$2:$G$29999,,0,1)</f>
        <v>5581.3525</v>
      </c>
      <c r="H237" s="99">
        <f ca="1">_xlfn.XLOOKUP(Q237,APU!$B$2:$B$29999,APU!$G$2:$G$29999,,0,1)</f>
        <v>14518.370578501104</v>
      </c>
      <c r="I237" s="81">
        <f t="shared" ref="I237" ca="1" si="226">+(F237+G237+H237)</f>
        <v>41194.323078501104</v>
      </c>
      <c r="J237" s="80">
        <f t="shared" ref="J237" ca="1" si="227">+E237*F237</f>
        <v>421892</v>
      </c>
      <c r="K237" s="80">
        <f t="shared" ref="K237" ca="1" si="228">+G237*E237</f>
        <v>111627.05</v>
      </c>
      <c r="L237" s="80">
        <f t="shared" ref="L237" ca="1" si="229">+H237*E237</f>
        <v>290367.41157002212</v>
      </c>
      <c r="M237" s="82">
        <f t="shared" ref="M237" ca="1" si="230">SUM(J237:L237)</f>
        <v>823886.46157002216</v>
      </c>
      <c r="N237" s="1">
        <v>4664644</v>
      </c>
      <c r="O237" s="94" t="str">
        <f t="shared" ref="O237" si="231">_xlfn.CONCAT(B237,"V")</f>
        <v>227C081-V</v>
      </c>
      <c r="P237" s="94" t="str">
        <f t="shared" ref="P237" si="232">_xlfn.CONCAT(B237,"ae")</f>
        <v>227C081-ae</v>
      </c>
      <c r="Q237" s="94" t="str">
        <f t="shared" ref="Q237" si="233">_xlfn.CONCAT(B237,"ak")</f>
        <v>227C081-ak</v>
      </c>
    </row>
    <row r="238" spans="1:17" ht="27">
      <c r="A238" s="220">
        <f ca="1">HYPERLINK("#"&amp;CELL("direccion",APU!A10078),IF(E238&gt;0,A237+1,""))</f>
        <v>229</v>
      </c>
      <c r="B238" s="96" t="s">
        <v>1648</v>
      </c>
      <c r="C238" s="83" t="s">
        <v>1647</v>
      </c>
      <c r="D238" s="74" t="s">
        <v>7</v>
      </c>
      <c r="E238" s="206">
        <v>20</v>
      </c>
      <c r="F238" s="99">
        <f ca="1">_xlfn.XLOOKUP(O238,APU!$B$2:$B$29999,APU!$G$2:$G$29999,,0,1)</f>
        <v>21170</v>
      </c>
      <c r="G238" s="99">
        <f ca="1">_xlfn.XLOOKUP(P238,APU!$B$2:$B$29999,APU!$G$2:$G$29999,,0,1)</f>
        <v>3012.4034374999992</v>
      </c>
      <c r="H238" s="99">
        <f ca="1">_xlfn.XLOOKUP(Q238,APU!$B$2:$B$29999,APU!$G$2:$G$29999,,0,1)</f>
        <v>12703.574256188467</v>
      </c>
      <c r="I238" s="81">
        <f t="shared" ref="I238" ca="1" si="234">+(F238+G238+H238)</f>
        <v>36885.977693688466</v>
      </c>
      <c r="J238" s="80">
        <f t="shared" ref="J238" ca="1" si="235">+E238*F238</f>
        <v>423400</v>
      </c>
      <c r="K238" s="80">
        <f t="shared" ref="K238" ca="1" si="236">+G238*E238</f>
        <v>60248.068749999984</v>
      </c>
      <c r="L238" s="80">
        <f t="shared" ref="L238" ca="1" si="237">+H238*E238</f>
        <v>254071.48512376935</v>
      </c>
      <c r="M238" s="82">
        <f t="shared" ref="M238" ca="1" si="238">SUM(J238:L238)</f>
        <v>737719.55387376936</v>
      </c>
      <c r="N238" s="1">
        <v>5500148</v>
      </c>
      <c r="O238" s="94" t="str">
        <f t="shared" ref="O238:O260" si="239">_xlfn.CONCAT(B238,"V")</f>
        <v>2264E124-V</v>
      </c>
      <c r="P238" s="94" t="str">
        <f t="shared" ref="P238:P260" si="240">_xlfn.CONCAT(B238,"ae")</f>
        <v>2264E124-ae</v>
      </c>
      <c r="Q238" s="94" t="str">
        <f t="shared" ref="Q238:Q260" si="241">_xlfn.CONCAT(B238,"ak")</f>
        <v>2264E124-ak</v>
      </c>
    </row>
    <row r="239" spans="1:17" ht="27">
      <c r="A239" s="220">
        <f ca="1">HYPERLINK("#"&amp;CELL("direccion",APU!A10122),IF(E239&gt;0,A238+1,""))</f>
        <v>230</v>
      </c>
      <c r="B239" s="96" t="s">
        <v>1650</v>
      </c>
      <c r="C239" s="83" t="s">
        <v>1649</v>
      </c>
      <c r="D239" s="74" t="s">
        <v>7</v>
      </c>
      <c r="E239" s="206">
        <v>20</v>
      </c>
      <c r="F239" s="99">
        <f ca="1">_xlfn.XLOOKUP(O239,APU!$B$2:$B$29999,APU!$G$2:$G$29999,,0,1)</f>
        <v>10703.5</v>
      </c>
      <c r="G239" s="99">
        <f ca="1">_xlfn.XLOOKUP(P239,APU!$B$2:$B$29999,APU!$G$2:$G$29999,,0,1)</f>
        <v>3012.4034374999992</v>
      </c>
      <c r="H239" s="99">
        <f ca="1">_xlfn.XLOOKUP(Q239,APU!$B$2:$B$29999,APU!$G$2:$G$29999,,0,1)</f>
        <v>12703.574256188467</v>
      </c>
      <c r="I239" s="81">
        <f t="shared" ref="I239:I240" ca="1" si="242">+(F239+G239+H239)</f>
        <v>26419.477693688466</v>
      </c>
      <c r="J239" s="80">
        <f t="shared" ref="J239:J240" ca="1" si="243">+E239*F239</f>
        <v>214070</v>
      </c>
      <c r="K239" s="80">
        <f t="shared" ref="K239:K240" ca="1" si="244">+G239*E239</f>
        <v>60248.068749999984</v>
      </c>
      <c r="L239" s="80">
        <f t="shared" ref="L239:L240" ca="1" si="245">+H239*E239</f>
        <v>254071.48512376935</v>
      </c>
      <c r="M239" s="82">
        <f t="shared" ref="M239:M240" ca="1" si="246">SUM(J239:L239)</f>
        <v>528389.55387376936</v>
      </c>
      <c r="N239" s="1">
        <v>3745963</v>
      </c>
      <c r="O239" s="94" t="str">
        <f t="shared" si="239"/>
        <v>3A4A4E80-V</v>
      </c>
      <c r="P239" s="94" t="str">
        <f t="shared" si="240"/>
        <v>3A4A4E80-ae</v>
      </c>
      <c r="Q239" s="94" t="str">
        <f t="shared" si="241"/>
        <v>3A4A4E80-ak</v>
      </c>
    </row>
    <row r="240" spans="1:17">
      <c r="A240" s="220">
        <f ca="1">HYPERLINK("#"&amp;CELL("direccion",APU!A10166),IF(E240&gt;0,A239+1,""))</f>
        <v>231</v>
      </c>
      <c r="B240" s="96" t="s">
        <v>1652</v>
      </c>
      <c r="C240" s="83" t="s">
        <v>1651</v>
      </c>
      <c r="D240" s="74" t="s">
        <v>9</v>
      </c>
      <c r="E240" s="206">
        <v>2</v>
      </c>
      <c r="F240" s="99">
        <f ca="1">_xlfn.XLOOKUP(O240,APU!$B$2:$B$29999,APU!$G$2:$G$29999,,0,1)</f>
        <v>42215</v>
      </c>
      <c r="G240" s="99">
        <f ca="1">_xlfn.XLOOKUP(P240,APU!$B$2:$B$29999,APU!$G$2:$G$29999,,0,1)</f>
        <v>1946.0012499999998</v>
      </c>
      <c r="H240" s="99">
        <f ca="1">_xlfn.XLOOKUP(Q240,APU!$B$2:$B$29999,APU!$G$2:$G$29999,,0,1)</f>
        <v>10888.777933875826</v>
      </c>
      <c r="I240" s="81">
        <f t="shared" ca="1" si="242"/>
        <v>55049.779183875828</v>
      </c>
      <c r="J240" s="80">
        <f t="shared" ca="1" si="243"/>
        <v>84430</v>
      </c>
      <c r="K240" s="80">
        <f t="shared" ca="1" si="244"/>
        <v>3892.0024999999996</v>
      </c>
      <c r="L240" s="80">
        <f t="shared" ca="1" si="245"/>
        <v>21777.555867751653</v>
      </c>
      <c r="M240" s="82">
        <f t="shared" ca="1" si="246"/>
        <v>110099.55836775166</v>
      </c>
      <c r="N240" s="1">
        <v>7082517</v>
      </c>
      <c r="O240" s="94" t="str">
        <f t="shared" si="239"/>
        <v>170D7FFB-V</v>
      </c>
      <c r="P240" s="94" t="str">
        <f t="shared" si="240"/>
        <v>170D7FFB-ae</v>
      </c>
      <c r="Q240" s="94" t="str">
        <f t="shared" si="241"/>
        <v>170D7FFB-ak</v>
      </c>
    </row>
    <row r="241" spans="1:17" ht="27">
      <c r="A241" s="220">
        <f ca="1">HYPERLINK("#"&amp;CELL("direccion",APU!A10210),IF(E241&gt;0,A240+1,""))</f>
        <v>232</v>
      </c>
      <c r="B241" s="96" t="s">
        <v>1656</v>
      </c>
      <c r="C241" s="83" t="s">
        <v>1655</v>
      </c>
      <c r="D241" s="74" t="s">
        <v>7</v>
      </c>
      <c r="E241" s="206">
        <v>5</v>
      </c>
      <c r="F241" s="99">
        <f ca="1">_xlfn.XLOOKUP(O241,APU!$B$2:$B$29999,APU!$G$2:$G$29999,,0,1)</f>
        <v>70405.100000000006</v>
      </c>
      <c r="G241" s="99">
        <f ca="1">_xlfn.XLOOKUP(P241,APU!$B$2:$B$29999,APU!$G$2:$G$29999,,0,1)</f>
        <v>1939.5037499999996</v>
      </c>
      <c r="H241" s="99">
        <f ca="1">_xlfn.XLOOKUP(Q241,APU!$B$2:$B$29999,APU!$G$2:$G$29999,,0,1)</f>
        <v>32666.333801627483</v>
      </c>
      <c r="I241" s="81">
        <f t="shared" ref="I241" ca="1" si="247">+(F241+G241+H241)</f>
        <v>105010.93755162749</v>
      </c>
      <c r="J241" s="80">
        <f t="shared" ref="J241" ca="1" si="248">+E241*F241</f>
        <v>352025.5</v>
      </c>
      <c r="K241" s="80">
        <f t="shared" ref="K241" ca="1" si="249">+G241*E241</f>
        <v>9697.5187499999975</v>
      </c>
      <c r="L241" s="80">
        <f t="shared" ref="L241" ca="1" si="250">+H241*E241</f>
        <v>163331.66900813743</v>
      </c>
      <c r="M241" s="82">
        <f t="shared" ref="M241" ca="1" si="251">SUM(J241:L241)</f>
        <v>525054.68775813747</v>
      </c>
      <c r="N241" s="1">
        <v>9659437</v>
      </c>
      <c r="O241" s="94" t="str">
        <f t="shared" si="239"/>
        <v>4EFF172-V</v>
      </c>
      <c r="P241" s="94" t="str">
        <f t="shared" si="240"/>
        <v>4EFF172-ae</v>
      </c>
      <c r="Q241" s="94" t="str">
        <f t="shared" si="241"/>
        <v>4EFF172-ak</v>
      </c>
    </row>
    <row r="242" spans="1:17">
      <c r="A242" s="220">
        <f ca="1">HYPERLINK("#"&amp;CELL("direccion",APU!A10254),IF(E242&gt;0,A241+1,""))</f>
        <v>233</v>
      </c>
      <c r="B242" s="96" t="s">
        <v>1659</v>
      </c>
      <c r="C242" s="83" t="s">
        <v>1657</v>
      </c>
      <c r="D242" s="74" t="s">
        <v>1658</v>
      </c>
      <c r="E242" s="206">
        <v>7</v>
      </c>
      <c r="F242" s="99">
        <f ca="1">_xlfn.XLOOKUP(O242,APU!$B$2:$B$29999,APU!$G$2:$G$29999,,0,1)</f>
        <v>785740</v>
      </c>
      <c r="G242" s="99">
        <f ca="1">_xlfn.XLOOKUP(P242,APU!$B$2:$B$29999,APU!$G$2:$G$29999,,0,1)</f>
        <v>3174.0287499999999</v>
      </c>
      <c r="H242" s="99">
        <f ca="1">_xlfn.XLOOKUP(Q242,APU!$B$2:$B$29999,APU!$G$2:$G$29999,,0,1)</f>
        <v>90739.816115631897</v>
      </c>
      <c r="I242" s="81">
        <f t="shared" ref="I242" ca="1" si="252">+(F242+G242+H242)</f>
        <v>879653.84486563201</v>
      </c>
      <c r="J242" s="80">
        <f t="shared" ref="J242" ca="1" si="253">+E242*F242</f>
        <v>5500180</v>
      </c>
      <c r="K242" s="80">
        <f t="shared" ref="K242" ca="1" si="254">+G242*E242</f>
        <v>22218.201249999998</v>
      </c>
      <c r="L242" s="80">
        <f t="shared" ref="L242" ca="1" si="255">+H242*E242</f>
        <v>635178.71280942322</v>
      </c>
      <c r="M242" s="82">
        <f t="shared" ref="M242" ca="1" si="256">SUM(J242:L242)</f>
        <v>6157576.9140594229</v>
      </c>
      <c r="N242" s="1">
        <v>3330045</v>
      </c>
      <c r="O242" s="94" t="str">
        <f t="shared" si="239"/>
        <v>11FB6D2-V</v>
      </c>
      <c r="P242" s="94" t="str">
        <f t="shared" si="240"/>
        <v>11FB6D2-ae</v>
      </c>
      <c r="Q242" s="94" t="str">
        <f t="shared" si="241"/>
        <v>11FB6D2-ak</v>
      </c>
    </row>
    <row r="243" spans="1:17">
      <c r="A243" s="220">
        <f ca="1">HYPERLINK("#"&amp;CELL("direccion",APU!A10298),IF(E243&gt;0,A242+1,""))</f>
        <v>234</v>
      </c>
      <c r="B243" s="96" t="s">
        <v>1665</v>
      </c>
      <c r="C243" s="83" t="s">
        <v>1668</v>
      </c>
      <c r="D243" s="74" t="s">
        <v>162</v>
      </c>
      <c r="E243" s="206">
        <v>1</v>
      </c>
      <c r="F243" s="99">
        <f ca="1">_xlfn.XLOOKUP(O243,APU!$B$2:$B$29999,APU!$G$2:$G$29999,,0,1)</f>
        <v>260635700</v>
      </c>
      <c r="G243" s="99">
        <f ca="1">_xlfn.XLOOKUP(P243,APU!$B$2:$B$29999,APU!$G$2:$G$29999,,0,1)</f>
        <v>986807.81249999977</v>
      </c>
      <c r="H243" s="99">
        <f ca="1">_xlfn.XLOOKUP(Q243,APU!$B$2:$B$29999,APU!$G$2:$G$29999,,0,1)</f>
        <v>4058068.5139112514</v>
      </c>
      <c r="I243" s="81">
        <f t="shared" ref="I243" ca="1" si="257">+(F243+G243+H243)</f>
        <v>265680576.32641125</v>
      </c>
      <c r="J243" s="80">
        <f t="shared" ref="J243" ca="1" si="258">+E243*F243</f>
        <v>260635700</v>
      </c>
      <c r="K243" s="80">
        <f t="shared" ref="K243" ca="1" si="259">+G243*E243</f>
        <v>986807.81249999977</v>
      </c>
      <c r="L243" s="80">
        <f t="shared" ref="L243" ca="1" si="260">+H243*E243</f>
        <v>4058068.5139112514</v>
      </c>
      <c r="M243" s="82">
        <f t="shared" ref="M243" ca="1" si="261">SUM(J243:L243)</f>
        <v>265680576.32641125</v>
      </c>
      <c r="N243" s="1">
        <v>3497593</v>
      </c>
      <c r="O243" s="94" t="str">
        <f t="shared" si="239"/>
        <v>2B1062E5-V</v>
      </c>
      <c r="P243" s="94" t="str">
        <f t="shared" si="240"/>
        <v>2B1062E5-ae</v>
      </c>
      <c r="Q243" s="94" t="str">
        <f t="shared" si="241"/>
        <v>2B1062E5-ak</v>
      </c>
    </row>
    <row r="244" spans="1:17">
      <c r="A244" s="220">
        <f ca="1">HYPERLINK("#"&amp;CELL("direccion",APU!A10342),IF(E244&gt;0,A243+1,""))</f>
        <v>235</v>
      </c>
      <c r="B244" s="96" t="s">
        <v>1671</v>
      </c>
      <c r="C244" s="83" t="s">
        <v>1670</v>
      </c>
      <c r="D244" s="74" t="s">
        <v>7</v>
      </c>
      <c r="E244" s="206">
        <v>5</v>
      </c>
      <c r="F244" s="99">
        <f ca="1">_xlfn.XLOOKUP(O244,APU!$B$2:$B$29999,APU!$G$2:$G$29999,,0,1)</f>
        <v>102309.2</v>
      </c>
      <c r="G244" s="99">
        <f ca="1">_xlfn.XLOOKUP(P244,APU!$B$2:$B$29999,APU!$G$2:$G$29999,,0,1)</f>
        <v>5360.4374999999991</v>
      </c>
      <c r="H244" s="99">
        <f ca="1">_xlfn.XLOOKUP(Q244,APU!$B$2:$B$29999,APU!$G$2:$G$29999,,0,1)</f>
        <v>7863.9049149006632</v>
      </c>
      <c r="I244" s="81">
        <f t="shared" ref="I244" ca="1" si="262">+(F244+G244+H244)</f>
        <v>115533.54241490066</v>
      </c>
      <c r="J244" s="80">
        <f t="shared" ref="J244" ca="1" si="263">+E244*F244</f>
        <v>511546</v>
      </c>
      <c r="K244" s="80">
        <f t="shared" ref="K244" ca="1" si="264">+G244*E244</f>
        <v>26802.187499999996</v>
      </c>
      <c r="L244" s="80">
        <f t="shared" ref="L244" ca="1" si="265">+H244*E244</f>
        <v>39319.524574503317</v>
      </c>
      <c r="M244" s="82">
        <f t="shared" ref="M244" ca="1" si="266">SUM(J244:L244)</f>
        <v>577667.7120745033</v>
      </c>
      <c r="N244" s="1">
        <v>2427557</v>
      </c>
      <c r="O244" s="94" t="str">
        <f t="shared" si="239"/>
        <v>CD2F2DB-V</v>
      </c>
      <c r="P244" s="94" t="str">
        <f t="shared" si="240"/>
        <v>CD2F2DB-ae</v>
      </c>
      <c r="Q244" s="94" t="str">
        <f t="shared" si="241"/>
        <v>CD2F2DB-ak</v>
      </c>
    </row>
    <row r="245" spans="1:17">
      <c r="A245" s="220">
        <f ca="1">HYPERLINK("#"&amp;CELL("direccion",APU!A10386),IF(E245&gt;0,A244+1,""))</f>
        <v>236</v>
      </c>
      <c r="B245" s="96" t="s">
        <v>1672</v>
      </c>
      <c r="C245" s="83" t="s">
        <v>1673</v>
      </c>
      <c r="D245" s="74" t="s">
        <v>162</v>
      </c>
      <c r="E245" s="206">
        <v>1</v>
      </c>
      <c r="F245" s="99">
        <f ca="1">_xlfn.XLOOKUP(O245,APU!$B$2:$B$29999,APU!$G$2:$G$29999,,0,1)</f>
        <v>931176</v>
      </c>
      <c r="G245" s="99">
        <f ca="1">_xlfn.XLOOKUP(P245,APU!$B$2:$B$29999,APU!$G$2:$G$29999,,0,1)</f>
        <v>60572.943749999999</v>
      </c>
      <c r="H245" s="99">
        <f ca="1">_xlfn.XLOOKUP(Q245,APU!$B$2:$B$29999,APU!$G$2:$G$29999,,0,1)</f>
        <v>344811.30123940122</v>
      </c>
      <c r="I245" s="81">
        <f t="shared" ref="I245" ca="1" si="267">+(F245+G245+H245)</f>
        <v>1336560.2449894012</v>
      </c>
      <c r="J245" s="80">
        <f t="shared" ref="J245" ca="1" si="268">+E245*F245</f>
        <v>931176</v>
      </c>
      <c r="K245" s="80">
        <f t="shared" ref="K245" ca="1" si="269">+G245*E245</f>
        <v>60572.943749999999</v>
      </c>
      <c r="L245" s="80">
        <f t="shared" ref="L245" ca="1" si="270">+H245*E245</f>
        <v>344811.30123940122</v>
      </c>
      <c r="M245" s="82">
        <f t="shared" ref="M245" ca="1" si="271">SUM(J245:L245)</f>
        <v>1336560.2449894012</v>
      </c>
      <c r="N245" s="1">
        <v>1287091</v>
      </c>
      <c r="O245" s="94" t="str">
        <f t="shared" si="239"/>
        <v>ACD1F30-V</v>
      </c>
      <c r="P245" s="94" t="str">
        <f t="shared" si="240"/>
        <v>ACD1F30-ae</v>
      </c>
      <c r="Q245" s="94" t="str">
        <f t="shared" si="241"/>
        <v>ACD1F30-ak</v>
      </c>
    </row>
    <row r="246" spans="1:17" ht="40.5">
      <c r="A246" s="220">
        <f ca="1">HYPERLINK("#"&amp;CELL("direccion",APU!A10430),IF(E246&gt;0,A245+1,""))</f>
        <v>237</v>
      </c>
      <c r="B246" s="96" t="s">
        <v>1675</v>
      </c>
      <c r="C246" s="83" t="s">
        <v>1674</v>
      </c>
      <c r="D246" s="74" t="s">
        <v>162</v>
      </c>
      <c r="E246" s="206">
        <v>1</v>
      </c>
      <c r="F246" s="99">
        <f ca="1">_xlfn.XLOOKUP(O246,APU!$B$2:$B$29999,APU!$G$2:$G$29999,,0,1)</f>
        <v>853440</v>
      </c>
      <c r="G246" s="99">
        <f ca="1">_xlfn.XLOOKUP(P246,APU!$B$2:$B$29999,APU!$G$2:$G$29999,,0,1)</f>
        <v>623272.68749999988</v>
      </c>
      <c r="H246" s="99">
        <f ca="1">_xlfn.XLOOKUP(Q246,APU!$B$2:$B$29999,APU!$G$2:$G$29999,,0,1)</f>
        <v>1905536.1384282699</v>
      </c>
      <c r="I246" s="81">
        <f t="shared" ref="I246" ca="1" si="272">+(F246+G246+H246)</f>
        <v>3382248.8259282699</v>
      </c>
      <c r="J246" s="80">
        <f t="shared" ref="J246" ca="1" si="273">+E246*F246</f>
        <v>853440</v>
      </c>
      <c r="K246" s="80">
        <f t="shared" ref="K246" ca="1" si="274">+G246*E246</f>
        <v>623272.68749999988</v>
      </c>
      <c r="L246" s="80">
        <f t="shared" ref="L246" ca="1" si="275">+H246*E246</f>
        <v>1905536.1384282699</v>
      </c>
      <c r="M246" s="82">
        <f t="shared" ref="M246" ca="1" si="276">SUM(J246:L246)</f>
        <v>3382248.8259282699</v>
      </c>
      <c r="N246" s="1">
        <v>9228450</v>
      </c>
      <c r="O246" s="94" t="str">
        <f t="shared" si="239"/>
        <v>2E06143E-V</v>
      </c>
      <c r="P246" s="94" t="str">
        <f t="shared" si="240"/>
        <v>2E06143E-ae</v>
      </c>
      <c r="Q246" s="94" t="str">
        <f t="shared" si="241"/>
        <v>2E06143E-ak</v>
      </c>
    </row>
    <row r="247" spans="1:17" ht="27">
      <c r="A247" s="220">
        <f ca="1">HYPERLINK("#"&amp;CELL("direccion",APU!A10474),IF(E247&gt;0,A246+1,""))</f>
        <v>238</v>
      </c>
      <c r="B247" s="96" t="s">
        <v>1677</v>
      </c>
      <c r="C247" s="83" t="s">
        <v>1676</v>
      </c>
      <c r="D247" s="74" t="s">
        <v>162</v>
      </c>
      <c r="E247" s="206">
        <v>1</v>
      </c>
      <c r="F247" s="99">
        <f ca="1">_xlfn.XLOOKUP(O247,APU!$B$2:$B$29999,APU!$G$2:$G$29999,,0,1)</f>
        <v>27403596</v>
      </c>
      <c r="G247" s="99">
        <f ca="1">_xlfn.XLOOKUP(P247,APU!$B$2:$B$29999,APU!$G$2:$G$29999,,0,1)</f>
        <v>697636.57499999984</v>
      </c>
      <c r="H247" s="99">
        <f ca="1">_xlfn.XLOOKUP(Q247,APU!$B$2:$B$29999,APU!$G$2:$G$29999,,0,1)</f>
        <v>2268495.4028907972</v>
      </c>
      <c r="I247" s="81">
        <f t="shared" ref="I247" ca="1" si="277">+(F247+G247+H247)</f>
        <v>30369727.977890797</v>
      </c>
      <c r="J247" s="80">
        <f t="shared" ref="J247" ca="1" si="278">+E247*F247</f>
        <v>27403596</v>
      </c>
      <c r="K247" s="80">
        <f t="shared" ref="K247" ca="1" si="279">+G247*E247</f>
        <v>697636.57499999984</v>
      </c>
      <c r="L247" s="80">
        <f t="shared" ref="L247" ca="1" si="280">+H247*E247</f>
        <v>2268495.4028907972</v>
      </c>
      <c r="M247" s="82">
        <f t="shared" ref="M247" ca="1" si="281">SUM(J247:L247)</f>
        <v>30369727.977890797</v>
      </c>
      <c r="N247" s="1">
        <v>2630737</v>
      </c>
      <c r="O247" s="94" t="str">
        <f t="shared" si="239"/>
        <v>1C1FDF15-V</v>
      </c>
      <c r="P247" s="94" t="str">
        <f t="shared" si="240"/>
        <v>1C1FDF15-ae</v>
      </c>
      <c r="Q247" s="94" t="str">
        <f t="shared" si="241"/>
        <v>1C1FDF15-ak</v>
      </c>
    </row>
    <row r="248" spans="1:17" ht="54">
      <c r="A248" s="220">
        <f ca="1">HYPERLINK("#"&amp;CELL("direccion",APU!A10518),IF(E248&gt;0,A247+1,""))</f>
        <v>239</v>
      </c>
      <c r="B248" s="96" t="s">
        <v>1680</v>
      </c>
      <c r="C248" s="83" t="s">
        <v>1681</v>
      </c>
      <c r="D248" s="74" t="s">
        <v>7</v>
      </c>
      <c r="E248" s="206">
        <v>10</v>
      </c>
      <c r="F248" s="99">
        <f ca="1">_xlfn.XLOOKUP(O248,APU!$B$2:$B$29999,APU!$G$2:$G$29999,,0,1)</f>
        <v>78701.279999999984</v>
      </c>
      <c r="G248" s="99">
        <f ca="1">_xlfn.XLOOKUP(P248,APU!$B$2:$B$29999,APU!$G$2:$G$29999,,0,1)</f>
        <v>865.54383999999993</v>
      </c>
      <c r="H248" s="99">
        <f ca="1">_xlfn.XLOOKUP(Q248,APU!$B$2:$B$29999,APU!$G$2:$G$29999,,0,1)</f>
        <v>22321.994764445448</v>
      </c>
      <c r="I248" s="81">
        <f t="shared" ref="I248" ca="1" si="282">+(F248+G248+H248)</f>
        <v>101888.81860444543</v>
      </c>
      <c r="J248" s="80">
        <f t="shared" ref="J248" ca="1" si="283">+E248*F248</f>
        <v>787012.79999999981</v>
      </c>
      <c r="K248" s="80">
        <f t="shared" ref="K248" ca="1" si="284">+G248*E248</f>
        <v>8655.4383999999991</v>
      </c>
      <c r="L248" s="80">
        <f t="shared" ref="L248" ca="1" si="285">+H248*E248</f>
        <v>223219.94764445449</v>
      </c>
      <c r="M248" s="82">
        <f t="shared" ref="M248" ca="1" si="286">SUM(J248:L248)</f>
        <v>1018888.1860444543</v>
      </c>
      <c r="N248" s="1">
        <v>5807420</v>
      </c>
      <c r="O248" s="94" t="str">
        <f t="shared" si="239"/>
        <v>2826CD8B-V</v>
      </c>
      <c r="P248" s="94" t="str">
        <f t="shared" si="240"/>
        <v>2826CD8B-ae</v>
      </c>
      <c r="Q248" s="94" t="str">
        <f t="shared" si="241"/>
        <v>2826CD8B-ak</v>
      </c>
    </row>
    <row r="249" spans="1:17">
      <c r="A249" s="220">
        <f ca="1">HYPERLINK("#"&amp;CELL("direccion",APU!A10562),IF(E249&gt;0,A248+1,""))</f>
        <v>240</v>
      </c>
      <c r="B249" s="96" t="s">
        <v>1694</v>
      </c>
      <c r="C249" s="83" t="s">
        <v>1695</v>
      </c>
      <c r="D249" s="74" t="s">
        <v>7</v>
      </c>
      <c r="E249" s="206">
        <v>11</v>
      </c>
      <c r="F249" s="99">
        <f ca="1">_xlfn.XLOOKUP(O249,APU!$B$2:$B$29999,APU!$G$2:$G$29999,,0,1)</f>
        <v>46738</v>
      </c>
      <c r="G249" s="99">
        <f ca="1">_xlfn.XLOOKUP(P249,APU!$B$2:$B$29999,APU!$G$2:$G$29999,,0,1)</f>
        <v>2730.5743749999997</v>
      </c>
      <c r="H249" s="99">
        <f ca="1">_xlfn.XLOOKUP(Q249,APU!$B$2:$B$29999,APU!$G$2:$G$29999,,0,1)</f>
        <v>39925.519090878035</v>
      </c>
      <c r="I249" s="81">
        <f t="shared" ref="I249" ca="1" si="287">+(F249+G249+H249)</f>
        <v>89394.093465878032</v>
      </c>
      <c r="J249" s="80">
        <f t="shared" ref="J249" ca="1" si="288">+E249*F249</f>
        <v>514118</v>
      </c>
      <c r="K249" s="80">
        <f t="shared" ref="K249" ca="1" si="289">+G249*E249</f>
        <v>30036.318124999998</v>
      </c>
      <c r="L249" s="80">
        <f t="shared" ref="L249" ca="1" si="290">+H249*E249</f>
        <v>439180.7099996584</v>
      </c>
      <c r="M249" s="82">
        <f t="shared" ref="M249" ca="1" si="291">SUM(J249:L249)</f>
        <v>983335.02812465839</v>
      </c>
      <c r="N249" s="1">
        <v>7010260</v>
      </c>
      <c r="O249" s="94" t="str">
        <f t="shared" si="239"/>
        <v>29B38E0B-V</v>
      </c>
      <c r="P249" s="94" t="str">
        <f t="shared" si="240"/>
        <v>29B38E0B-ae</v>
      </c>
      <c r="Q249" s="94" t="str">
        <f t="shared" si="241"/>
        <v>29B38E0B-ak</v>
      </c>
    </row>
    <row r="250" spans="1:17">
      <c r="A250" s="220">
        <f ca="1">HYPERLINK("#"&amp;CELL("direccion",APU!A10606),IF(E250&gt;0,A249+1,""))</f>
        <v>241</v>
      </c>
      <c r="B250" s="96" t="s">
        <v>1696</v>
      </c>
      <c r="C250" s="83" t="s">
        <v>1697</v>
      </c>
      <c r="D250" s="74" t="s">
        <v>7</v>
      </c>
      <c r="E250" s="206">
        <v>30</v>
      </c>
      <c r="F250" s="99">
        <f ca="1">_xlfn.XLOOKUP(O250,APU!$B$2:$B$29999,APU!$G$2:$G$29999,,0,1)</f>
        <v>13184</v>
      </c>
      <c r="G250" s="99">
        <f ca="1">_xlfn.XLOOKUP(P250,APU!$B$2:$B$29999,APU!$G$2:$G$29999,,0,1)</f>
        <v>622.94781249999994</v>
      </c>
      <c r="H250" s="99">
        <f ca="1">_xlfn.XLOOKUP(Q250,APU!$B$2:$B$29999,APU!$G$2:$G$29999,,0,1)</f>
        <v>6351.7871280942336</v>
      </c>
      <c r="I250" s="81">
        <f t="shared" ref="I250" ca="1" si="292">+(F250+G250+H250)</f>
        <v>20158.734940594233</v>
      </c>
      <c r="J250" s="80">
        <f t="shared" ref="J250" ca="1" si="293">+E250*F250</f>
        <v>395520</v>
      </c>
      <c r="K250" s="80">
        <f t="shared" ref="K250" ca="1" si="294">+G250*E250</f>
        <v>18688.434374999997</v>
      </c>
      <c r="L250" s="80">
        <f t="shared" ref="L250" ca="1" si="295">+H250*E250</f>
        <v>190553.61384282701</v>
      </c>
      <c r="M250" s="82">
        <f t="shared" ref="M250" ca="1" si="296">SUM(J250:L250)</f>
        <v>604762.04821782699</v>
      </c>
      <c r="N250" s="1">
        <v>9017358</v>
      </c>
      <c r="O250" s="94" t="str">
        <f t="shared" si="239"/>
        <v>265D173D-V</v>
      </c>
      <c r="P250" s="94" t="str">
        <f t="shared" si="240"/>
        <v>265D173D-ae</v>
      </c>
      <c r="Q250" s="94" t="str">
        <f t="shared" si="241"/>
        <v>265D173D-ak</v>
      </c>
    </row>
    <row r="251" spans="1:17">
      <c r="A251" s="220">
        <f ca="1">HYPERLINK("#"&amp;CELL("direccion",APU!A10650),IF(E251&gt;0,A250+1,""))</f>
        <v>242</v>
      </c>
      <c r="B251" s="96" t="s">
        <v>1699</v>
      </c>
      <c r="C251" s="83" t="s">
        <v>1698</v>
      </c>
      <c r="D251" s="74" t="s">
        <v>7</v>
      </c>
      <c r="E251" s="206">
        <v>12</v>
      </c>
      <c r="F251" s="99">
        <f ca="1">_xlfn.XLOOKUP(O251,APU!$B$2:$B$29999,APU!$G$2:$G$29999,,0,1)</f>
        <v>558168</v>
      </c>
      <c r="G251" s="99">
        <f ca="1">_xlfn.XLOOKUP(P251,APU!$B$2:$B$29999,APU!$G$2:$G$29999,,0,1)</f>
        <v>7585.8312499999984</v>
      </c>
      <c r="H251" s="99">
        <f ca="1">_xlfn.XLOOKUP(Q251,APU!$B$2:$B$29999,APU!$G$2:$G$29999,,0,1)</f>
        <v>65332.667603254966</v>
      </c>
      <c r="I251" s="81">
        <f t="shared" ref="I251" ca="1" si="297">+(F251+G251+H251)</f>
        <v>631086.49885325506</v>
      </c>
      <c r="J251" s="80">
        <f t="shared" ref="J251" ca="1" si="298">+E251*F251</f>
        <v>6698016</v>
      </c>
      <c r="K251" s="80">
        <f t="shared" ref="K251" ca="1" si="299">+G251*E251</f>
        <v>91029.974999999977</v>
      </c>
      <c r="L251" s="80">
        <f t="shared" ref="L251" ca="1" si="300">+H251*E251</f>
        <v>783992.01123905962</v>
      </c>
      <c r="M251" s="82">
        <f t="shared" ref="M251" ca="1" si="301">SUM(J251:L251)</f>
        <v>7573037.9862390589</v>
      </c>
      <c r="N251" s="1">
        <v>8476217</v>
      </c>
      <c r="O251" s="94" t="str">
        <f t="shared" si="239"/>
        <v>248B5690-V</v>
      </c>
      <c r="P251" s="94" t="str">
        <f t="shared" si="240"/>
        <v>248B5690-ae</v>
      </c>
      <c r="Q251" s="94" t="str">
        <f t="shared" si="241"/>
        <v>248B5690-ak</v>
      </c>
    </row>
    <row r="252" spans="1:17">
      <c r="A252" s="220">
        <f ca="1">HYPERLINK("#"&amp;CELL("direccion",APU!A10694),IF(E252&gt;0,A251+1,""))</f>
        <v>243</v>
      </c>
      <c r="B252" s="96" t="s">
        <v>1701</v>
      </c>
      <c r="C252" s="83" t="s">
        <v>1700</v>
      </c>
      <c r="D252" s="74" t="s">
        <v>7</v>
      </c>
      <c r="E252" s="206">
        <v>15</v>
      </c>
      <c r="F252" s="99">
        <f ca="1">_xlfn.XLOOKUP(O252,APU!$B$2:$B$29999,APU!$G$2:$G$29999,,0,1)</f>
        <v>22403</v>
      </c>
      <c r="G252" s="99">
        <f ca="1">_xlfn.XLOOKUP(P252,APU!$B$2:$B$29999,APU!$G$2:$G$29999,,0,1)</f>
        <v>622.94781249999994</v>
      </c>
      <c r="H252" s="99">
        <f ca="1">_xlfn.XLOOKUP(Q252,APU!$B$2:$B$29999,APU!$G$2:$G$29999,,0,1)</f>
        <v>9164.7214276788218</v>
      </c>
      <c r="I252" s="81">
        <f t="shared" ref="I252" ca="1" si="302">+(F252+G252+H252)</f>
        <v>32190.66924017882</v>
      </c>
      <c r="J252" s="80">
        <f t="shared" ref="J252" ca="1" si="303">+E252*F252</f>
        <v>336045</v>
      </c>
      <c r="K252" s="80">
        <f t="shared" ref="K252" ca="1" si="304">+G252*E252</f>
        <v>9344.2171874999985</v>
      </c>
      <c r="L252" s="80">
        <f t="shared" ref="L252" ca="1" si="305">+H252*E252</f>
        <v>137470.82141518232</v>
      </c>
      <c r="M252" s="82">
        <f t="shared" ref="M252" ca="1" si="306">SUM(J252:L252)</f>
        <v>482860.0386026823</v>
      </c>
      <c r="N252" s="1">
        <v>9785523</v>
      </c>
      <c r="O252" s="94" t="str">
        <f t="shared" si="239"/>
        <v>21C135B5-V</v>
      </c>
      <c r="P252" s="94" t="str">
        <f t="shared" si="240"/>
        <v>21C135B5-ae</v>
      </c>
      <c r="Q252" s="94" t="str">
        <f t="shared" si="241"/>
        <v>21C135B5-ak</v>
      </c>
    </row>
    <row r="253" spans="1:17">
      <c r="A253" s="220">
        <f ca="1">HYPERLINK("#"&amp;CELL("direccion",APU!A10738),IF(E253&gt;0,A252+1,""))</f>
        <v>244</v>
      </c>
      <c r="B253" s="96" t="s">
        <v>1704</v>
      </c>
      <c r="C253" s="83" t="s">
        <v>1707</v>
      </c>
      <c r="D253" s="74" t="s">
        <v>7</v>
      </c>
      <c r="E253" s="206">
        <v>32</v>
      </c>
      <c r="F253" s="99">
        <f ca="1">_xlfn.XLOOKUP(O253,APU!$B$2:$B$29999,APU!$G$2:$G$29999,,0,1)</f>
        <v>3888</v>
      </c>
      <c r="G253" s="99">
        <f ca="1">_xlfn.XLOOKUP(P253,APU!$B$2:$B$29999,APU!$G$2:$G$29999,,0,1)</f>
        <v>159.30683499999998</v>
      </c>
      <c r="H253" s="99">
        <f ca="1">_xlfn.XLOOKUP(Q253,APU!$B$2:$B$29999,APU!$G$2:$G$29999,,0,1)</f>
        <v>3085.1537479314848</v>
      </c>
      <c r="I253" s="81">
        <f t="shared" ref="I253" ca="1" si="307">+(F253+G253+H253)</f>
        <v>7132.4605829314842</v>
      </c>
      <c r="J253" s="80">
        <f t="shared" ref="J253" ca="1" si="308">+E253*F253</f>
        <v>124416</v>
      </c>
      <c r="K253" s="80">
        <f t="shared" ref="K253" ca="1" si="309">+G253*E253</f>
        <v>5097.8187199999993</v>
      </c>
      <c r="L253" s="80">
        <f t="shared" ref="L253" ca="1" si="310">+H253*E253</f>
        <v>98724.919933807512</v>
      </c>
      <c r="M253" s="82">
        <f t="shared" ref="M253" ca="1" si="311">SUM(J253:L253)</f>
        <v>228238.73865380749</v>
      </c>
      <c r="N253" s="1">
        <v>7789876</v>
      </c>
      <c r="O253" s="94" t="str">
        <f t="shared" si="239"/>
        <v>103EA7E3-V</v>
      </c>
      <c r="P253" s="94" t="str">
        <f t="shared" si="240"/>
        <v>103EA7E3-ae</v>
      </c>
      <c r="Q253" s="94" t="str">
        <f t="shared" si="241"/>
        <v>103EA7E3-ak</v>
      </c>
    </row>
    <row r="254" spans="1:17">
      <c r="A254" s="220">
        <f ca="1">HYPERLINK("#"&amp;CELL("direccion",APU!A10784),IF(E254&gt;0,A253+1,""))</f>
        <v>245</v>
      </c>
      <c r="B254" s="96" t="s">
        <v>1709</v>
      </c>
      <c r="C254" s="83" t="s">
        <v>1708</v>
      </c>
      <c r="D254" s="74" t="s">
        <v>7</v>
      </c>
      <c r="E254" s="206">
        <v>15</v>
      </c>
      <c r="F254" s="99">
        <f ca="1">_xlfn.XLOOKUP(O254,APU!$B$2:$B$29999,APU!$G$2:$G$29999,,0,1)</f>
        <v>31930.5</v>
      </c>
      <c r="G254" s="99">
        <f ca="1">_xlfn.XLOOKUP(P254,APU!$B$2:$B$29999,APU!$G$2:$G$29999,,0,1)</f>
        <v>1908.6406249999998</v>
      </c>
      <c r="H254" s="99">
        <f ca="1">_xlfn.XLOOKUP(Q254,APU!$B$2:$B$29999,APU!$G$2:$G$29999,,0,1)</f>
        <v>45218.568790062847</v>
      </c>
      <c r="I254" s="81">
        <f t="shared" ref="I254:I256" ca="1" si="312">+(F254+G254+H254)</f>
        <v>79057.709415062855</v>
      </c>
      <c r="J254" s="80">
        <f t="shared" ref="J254:J256" ca="1" si="313">+E254*F254</f>
        <v>478957.5</v>
      </c>
      <c r="K254" s="80">
        <f t="shared" ref="K254:K256" ca="1" si="314">+G254*E254</f>
        <v>28629.609374999996</v>
      </c>
      <c r="L254" s="80">
        <f t="shared" ref="L254:L256" ca="1" si="315">+H254*E254</f>
        <v>678278.53185094276</v>
      </c>
      <c r="M254" s="82">
        <f t="shared" ref="M254:M256" ca="1" si="316">SUM(J254:L254)</f>
        <v>1185865.6412259429</v>
      </c>
      <c r="N254" s="1">
        <v>8531895</v>
      </c>
      <c r="O254" s="94" t="str">
        <f t="shared" si="239"/>
        <v>195FAE5A-V</v>
      </c>
      <c r="P254" s="94" t="str">
        <f t="shared" si="240"/>
        <v>195FAE5A-ae</v>
      </c>
      <c r="Q254" s="94" t="str">
        <f t="shared" si="241"/>
        <v>195FAE5A-ak</v>
      </c>
    </row>
    <row r="255" spans="1:17">
      <c r="A255" s="220">
        <f ca="1">HYPERLINK("#"&amp;CELL("direccion",APU!A10826),IF(E255&gt;0,A254+1,""))</f>
        <v>246</v>
      </c>
      <c r="B255" s="96" t="s">
        <v>1713</v>
      </c>
      <c r="C255" s="83" t="s">
        <v>1712</v>
      </c>
      <c r="D255" s="74" t="s">
        <v>9</v>
      </c>
      <c r="E255" s="206">
        <v>1</v>
      </c>
      <c r="F255" s="99">
        <f ca="1">_xlfn.XLOOKUP(O255,APU!$B$2:$B$29999,APU!$G$2:$G$29999,,0,1)</f>
        <v>759240</v>
      </c>
      <c r="G255" s="99">
        <f ca="1">_xlfn.XLOOKUP(P255,APU!$B$2:$B$29999,APU!$G$2:$G$29999,,0,1)</f>
        <v>9291.4249999999993</v>
      </c>
      <c r="H255" s="99">
        <f ca="1">_xlfn.XLOOKUP(Q255,APU!$B$2:$B$29999,APU!$G$2:$G$29999,,0,1)</f>
        <v>90235.351889788231</v>
      </c>
      <c r="I255" s="81">
        <f t="shared" ca="1" si="312"/>
        <v>858766.77688978822</v>
      </c>
      <c r="J255" s="80">
        <f t="shared" ca="1" si="313"/>
        <v>759240</v>
      </c>
      <c r="K255" s="80">
        <f t="shared" ca="1" si="314"/>
        <v>9291.4249999999993</v>
      </c>
      <c r="L255" s="80">
        <f t="shared" ca="1" si="315"/>
        <v>90235.351889788231</v>
      </c>
      <c r="M255" s="82">
        <f t="shared" ca="1" si="316"/>
        <v>858766.77688978822</v>
      </c>
      <c r="N255" s="1">
        <v>9572103</v>
      </c>
      <c r="O255" s="94" t="str">
        <f t="shared" si="239"/>
        <v>36E2F193-V</v>
      </c>
      <c r="P255" s="94" t="str">
        <f t="shared" si="240"/>
        <v>36E2F193-ae</v>
      </c>
      <c r="Q255" s="94" t="str">
        <f t="shared" si="241"/>
        <v>36E2F193-ak</v>
      </c>
    </row>
    <row r="256" spans="1:17">
      <c r="A256" s="220">
        <f ca="1">HYPERLINK("#"&amp;CELL("direccion",APU!A10870),IF(E256&gt;0,A255+1,""))</f>
        <v>247</v>
      </c>
      <c r="B256" s="96" t="s">
        <v>1715</v>
      </c>
      <c r="C256" s="83" t="s">
        <v>1714</v>
      </c>
      <c r="D256" s="74" t="s">
        <v>9</v>
      </c>
      <c r="E256" s="206">
        <v>1</v>
      </c>
      <c r="F256" s="99">
        <f ca="1">_xlfn.XLOOKUP(O256,APU!$B$2:$B$29999,APU!$G$2:$G$29999,,0,1)</f>
        <v>118800</v>
      </c>
      <c r="G256" s="99">
        <f ca="1">_xlfn.XLOOKUP(P256,APU!$B$2:$B$29999,APU!$G$2:$G$29999,,0,1)</f>
        <v>8000.046875</v>
      </c>
      <c r="H256" s="99">
        <f ca="1">_xlfn.XLOOKUP(Q256,APU!$B$2:$B$29999,APU!$G$2:$G$29999,,0,1)</f>
        <v>40580.685139112509</v>
      </c>
      <c r="I256" s="81">
        <f t="shared" ca="1" si="312"/>
        <v>167380.73201411252</v>
      </c>
      <c r="J256" s="80">
        <f t="shared" ca="1" si="313"/>
        <v>118800</v>
      </c>
      <c r="K256" s="80">
        <f t="shared" ca="1" si="314"/>
        <v>8000.046875</v>
      </c>
      <c r="L256" s="80">
        <f t="shared" ca="1" si="315"/>
        <v>40580.685139112509</v>
      </c>
      <c r="M256" s="82">
        <f t="shared" ca="1" si="316"/>
        <v>167380.73201411252</v>
      </c>
      <c r="N256" s="1">
        <v>6955404</v>
      </c>
      <c r="O256" s="94" t="str">
        <f t="shared" si="239"/>
        <v>10F3868D-V</v>
      </c>
      <c r="P256" s="94" t="str">
        <f t="shared" si="240"/>
        <v>10F3868D-ae</v>
      </c>
      <c r="Q256" s="94" t="str">
        <f t="shared" si="241"/>
        <v>10F3868D-ak</v>
      </c>
    </row>
    <row r="257" spans="1:17" ht="27">
      <c r="A257" s="220">
        <f ca="1">HYPERLINK("#"&amp;CELL("direccion",APU!A10914),IF(E257&gt;0,A256+1,""))</f>
        <v>248</v>
      </c>
      <c r="B257" s="96" t="s">
        <v>1718</v>
      </c>
      <c r="C257" s="83" t="s">
        <v>1736</v>
      </c>
      <c r="D257" s="74" t="s">
        <v>9</v>
      </c>
      <c r="E257" s="206">
        <v>5</v>
      </c>
      <c r="F257" s="99">
        <f ca="1">_xlfn.XLOOKUP(O257,APU!$B$2:$B$29999,APU!$G$2:$G$29999,,0,1)</f>
        <v>23844</v>
      </c>
      <c r="G257" s="99">
        <f ca="1">_xlfn.XLOOKUP(P257,APU!$B$2:$B$29999,APU!$G$2:$G$29999,,0,1)</f>
        <v>1879.401875</v>
      </c>
      <c r="H257" s="99">
        <f ca="1">_xlfn.XLOOKUP(Q257,APU!$B$2:$B$29999,APU!$G$2:$G$29999,,0,1)</f>
        <v>5444.3889669379132</v>
      </c>
      <c r="I257" s="81">
        <f t="shared" ref="I257" ca="1" si="317">+(F257+G257+H257)</f>
        <v>31167.790841937913</v>
      </c>
      <c r="J257" s="80">
        <f t="shared" ref="J257" ca="1" si="318">+E257*F257</f>
        <v>119220</v>
      </c>
      <c r="K257" s="80">
        <f t="shared" ref="K257" ca="1" si="319">+G257*E257</f>
        <v>9397.0093749999996</v>
      </c>
      <c r="L257" s="80">
        <f t="shared" ref="L257" ca="1" si="320">+H257*E257</f>
        <v>27221.944834689566</v>
      </c>
      <c r="M257" s="82">
        <f t="shared" ref="M257" ca="1" si="321">SUM(J257:L257)</f>
        <v>155838.95420968957</v>
      </c>
      <c r="N257" s="1">
        <v>5419624</v>
      </c>
      <c r="O257" s="94" t="str">
        <f t="shared" si="239"/>
        <v>14C50884-V</v>
      </c>
      <c r="P257" s="94" t="str">
        <f t="shared" si="240"/>
        <v>14C50884-ae</v>
      </c>
      <c r="Q257" s="94" t="str">
        <f t="shared" si="241"/>
        <v>14C50884-ak</v>
      </c>
    </row>
    <row r="258" spans="1:17">
      <c r="A258" s="220">
        <f ca="1">HYPERLINK("#"&amp;CELL("direccion",APU!A10958),IF(E258&gt;0,A257+1,""))</f>
        <v>249</v>
      </c>
      <c r="B258" s="96" t="s">
        <v>1721</v>
      </c>
      <c r="C258" s="83" t="s">
        <v>1734</v>
      </c>
      <c r="D258" s="74" t="s">
        <v>9</v>
      </c>
      <c r="E258" s="206">
        <v>2</v>
      </c>
      <c r="F258" s="99">
        <f ca="1">_xlfn.XLOOKUP(O258,APU!$B$2:$B$29999,APU!$G$2:$G$29999,,0,1)</f>
        <v>112300</v>
      </c>
      <c r="G258" s="99">
        <f ca="1">_xlfn.XLOOKUP(P258,APU!$B$2:$B$29999,APU!$G$2:$G$29999,,0,1)</f>
        <v>2269.2518749999999</v>
      </c>
      <c r="H258" s="99">
        <f ca="1">_xlfn.XLOOKUP(Q258,APU!$B$2:$B$29999,APU!$G$2:$G$29999,,0,1)</f>
        <v>10888.777933875826</v>
      </c>
      <c r="I258" s="81">
        <f t="shared" ref="I258" ca="1" si="322">+(F258+G258+H258)</f>
        <v>125458.02980887583</v>
      </c>
      <c r="J258" s="80">
        <f t="shared" ref="J258" ca="1" si="323">+E258*F258</f>
        <v>224600</v>
      </c>
      <c r="K258" s="80">
        <f t="shared" ref="K258" ca="1" si="324">+G258*E258</f>
        <v>4538.5037499999999</v>
      </c>
      <c r="L258" s="80">
        <f t="shared" ref="L258" ca="1" si="325">+H258*E258</f>
        <v>21777.555867751653</v>
      </c>
      <c r="M258" s="82">
        <f t="shared" ref="M258" ca="1" si="326">SUM(J258:L258)</f>
        <v>250916.05961775166</v>
      </c>
      <c r="N258" s="1">
        <v>2922977</v>
      </c>
      <c r="O258" s="94" t="str">
        <f t="shared" si="239"/>
        <v>4B8ECE5-V</v>
      </c>
      <c r="P258" s="94" t="str">
        <f t="shared" si="240"/>
        <v>4B8ECE5-ae</v>
      </c>
      <c r="Q258" s="94" t="str">
        <f t="shared" si="241"/>
        <v>4B8ECE5-ak</v>
      </c>
    </row>
    <row r="259" spans="1:17">
      <c r="A259" s="220">
        <f ca="1">HYPERLINK("#"&amp;CELL("direccion",APU!A11002),IF(E259&gt;0,A258+1,""))</f>
        <v>250</v>
      </c>
      <c r="B259" s="96" t="s">
        <v>1725</v>
      </c>
      <c r="C259" s="83" t="s">
        <v>1735</v>
      </c>
      <c r="D259" s="74" t="s">
        <v>9</v>
      </c>
      <c r="E259" s="206">
        <v>2</v>
      </c>
      <c r="F259" s="99">
        <f ca="1">_xlfn.XLOOKUP(O259,APU!$B$2:$B$29999,APU!$G$2:$G$29999,,0,1)</f>
        <v>207560</v>
      </c>
      <c r="G259" s="99">
        <f ca="1">_xlfn.XLOOKUP(P259,APU!$B$2:$B$29999,APU!$G$2:$G$29999,,0,1)</f>
        <v>2659.1018749999998</v>
      </c>
      <c r="H259" s="99">
        <f ca="1">_xlfn.XLOOKUP(Q259,APU!$B$2:$B$29999,APU!$G$2:$G$29999,,0,1)</f>
        <v>16333.166900813741</v>
      </c>
      <c r="I259" s="81">
        <f t="shared" ref="I259" ca="1" si="327">+(F259+G259+H259)</f>
        <v>226552.26877581375</v>
      </c>
      <c r="J259" s="80">
        <f t="shared" ref="J259" ca="1" si="328">+E259*F259</f>
        <v>415120</v>
      </c>
      <c r="K259" s="80">
        <f t="shared" ref="K259" ca="1" si="329">+G259*E259</f>
        <v>5318.2037499999997</v>
      </c>
      <c r="L259" s="80">
        <f t="shared" ref="L259" ca="1" si="330">+H259*E259</f>
        <v>32666.333801627483</v>
      </c>
      <c r="M259" s="82">
        <f t="shared" ref="M259" ca="1" si="331">SUM(J259:L259)</f>
        <v>453104.53755162749</v>
      </c>
      <c r="N259" s="1">
        <v>2815100</v>
      </c>
      <c r="O259" s="94" t="str">
        <f t="shared" si="239"/>
        <v>63D95D2-V</v>
      </c>
      <c r="P259" s="94" t="str">
        <f t="shared" si="240"/>
        <v>63D95D2-ae</v>
      </c>
      <c r="Q259" s="94" t="str">
        <f t="shared" si="241"/>
        <v>63D95D2-ak</v>
      </c>
    </row>
    <row r="260" spans="1:17">
      <c r="A260" s="220">
        <f ca="1">HYPERLINK("#"&amp;CELL("direccion",APU!A11046),IF(E260&gt;0,A259+1,""))</f>
        <v>251</v>
      </c>
      <c r="B260" s="96" t="s">
        <v>1728</v>
      </c>
      <c r="C260" s="83" t="s">
        <v>1737</v>
      </c>
      <c r="D260" s="74" t="s">
        <v>9</v>
      </c>
      <c r="E260" s="206">
        <v>3</v>
      </c>
      <c r="F260" s="99">
        <f ca="1">_xlfn.XLOOKUP(O260,APU!$B$2:$B$29999,APU!$G$2:$G$29999,,0,1)</f>
        <v>247630</v>
      </c>
      <c r="G260" s="99">
        <f ca="1">_xlfn.XLOOKUP(P260,APU!$B$2:$B$29999,APU!$G$2:$G$29999,,0,1)</f>
        <v>2659.1018749999998</v>
      </c>
      <c r="H260" s="99">
        <f ca="1">_xlfn.XLOOKUP(Q260,APU!$B$2:$B$29999,APU!$G$2:$G$29999,,0,1)</f>
        <v>16333.166900813741</v>
      </c>
      <c r="I260" s="81">
        <f t="shared" ref="I260" ca="1" si="332">+(F260+G260+H260)</f>
        <v>266622.26877581375</v>
      </c>
      <c r="J260" s="80">
        <f t="shared" ref="J260" ca="1" si="333">+E260*F260</f>
        <v>742890</v>
      </c>
      <c r="K260" s="80">
        <f t="shared" ref="K260" ca="1" si="334">+G260*E260</f>
        <v>7977.3056249999991</v>
      </c>
      <c r="L260" s="80">
        <f t="shared" ref="L260" ca="1" si="335">+H260*E260</f>
        <v>48999.500702441226</v>
      </c>
      <c r="M260" s="82">
        <f t="shared" ref="M260" ca="1" si="336">SUM(J260:L260)</f>
        <v>799866.80632744124</v>
      </c>
      <c r="N260" s="1">
        <v>7703620</v>
      </c>
      <c r="O260" s="94" t="str">
        <f t="shared" si="239"/>
        <v>356CE6F8-V</v>
      </c>
      <c r="P260" s="94" t="str">
        <f t="shared" si="240"/>
        <v>356CE6F8-ae</v>
      </c>
      <c r="Q260" s="94" t="str">
        <f t="shared" si="241"/>
        <v>356CE6F8-ak</v>
      </c>
    </row>
    <row r="261" spans="1:17">
      <c r="A261" s="220">
        <f ca="1">HYPERLINK("#"&amp;CELL("direccion",APU!A11090),IF(E261&gt;0,A260+1,""))</f>
        <v>252</v>
      </c>
      <c r="B261" s="96" t="s">
        <v>1731</v>
      </c>
      <c r="C261" s="83" t="s">
        <v>1738</v>
      </c>
      <c r="D261" s="74" t="s">
        <v>9</v>
      </c>
      <c r="E261" s="206">
        <v>12</v>
      </c>
      <c r="F261" s="99">
        <f ca="1">_xlfn.XLOOKUP(O261,APU!$B$2:$B$29999,APU!$G$2:$G$29999,,0,1)</f>
        <v>88801</v>
      </c>
      <c r="G261" s="99">
        <f ca="1">_xlfn.XLOOKUP(P261,APU!$B$2:$B$29999,APU!$G$2:$G$29999,,0,1)</f>
        <v>3076.8911249999992</v>
      </c>
      <c r="H261" s="99">
        <f ca="1">_xlfn.XLOOKUP(Q261,APU!$B$2:$B$29999,APU!$G$2:$G$29999,,0,1)</f>
        <v>45369.908057815948</v>
      </c>
      <c r="I261" s="81">
        <f t="shared" ref="I261" ca="1" si="337">+(F261+G261+H261)</f>
        <v>137247.79918281594</v>
      </c>
      <c r="J261" s="80">
        <f t="shared" ref="J261" ca="1" si="338">+E261*F261</f>
        <v>1065612</v>
      </c>
      <c r="K261" s="80">
        <f t="shared" ref="K261" ca="1" si="339">+G261*E261</f>
        <v>36922.693499999994</v>
      </c>
      <c r="L261" s="80">
        <f t="shared" ref="L261" ca="1" si="340">+H261*E261</f>
        <v>544438.89669379138</v>
      </c>
      <c r="M261" s="82">
        <f t="shared" ref="M261" ca="1" si="341">SUM(J261:L261)</f>
        <v>1646973.5901937913</v>
      </c>
      <c r="N261" s="1">
        <v>2722369</v>
      </c>
      <c r="O261" s="94" t="str">
        <f t="shared" ref="O261:O303" si="342">_xlfn.CONCAT(B261,"V")</f>
        <v>1CCFCD7F-V</v>
      </c>
      <c r="P261" s="94" t="str">
        <f t="shared" ref="P261:P303" si="343">_xlfn.CONCAT(B261,"ae")</f>
        <v>1CCFCD7F-ae</v>
      </c>
      <c r="Q261" s="94" t="str">
        <f t="shared" ref="Q261:Q303" si="344">_xlfn.CONCAT(B261,"ak")</f>
        <v>1CCFCD7F-ak</v>
      </c>
    </row>
    <row r="262" spans="1:17">
      <c r="A262" s="220">
        <f ca="1">HYPERLINK("#"&amp;CELL("direccion",APU!A11134),IF(E262&gt;0,A261+1,""))</f>
        <v>253</v>
      </c>
      <c r="B262" s="96" t="s">
        <v>1732</v>
      </c>
      <c r="C262" s="83" t="s">
        <v>1739</v>
      </c>
      <c r="D262" s="74" t="s">
        <v>9</v>
      </c>
      <c r="E262" s="206">
        <v>6</v>
      </c>
      <c r="F262" s="99">
        <f ca="1">_xlfn.XLOOKUP(O262,APU!$B$2:$B$29999,APU!$G$2:$G$29999,,0,1)</f>
        <v>88801</v>
      </c>
      <c r="G262" s="99">
        <f ca="1">_xlfn.XLOOKUP(P262,APU!$B$2:$B$29999,APU!$G$2:$G$29999,,0,1)</f>
        <v>2800.7473749999995</v>
      </c>
      <c r="H262" s="99">
        <f ca="1">_xlfn.XLOOKUP(Q262,APU!$B$2:$B$29999,APU!$G$2:$G$29999,,0,1)</f>
        <v>40832.917252034356</v>
      </c>
      <c r="I262" s="81">
        <f t="shared" ref="I262" ca="1" si="345">+(F262+G262+H262)</f>
        <v>132434.66462703436</v>
      </c>
      <c r="J262" s="80">
        <f t="shared" ref="J262" ca="1" si="346">+E262*F262</f>
        <v>532806</v>
      </c>
      <c r="K262" s="80">
        <f t="shared" ref="K262" ca="1" si="347">+G262*E262</f>
        <v>16804.484249999998</v>
      </c>
      <c r="L262" s="80">
        <f t="shared" ref="L262" ca="1" si="348">+H262*E262</f>
        <v>244997.50351220614</v>
      </c>
      <c r="M262" s="82">
        <f t="shared" ref="M262" ca="1" si="349">SUM(J262:L262)</f>
        <v>794607.98776220612</v>
      </c>
      <c r="N262" s="1">
        <v>4108426</v>
      </c>
      <c r="O262" s="94" t="str">
        <f t="shared" si="342"/>
        <v>1CCFCD8F-V</v>
      </c>
      <c r="P262" s="94" t="str">
        <f t="shared" si="343"/>
        <v>1CCFCD8F-ae</v>
      </c>
      <c r="Q262" s="94" t="str">
        <f t="shared" si="344"/>
        <v>1CCFCD8F-ak</v>
      </c>
    </row>
    <row r="263" spans="1:17">
      <c r="A263" s="220">
        <f ca="1">HYPERLINK("#"&amp;CELL("direccion",APU!A11178),IF(E263&gt;0,A262+1,""))</f>
        <v>254</v>
      </c>
      <c r="B263" s="96" t="s">
        <v>1733</v>
      </c>
      <c r="C263" s="83" t="s">
        <v>1740</v>
      </c>
      <c r="D263" s="74" t="s">
        <v>9</v>
      </c>
      <c r="E263" s="206">
        <v>7</v>
      </c>
      <c r="F263" s="99">
        <f ca="1">_xlfn.XLOOKUP(O263,APU!$B$2:$B$29999,APU!$G$2:$G$29999,,0,1)</f>
        <v>255763.1</v>
      </c>
      <c r="G263" s="99">
        <f ca="1">_xlfn.XLOOKUP(P263,APU!$B$2:$B$29999,APU!$G$2:$G$29999,,0,1)</f>
        <v>3044.4036249999995</v>
      </c>
      <c r="H263" s="99">
        <f ca="1">_xlfn.XLOOKUP(Q263,APU!$B$2:$B$29999,APU!$G$2:$G$29999,,0,1)</f>
        <v>54443.889669379139</v>
      </c>
      <c r="I263" s="81">
        <f t="shared" ref="I263" ca="1" si="350">+(F263+G263+H263)</f>
        <v>313251.39329437917</v>
      </c>
      <c r="J263" s="80">
        <f t="shared" ref="J263" ca="1" si="351">+E263*F263</f>
        <v>1790341.7</v>
      </c>
      <c r="K263" s="80">
        <f t="shared" ref="K263" ca="1" si="352">+G263*E263</f>
        <v>21310.825374999997</v>
      </c>
      <c r="L263" s="80">
        <f t="shared" ref="L263" ca="1" si="353">+H263*E263</f>
        <v>381107.22768565395</v>
      </c>
      <c r="M263" s="82">
        <f t="shared" ref="M263" ca="1" si="354">SUM(J263:L263)</f>
        <v>2192759.7530606538</v>
      </c>
      <c r="N263" s="1">
        <v>3210811</v>
      </c>
      <c r="O263" s="94" t="str">
        <f t="shared" si="342"/>
        <v>1CC10D9F-V</v>
      </c>
      <c r="P263" s="94" t="str">
        <f t="shared" si="343"/>
        <v>1CC10D9F-ae</v>
      </c>
      <c r="Q263" s="94" t="str">
        <f t="shared" si="344"/>
        <v>1CC10D9F-ak</v>
      </c>
    </row>
    <row r="264" spans="1:17">
      <c r="A264" s="220">
        <f ca="1">HYPERLINK("#"&amp;CELL("direccion",APU!A11222),IF(E264&gt;0,A263+1,""))</f>
        <v>255</v>
      </c>
      <c r="B264" s="96" t="s">
        <v>1741</v>
      </c>
      <c r="C264" s="83" t="s">
        <v>1742</v>
      </c>
      <c r="D264" s="74" t="s">
        <v>9</v>
      </c>
      <c r="E264" s="206">
        <v>4</v>
      </c>
      <c r="F264" s="99">
        <f ca="1">_xlfn.XLOOKUP(O264,APU!$B$2:$B$29999,APU!$G$2:$G$29999,,0,1)</f>
        <v>162127.30000000002</v>
      </c>
      <c r="G264" s="99">
        <f ca="1">_xlfn.XLOOKUP(P264,APU!$B$2:$B$29999,APU!$G$2:$G$29999,,0,1)</f>
        <v>2681.8431249999994</v>
      </c>
      <c r="H264" s="99">
        <f ca="1">_xlfn.XLOOKUP(Q264,APU!$B$2:$B$29999,APU!$G$2:$G$29999,,0,1)</f>
        <v>40832.917252034356</v>
      </c>
      <c r="I264" s="81">
        <f t="shared" ref="I264" ca="1" si="355">+(F264+G264+H264)</f>
        <v>205642.06037703436</v>
      </c>
      <c r="J264" s="80">
        <f t="shared" ref="J264" ca="1" si="356">+E264*F264</f>
        <v>648509.20000000007</v>
      </c>
      <c r="K264" s="80">
        <f t="shared" ref="K264" ca="1" si="357">+G264*E264</f>
        <v>10727.372499999998</v>
      </c>
      <c r="L264" s="80">
        <f t="shared" ref="L264" ca="1" si="358">+H264*E264</f>
        <v>163331.66900813743</v>
      </c>
      <c r="M264" s="82">
        <f t="shared" ref="M264" ca="1" si="359">SUM(J264:L264)</f>
        <v>822568.24150813743</v>
      </c>
      <c r="N264" s="1">
        <v>7012106</v>
      </c>
      <c r="O264" s="94" t="str">
        <f t="shared" si="342"/>
        <v>1FF56743-V</v>
      </c>
      <c r="P264" s="94" t="str">
        <f t="shared" si="343"/>
        <v>1FF56743-ae</v>
      </c>
      <c r="Q264" s="94" t="str">
        <f t="shared" si="344"/>
        <v>1FF56743-ak</v>
      </c>
    </row>
    <row r="265" spans="1:17">
      <c r="A265" s="220">
        <f ca="1">HYPERLINK("#"&amp;CELL("direccion",APU!A11266),IF(E265&gt;0,A264+1,""))</f>
        <v>256</v>
      </c>
      <c r="B265" s="96" t="s">
        <v>1744</v>
      </c>
      <c r="C265" s="83" t="s">
        <v>1745</v>
      </c>
      <c r="D265" s="74" t="s">
        <v>9</v>
      </c>
      <c r="E265" s="206">
        <v>5</v>
      </c>
      <c r="F265" s="99">
        <f ca="1">_xlfn.XLOOKUP(O265,APU!$B$2:$B$29999,APU!$G$2:$G$29999,,0,1)</f>
        <v>165739.30000000002</v>
      </c>
      <c r="G265" s="99">
        <f ca="1">_xlfn.XLOOKUP(P265,APU!$B$2:$B$29999,APU!$G$2:$G$29999,,0,1)</f>
        <v>2678.9192499999995</v>
      </c>
      <c r="H265" s="99">
        <f ca="1">_xlfn.XLOOKUP(Q265,APU!$B$2:$B$29999,APU!$G$2:$G$29999,,0,1)</f>
        <v>40832.917252034356</v>
      </c>
      <c r="I265" s="81">
        <f t="shared" ref="I265" ca="1" si="360">+(F265+G265+H265)</f>
        <v>209251.13650203438</v>
      </c>
      <c r="J265" s="80">
        <f t="shared" ref="J265" ca="1" si="361">+E265*F265</f>
        <v>828696.50000000012</v>
      </c>
      <c r="K265" s="80">
        <f t="shared" ref="K265" ca="1" si="362">+G265*E265</f>
        <v>13394.596249999997</v>
      </c>
      <c r="L265" s="80">
        <f t="shared" ref="L265" ca="1" si="363">+H265*E265</f>
        <v>204164.58626017178</v>
      </c>
      <c r="M265" s="82">
        <f t="shared" ref="M265" ca="1" si="364">SUM(J265:L265)</f>
        <v>1046255.6825101718</v>
      </c>
      <c r="N265" s="1">
        <v>7900853</v>
      </c>
      <c r="O265" s="94" t="str">
        <f t="shared" si="342"/>
        <v>FE32DA2-V</v>
      </c>
      <c r="P265" s="94" t="str">
        <f t="shared" si="343"/>
        <v>FE32DA2-ae</v>
      </c>
      <c r="Q265" s="94" t="str">
        <f t="shared" si="344"/>
        <v>FE32DA2-ak</v>
      </c>
    </row>
    <row r="266" spans="1:17">
      <c r="A266" s="220">
        <f ca="1">HYPERLINK("#"&amp;CELL("direccion",APU!A11310),IF(E266&gt;0,A265+1,""))</f>
        <v>257</v>
      </c>
      <c r="B266" s="96" t="s">
        <v>1746</v>
      </c>
      <c r="C266" s="83" t="s">
        <v>1747</v>
      </c>
      <c r="D266" s="74" t="s">
        <v>9</v>
      </c>
      <c r="E266" s="206">
        <v>6</v>
      </c>
      <c r="F266" s="99">
        <f ca="1">_xlfn.XLOOKUP(O266,APU!$B$2:$B$29999,APU!$G$2:$G$29999,,0,1)</f>
        <v>189397.30000000002</v>
      </c>
      <c r="G266" s="99">
        <f ca="1">_xlfn.XLOOKUP(P266,APU!$B$2:$B$29999,APU!$G$2:$G$29999,,0,1)</f>
        <v>2832.9099999999994</v>
      </c>
      <c r="H266" s="99">
        <f ca="1">_xlfn.XLOOKUP(Q266,APU!$B$2:$B$29999,APU!$G$2:$G$29999,,0,1)</f>
        <v>42647.713574346992</v>
      </c>
      <c r="I266" s="81">
        <f t="shared" ref="I266" ca="1" si="365">+(F266+G266+H266)</f>
        <v>234877.92357434702</v>
      </c>
      <c r="J266" s="80">
        <f t="shared" ref="J266" ca="1" si="366">+E266*F266</f>
        <v>1136383.8</v>
      </c>
      <c r="K266" s="80">
        <f t="shared" ref="K266" ca="1" si="367">+G266*E266</f>
        <v>16997.459999999995</v>
      </c>
      <c r="L266" s="80">
        <f t="shared" ref="L266" ca="1" si="368">+H266*E266</f>
        <v>255886.28144608194</v>
      </c>
      <c r="M266" s="82">
        <f t="shared" ref="M266" ca="1" si="369">SUM(J266:L266)</f>
        <v>1409267.5414460818</v>
      </c>
      <c r="N266" s="1">
        <v>3247409</v>
      </c>
      <c r="O266" s="94" t="str">
        <f t="shared" si="342"/>
        <v>3D0A3EA-V</v>
      </c>
      <c r="P266" s="94" t="str">
        <f t="shared" si="343"/>
        <v>3D0A3EA-ae</v>
      </c>
      <c r="Q266" s="94" t="str">
        <f t="shared" si="344"/>
        <v>3D0A3EA-ak</v>
      </c>
    </row>
    <row r="267" spans="1:17">
      <c r="A267" s="220">
        <f ca="1">HYPERLINK("#"&amp;CELL("direccion",APU!A11354),IF(E267&gt;0,A266+1,""))</f>
        <v>258</v>
      </c>
      <c r="B267" s="96" t="s">
        <v>1752</v>
      </c>
      <c r="C267" s="83" t="s">
        <v>1751</v>
      </c>
      <c r="D267" s="74" t="s">
        <v>9</v>
      </c>
      <c r="E267" s="206">
        <v>7</v>
      </c>
      <c r="F267" s="99">
        <f ca="1">_xlfn.XLOOKUP(O267,APU!$B$2:$B$29999,APU!$G$2:$G$29999,,0,1)</f>
        <v>149480.6</v>
      </c>
      <c r="G267" s="99">
        <f ca="1">_xlfn.XLOOKUP(P267,APU!$B$2:$B$29999,APU!$G$2:$G$29999,,0,1)</f>
        <v>3076.8911249999992</v>
      </c>
      <c r="H267" s="99">
        <f ca="1">_xlfn.XLOOKUP(Q267,APU!$B$2:$B$29999,APU!$G$2:$G$29999,,0,1)</f>
        <v>45369.908057815948</v>
      </c>
      <c r="I267" s="81">
        <f t="shared" ref="I267" ca="1" si="370">+(F267+G267+H267)</f>
        <v>197927.39918281595</v>
      </c>
      <c r="J267" s="80">
        <f t="shared" ref="J267" ca="1" si="371">+E267*F267</f>
        <v>1046364.2000000001</v>
      </c>
      <c r="K267" s="80">
        <f t="shared" ref="K267" ca="1" si="372">+G267*E267</f>
        <v>21538.237874999995</v>
      </c>
      <c r="L267" s="80">
        <f t="shared" ref="L267" ca="1" si="373">+H267*E267</f>
        <v>317589.35640471161</v>
      </c>
      <c r="M267" s="82">
        <f t="shared" ref="M267" ca="1" si="374">SUM(J267:L267)</f>
        <v>1385491.7942797118</v>
      </c>
      <c r="N267" s="1">
        <v>4761022</v>
      </c>
      <c r="O267" s="94" t="str">
        <f t="shared" si="342"/>
        <v>1F00391-V</v>
      </c>
      <c r="P267" s="94" t="str">
        <f t="shared" si="343"/>
        <v>1F00391-ae</v>
      </c>
      <c r="Q267" s="94" t="str">
        <f t="shared" si="344"/>
        <v>1F00391-ak</v>
      </c>
    </row>
    <row r="268" spans="1:17" ht="27">
      <c r="A268" s="220">
        <f ca="1">HYPERLINK("#"&amp;CELL("direccion",APU!A11398),IF(E268&gt;0,A267+1,""))</f>
        <v>259</v>
      </c>
      <c r="B268" s="96" t="s">
        <v>1758</v>
      </c>
      <c r="C268" s="83" t="s">
        <v>1757</v>
      </c>
      <c r="D268" s="74" t="s">
        <v>9</v>
      </c>
      <c r="E268" s="206">
        <v>2</v>
      </c>
      <c r="F268" s="99">
        <f ca="1">_xlfn.XLOOKUP(O268,APU!$B$2:$B$29999,APU!$G$2:$G$29999,,0,1)</f>
        <v>170296</v>
      </c>
      <c r="G268" s="99">
        <f ca="1">_xlfn.XLOOKUP(P268,APU!$B$2:$B$29999,APU!$G$2:$G$29999,,0,1)</f>
        <v>3076.5662499999999</v>
      </c>
      <c r="H268" s="99">
        <f ca="1">_xlfn.XLOOKUP(Q268,APU!$B$2:$B$29999,APU!$G$2:$G$29999,,0,1)</f>
        <v>36295.926446252757</v>
      </c>
      <c r="I268" s="81">
        <f t="shared" ref="I268:I271" ca="1" si="375">+(F268+G268+H268)</f>
        <v>209668.49269625277</v>
      </c>
      <c r="J268" s="80">
        <f t="shared" ref="J268:J271" ca="1" si="376">+E268*F268</f>
        <v>340592</v>
      </c>
      <c r="K268" s="80">
        <f t="shared" ref="K268:K271" ca="1" si="377">+G268*E268</f>
        <v>6153.1324999999997</v>
      </c>
      <c r="L268" s="80">
        <f t="shared" ref="L268:L271" ca="1" si="378">+H268*E268</f>
        <v>72591.852892505514</v>
      </c>
      <c r="M268" s="82">
        <f t="shared" ref="M268:M271" ca="1" si="379">SUM(J268:L268)</f>
        <v>419336.98539250554</v>
      </c>
      <c r="N268" s="1">
        <v>9352036</v>
      </c>
      <c r="O268" s="94" t="str">
        <f t="shared" si="342"/>
        <v>1274D39E-V</v>
      </c>
      <c r="P268" s="94" t="str">
        <f t="shared" si="343"/>
        <v>1274D39E-ae</v>
      </c>
      <c r="Q268" s="94" t="str">
        <f t="shared" si="344"/>
        <v>1274D39E-ak</v>
      </c>
    </row>
    <row r="269" spans="1:17">
      <c r="A269" s="220">
        <f ca="1">HYPERLINK("#"&amp;CELL("direccion",APU!A11442),IF(E269&gt;0,A268+1,""))</f>
        <v>260</v>
      </c>
      <c r="B269" s="96" t="s">
        <v>1761</v>
      </c>
      <c r="C269" s="83" t="s">
        <v>1762</v>
      </c>
      <c r="D269" s="74" t="s">
        <v>9</v>
      </c>
      <c r="E269" s="206">
        <v>3</v>
      </c>
      <c r="F269" s="99">
        <f ca="1">_xlfn.XLOOKUP(O269,APU!$B$2:$B$29999,APU!$G$2:$G$29999,,0,1)</f>
        <v>113400</v>
      </c>
      <c r="G269" s="99">
        <f ca="1">_xlfn.XLOOKUP(P269,APU!$B$2:$B$29999,APU!$G$2:$G$29999,,0,1)</f>
        <v>2253.0081249999998</v>
      </c>
      <c r="H269" s="99">
        <f ca="1">_xlfn.XLOOKUP(Q269,APU!$B$2:$B$29999,APU!$G$2:$G$29999,,0,1)</f>
        <v>22684.954028907974</v>
      </c>
      <c r="I269" s="81">
        <f t="shared" ref="I269" ca="1" si="380">+(F269+G269+H269)</f>
        <v>138337.96215390798</v>
      </c>
      <c r="J269" s="80">
        <f t="shared" ref="J269" ca="1" si="381">+E269*F269</f>
        <v>340200</v>
      </c>
      <c r="K269" s="80">
        <f t="shared" ref="K269" ca="1" si="382">+G269*E269</f>
        <v>6759.0243749999991</v>
      </c>
      <c r="L269" s="80">
        <f t="shared" ref="L269" ca="1" si="383">+H269*E269</f>
        <v>68054.862086723922</v>
      </c>
      <c r="M269" s="82">
        <f t="shared" ref="M269" ca="1" si="384">SUM(J269:L269)</f>
        <v>415013.88646172389</v>
      </c>
      <c r="N269" s="1">
        <v>8533649</v>
      </c>
      <c r="O269" s="94" t="str">
        <f t="shared" si="342"/>
        <v>29BF56CB-V</v>
      </c>
      <c r="P269" s="94" t="str">
        <f t="shared" si="343"/>
        <v>29BF56CB-ae</v>
      </c>
      <c r="Q269" s="94" t="str">
        <f t="shared" si="344"/>
        <v>29BF56CB-ak</v>
      </c>
    </row>
    <row r="270" spans="1:17">
      <c r="A270" s="220">
        <f ca="1">HYPERLINK("#"&amp;CELL("direccion",APU!A11486),IF(E270&gt;0,A269+1,""))</f>
        <v>261</v>
      </c>
      <c r="B270" s="96" t="s">
        <v>1766</v>
      </c>
      <c r="C270" s="83" t="s">
        <v>1765</v>
      </c>
      <c r="D270" s="74" t="s">
        <v>9</v>
      </c>
      <c r="E270" s="206">
        <v>12</v>
      </c>
      <c r="F270" s="99">
        <f ca="1">_xlfn.XLOOKUP(O270,APU!$B$2:$B$29999,APU!$G$2:$G$29999,,0,1)</f>
        <v>602400</v>
      </c>
      <c r="G270" s="99">
        <f ca="1">_xlfn.XLOOKUP(P270,APU!$B$2:$B$29999,APU!$G$2:$G$29999,,0,1)</f>
        <v>19875.852499999997</v>
      </c>
      <c r="H270" s="99">
        <f ca="1">_xlfn.XLOOKUP(Q270,APU!$B$2:$B$29999,APU!$G$2:$G$29999,,0,1)</f>
        <v>81665.834504068713</v>
      </c>
      <c r="I270" s="81">
        <f t="shared" ca="1" si="375"/>
        <v>703941.68700406875</v>
      </c>
      <c r="J270" s="80">
        <f t="shared" ca="1" si="376"/>
        <v>7228800</v>
      </c>
      <c r="K270" s="80">
        <f t="shared" ca="1" si="377"/>
        <v>238510.22999999998</v>
      </c>
      <c r="L270" s="80">
        <f t="shared" ca="1" si="378"/>
        <v>979990.01404882455</v>
      </c>
      <c r="M270" s="82">
        <f t="shared" ca="1" si="379"/>
        <v>8447300.2440488245</v>
      </c>
      <c r="N270" s="1">
        <v>2336688</v>
      </c>
      <c r="O270" s="94" t="str">
        <f t="shared" si="342"/>
        <v>AB9979C-V</v>
      </c>
      <c r="P270" s="94" t="str">
        <f t="shared" si="343"/>
        <v>AB9979C-ae</v>
      </c>
      <c r="Q270" s="94" t="str">
        <f t="shared" si="344"/>
        <v>AB9979C-ak</v>
      </c>
    </row>
    <row r="271" spans="1:17">
      <c r="A271" s="220">
        <f ca="1">HYPERLINK("#"&amp;CELL("direccion",APU!A11530),IF(E271&gt;0,A270+1,""))</f>
        <v>262</v>
      </c>
      <c r="B271" s="96" t="s">
        <v>1772</v>
      </c>
      <c r="C271" s="83" t="s">
        <v>1769</v>
      </c>
      <c r="D271" s="74" t="s">
        <v>9</v>
      </c>
      <c r="E271" s="206">
        <v>15</v>
      </c>
      <c r="F271" s="99">
        <f ca="1">_xlfn.XLOOKUP(O271,APU!$B$2:$B$29999,APU!$G$2:$G$29999,,0,1)</f>
        <v>327900</v>
      </c>
      <c r="G271" s="99">
        <f ca="1">_xlfn.XLOOKUP(P271,APU!$B$2:$B$29999,APU!$G$2:$G$29999,,0,1)</f>
        <v>11981.389999999996</v>
      </c>
      <c r="H271" s="99">
        <f ca="1">_xlfn.XLOOKUP(Q271,APU!$B$2:$B$29999,APU!$G$2:$G$29999,,0,1)</f>
        <v>45369.908057815948</v>
      </c>
      <c r="I271" s="81">
        <f t="shared" ca="1" si="375"/>
        <v>385251.29805781599</v>
      </c>
      <c r="J271" s="80">
        <f t="shared" ca="1" si="376"/>
        <v>4918500</v>
      </c>
      <c r="K271" s="80">
        <f t="shared" ca="1" si="377"/>
        <v>179720.84999999995</v>
      </c>
      <c r="L271" s="80">
        <f t="shared" ca="1" si="378"/>
        <v>680548.62086723919</v>
      </c>
      <c r="M271" s="82">
        <f t="shared" ca="1" si="379"/>
        <v>5778769.4708672389</v>
      </c>
      <c r="N271" s="1">
        <v>9478926</v>
      </c>
      <c r="O271" s="94" t="str">
        <f t="shared" si="342"/>
        <v>15BFEE6B-V</v>
      </c>
      <c r="P271" s="94" t="str">
        <f t="shared" si="343"/>
        <v>15BFEE6B-ae</v>
      </c>
      <c r="Q271" s="94" t="str">
        <f t="shared" si="344"/>
        <v>15BFEE6B-ak</v>
      </c>
    </row>
    <row r="272" spans="1:17">
      <c r="A272" s="220">
        <f ca="1">HYPERLINK("#"&amp;CELL("direccion",APU!A11574),IF(E272&gt;0,A271+1,""))</f>
        <v>263</v>
      </c>
      <c r="B272" s="96" t="s">
        <v>1774</v>
      </c>
      <c r="C272" s="83" t="s">
        <v>1773</v>
      </c>
      <c r="D272" s="74" t="s">
        <v>9</v>
      </c>
      <c r="E272" s="206">
        <v>16</v>
      </c>
      <c r="F272" s="99">
        <f ca="1">_xlfn.XLOOKUP(O272,APU!$B$2:$B$29999,APU!$G$2:$G$29999,,0,1)</f>
        <v>7620</v>
      </c>
      <c r="G272" s="99">
        <f ca="1">_xlfn.XLOOKUP(P272,APU!$B$2:$B$29999,APU!$G$2:$G$29999,,0,1)</f>
        <v>735.02968749999991</v>
      </c>
      <c r="H272" s="99">
        <f ca="1">_xlfn.XLOOKUP(Q272,APU!$B$2:$B$29999,APU!$G$2:$G$29999,,0,1)</f>
        <v>4536.9908057815946</v>
      </c>
      <c r="I272" s="81">
        <f t="shared" ref="I272" ca="1" si="385">+(F272+G272+H272)</f>
        <v>12892.020493281594</v>
      </c>
      <c r="J272" s="80">
        <f t="shared" ref="J272" ca="1" si="386">+E272*F272</f>
        <v>121920</v>
      </c>
      <c r="K272" s="80">
        <f t="shared" ref="K272" ca="1" si="387">+G272*E272</f>
        <v>11760.474999999999</v>
      </c>
      <c r="L272" s="80">
        <f t="shared" ref="L272" ca="1" si="388">+H272*E272</f>
        <v>72591.852892505514</v>
      </c>
      <c r="M272" s="82">
        <f t="shared" ref="M272" ca="1" si="389">SUM(J272:L272)</f>
        <v>206272.32789250551</v>
      </c>
      <c r="N272" s="1">
        <v>1985418</v>
      </c>
      <c r="O272" s="94" t="str">
        <f t="shared" ref="O272:O282" si="390">_xlfn.CONCAT(B272,"V")</f>
        <v>12FECAD2-V</v>
      </c>
      <c r="P272" s="94" t="str">
        <f t="shared" ref="P272:P282" si="391">_xlfn.CONCAT(B272,"ae")</f>
        <v>12FECAD2-ae</v>
      </c>
      <c r="Q272" s="94" t="str">
        <f t="shared" ref="Q272:Q282" si="392">_xlfn.CONCAT(B272,"ak")</f>
        <v>12FECAD2-ak</v>
      </c>
    </row>
    <row r="273" spans="1:17">
      <c r="A273" s="220">
        <f ca="1">HYPERLINK("#"&amp;CELL("direccion",APU!A11608),IF(E273&gt;0,A272+1,""))</f>
        <v>264</v>
      </c>
      <c r="B273" s="96" t="s">
        <v>1775</v>
      </c>
      <c r="C273" s="83" t="s">
        <v>1776</v>
      </c>
      <c r="D273" s="74" t="s">
        <v>9</v>
      </c>
      <c r="E273" s="206">
        <v>17</v>
      </c>
      <c r="F273" s="99">
        <f ca="1">_xlfn.XLOOKUP(O273,APU!$B$2:$B$29999,APU!$G$2:$G$29999,,0,1)</f>
        <v>22600</v>
      </c>
      <c r="G273" s="99">
        <f ca="1">_xlfn.XLOOKUP(P273,APU!$B$2:$B$29999,APU!$G$2:$G$29999,,0,1)</f>
        <v>735.02968749999991</v>
      </c>
      <c r="H273" s="99">
        <f ca="1">_xlfn.XLOOKUP(Q273,APU!$B$2:$B$29999,APU!$G$2:$G$29999,,0,1)</f>
        <v>4536.9908057815946</v>
      </c>
      <c r="I273" s="81">
        <f t="shared" ref="I273" ca="1" si="393">+(F273+G273+H273)</f>
        <v>27872.020493281594</v>
      </c>
      <c r="J273" s="80">
        <f t="shared" ref="J273" ca="1" si="394">+E273*F273</f>
        <v>384200</v>
      </c>
      <c r="K273" s="80">
        <f t="shared" ref="K273" ca="1" si="395">+G273*E273</f>
        <v>12495.504687499999</v>
      </c>
      <c r="L273" s="80">
        <f t="shared" ref="L273" ca="1" si="396">+H273*E273</f>
        <v>77128.843698287106</v>
      </c>
      <c r="M273" s="82">
        <f t="shared" ref="M273" ca="1" si="397">SUM(J273:L273)</f>
        <v>473824.3483857871</v>
      </c>
      <c r="N273" s="1">
        <v>6751072</v>
      </c>
      <c r="O273" s="94" t="str">
        <f t="shared" si="390"/>
        <v>12FEC350-V</v>
      </c>
      <c r="P273" s="94" t="str">
        <f t="shared" si="391"/>
        <v>12FEC350-ae</v>
      </c>
      <c r="Q273" s="94" t="str">
        <f t="shared" si="392"/>
        <v>12FEC350-ak</v>
      </c>
    </row>
    <row r="274" spans="1:17">
      <c r="A274" s="220">
        <f ca="1">HYPERLINK("#"&amp;CELL("direccion",APU!A11662),IF(E274&gt;0,A273+1,""))</f>
        <v>265</v>
      </c>
      <c r="B274" s="96" t="s">
        <v>1778</v>
      </c>
      <c r="C274" s="83" t="s">
        <v>1777</v>
      </c>
      <c r="D274" s="74" t="s">
        <v>9</v>
      </c>
      <c r="E274" s="206">
        <v>12</v>
      </c>
      <c r="F274" s="99">
        <f ca="1">_xlfn.XLOOKUP(O274,APU!$B$2:$B$29999,APU!$G$2:$G$29999,,0,1)</f>
        <v>137047.29999999999</v>
      </c>
      <c r="G274" s="99">
        <f ca="1">_xlfn.XLOOKUP(P274,APU!$B$2:$B$29999,APU!$G$2:$G$29999,,0,1)</f>
        <v>2681.8431249999994</v>
      </c>
      <c r="H274" s="99">
        <f ca="1">_xlfn.XLOOKUP(Q274,APU!$B$2:$B$29999,APU!$G$2:$G$29999,,0,1)</f>
        <v>40832.917252034356</v>
      </c>
      <c r="I274" s="81">
        <f t="shared" ref="I274:I275" ca="1" si="398">+(F274+G274+H274)</f>
        <v>180562.06037703436</v>
      </c>
      <c r="J274" s="80">
        <f t="shared" ref="J274:J275" ca="1" si="399">+E274*F274</f>
        <v>1644567.5999999999</v>
      </c>
      <c r="K274" s="80">
        <f t="shared" ref="K274:K275" ca="1" si="400">+G274*E274</f>
        <v>32182.117499999993</v>
      </c>
      <c r="L274" s="80">
        <f t="shared" ref="L274:L275" ca="1" si="401">+H274*E274</f>
        <v>489995.00702441228</v>
      </c>
      <c r="M274" s="82">
        <f t="shared" ref="M274:M275" ca="1" si="402">SUM(J274:L274)</f>
        <v>2166744.7245244123</v>
      </c>
      <c r="N274" s="1">
        <v>6178036</v>
      </c>
      <c r="O274" s="94" t="str">
        <f t="shared" si="390"/>
        <v>128CB82-V</v>
      </c>
      <c r="P274" s="94" t="str">
        <f t="shared" si="391"/>
        <v>128CB82-ae</v>
      </c>
      <c r="Q274" s="94" t="str">
        <f t="shared" si="392"/>
        <v>128CB82-ak</v>
      </c>
    </row>
    <row r="275" spans="1:17">
      <c r="A275" s="220">
        <f ca="1">HYPERLINK("#"&amp;CELL("direccion",APU!A11706),IF(E275&gt;0,A274+1,""))</f>
        <v>266</v>
      </c>
      <c r="B275" s="96" t="s">
        <v>1782</v>
      </c>
      <c r="C275" s="83" t="s">
        <v>1781</v>
      </c>
      <c r="D275" s="74" t="s">
        <v>9</v>
      </c>
      <c r="E275" s="206">
        <v>1</v>
      </c>
      <c r="F275" s="99">
        <f ca="1">_xlfn.XLOOKUP(O275,APU!$B$2:$B$29999,APU!$G$2:$G$29999,,0,1)</f>
        <v>93660</v>
      </c>
      <c r="G275" s="99">
        <f ca="1">_xlfn.XLOOKUP(P275,APU!$B$2:$B$29999,APU!$G$2:$G$29999,,0,1)</f>
        <v>2026.0075099999997</v>
      </c>
      <c r="H275" s="99">
        <f ca="1">_xlfn.XLOOKUP(Q275,APU!$B$2:$B$29999,APU!$G$2:$G$29999,,0,1)</f>
        <v>22684.954028907974</v>
      </c>
      <c r="I275" s="81">
        <f t="shared" ca="1" si="398"/>
        <v>118370.96153890797</v>
      </c>
      <c r="J275" s="80">
        <f t="shared" ca="1" si="399"/>
        <v>93660</v>
      </c>
      <c r="K275" s="80">
        <f t="shared" ca="1" si="400"/>
        <v>2026.0075099999997</v>
      </c>
      <c r="L275" s="80">
        <f t="shared" ca="1" si="401"/>
        <v>22684.954028907974</v>
      </c>
      <c r="M275" s="82">
        <f t="shared" ca="1" si="402"/>
        <v>118370.96153890797</v>
      </c>
      <c r="N275" s="1">
        <v>8561031</v>
      </c>
      <c r="O275" s="94" t="str">
        <f t="shared" si="390"/>
        <v>1CA8922B-V</v>
      </c>
      <c r="P275" s="94" t="str">
        <f t="shared" si="391"/>
        <v>1CA8922B-ae</v>
      </c>
      <c r="Q275" s="94" t="str">
        <f t="shared" si="392"/>
        <v>1CA8922B-ak</v>
      </c>
    </row>
    <row r="276" spans="1:17">
      <c r="A276" s="220">
        <f ca="1">HYPERLINK("#"&amp;CELL("direccion",APU!A11750),IF(E276&gt;0,A275+1,""))</f>
        <v>267</v>
      </c>
      <c r="B276" s="96" t="s">
        <v>1784</v>
      </c>
      <c r="C276" s="83" t="s">
        <v>1783</v>
      </c>
      <c r="D276" s="74" t="s">
        <v>7</v>
      </c>
      <c r="E276" s="206">
        <v>12</v>
      </c>
      <c r="F276" s="99">
        <f ca="1">_xlfn.XLOOKUP(O276,APU!$B$2:$B$29999,APU!$G$2:$G$29999,,0,1)</f>
        <v>10951.5</v>
      </c>
      <c r="G276" s="99">
        <f ca="1">_xlfn.XLOOKUP(P276,APU!$B$2:$B$29999,APU!$G$2:$G$29999,,0,1)</f>
        <v>1689.35</v>
      </c>
      <c r="H276" s="99">
        <f ca="1">_xlfn.XLOOKUP(Q276,APU!$B$2:$B$29999,APU!$G$2:$G$29999,,0,1)</f>
        <v>4083.2917252034354</v>
      </c>
      <c r="I276" s="81">
        <f t="shared" ref="I276" ca="1" si="403">+(F276+G276+H276)</f>
        <v>16724.141725203437</v>
      </c>
      <c r="J276" s="80">
        <f t="shared" ref="J276" ca="1" si="404">+E276*F276</f>
        <v>131418</v>
      </c>
      <c r="K276" s="80">
        <f t="shared" ref="K276" ca="1" si="405">+G276*E276</f>
        <v>20272.199999999997</v>
      </c>
      <c r="L276" s="80">
        <f t="shared" ref="L276" ca="1" si="406">+H276*E276</f>
        <v>48999.500702441226</v>
      </c>
      <c r="M276" s="82">
        <f t="shared" ref="M276" ca="1" si="407">SUM(J276:L276)</f>
        <v>200689.70070244125</v>
      </c>
      <c r="N276" s="1">
        <v>7357897</v>
      </c>
      <c r="O276" s="94" t="str">
        <f t="shared" si="390"/>
        <v>33FD7B64-V</v>
      </c>
      <c r="P276" s="94" t="str">
        <f t="shared" si="391"/>
        <v>33FD7B64-ae</v>
      </c>
      <c r="Q276" s="94" t="str">
        <f t="shared" si="392"/>
        <v>33FD7B64-ak</v>
      </c>
    </row>
    <row r="277" spans="1:17" ht="27">
      <c r="A277" s="220">
        <f ca="1">HYPERLINK("#"&amp;CELL("direccion",APU!A11794),IF(E277&gt;0,A276+1,""))</f>
        <v>268</v>
      </c>
      <c r="B277" s="96" t="s">
        <v>1787</v>
      </c>
      <c r="C277" s="83" t="s">
        <v>1785</v>
      </c>
      <c r="D277" s="74" t="s">
        <v>1786</v>
      </c>
      <c r="E277" s="206">
        <v>1</v>
      </c>
      <c r="F277" s="99">
        <f ca="1">_xlfn.XLOOKUP(O277,APU!$B$2:$B$29999,APU!$G$2:$G$29999,,0,1)</f>
        <v>395864.25</v>
      </c>
      <c r="G277" s="99">
        <f ca="1">_xlfn.XLOOKUP(P277,APU!$B$2:$B$29999,APU!$G$2:$G$29999,,0,1)</f>
        <v>2668.8481249999995</v>
      </c>
      <c r="H277" s="99">
        <f ca="1">_xlfn.XLOOKUP(Q277,APU!$B$2:$B$29999,APU!$G$2:$G$29999,,0,1)</f>
        <v>49906.898863597547</v>
      </c>
      <c r="I277" s="81">
        <f t="shared" ref="I277" ca="1" si="408">+(F277+G277+H277)</f>
        <v>448439.99698859756</v>
      </c>
      <c r="J277" s="80">
        <f t="shared" ref="J277" ca="1" si="409">+E277*F277</f>
        <v>395864.25</v>
      </c>
      <c r="K277" s="80">
        <f t="shared" ref="K277" ca="1" si="410">+G277*E277</f>
        <v>2668.8481249999995</v>
      </c>
      <c r="L277" s="80">
        <f t="shared" ref="L277" ca="1" si="411">+H277*E277</f>
        <v>49906.898863597547</v>
      </c>
      <c r="M277" s="82">
        <f t="shared" ref="M277" ca="1" si="412">SUM(J277:L277)</f>
        <v>448439.99698859756</v>
      </c>
      <c r="N277" s="1">
        <v>2684343</v>
      </c>
      <c r="O277" s="94" t="str">
        <f t="shared" si="390"/>
        <v>BFA14CA-V</v>
      </c>
      <c r="P277" s="94" t="str">
        <f t="shared" si="391"/>
        <v>BFA14CA-ae</v>
      </c>
      <c r="Q277" s="94" t="str">
        <f t="shared" si="392"/>
        <v>BFA14CA-ak</v>
      </c>
    </row>
    <row r="278" spans="1:17">
      <c r="A278" s="220">
        <f ca="1">HYPERLINK("#"&amp;CELL("direccion",APU!A11838),IF(E278&gt;0,A277+1,""))</f>
        <v>269</v>
      </c>
      <c r="B278" s="96" t="s">
        <v>1789</v>
      </c>
      <c r="C278" s="83" t="s">
        <v>1788</v>
      </c>
      <c r="D278" s="74" t="s">
        <v>9</v>
      </c>
      <c r="E278" s="206">
        <v>12</v>
      </c>
      <c r="F278" s="99">
        <f ca="1">_xlfn.XLOOKUP(O278,APU!$B$2:$B$29999,APU!$G$2:$G$29999,,0,1)</f>
        <v>154076</v>
      </c>
      <c r="G278" s="99">
        <f ca="1">_xlfn.XLOOKUP(P278,APU!$B$2:$B$29999,APU!$G$2:$G$29999,,0,1)</f>
        <v>3076.8911249999992</v>
      </c>
      <c r="H278" s="99">
        <f ca="1">_xlfn.XLOOKUP(Q278,APU!$B$2:$B$29999,APU!$G$2:$G$29999,,0,1)</f>
        <v>45369.908057815948</v>
      </c>
      <c r="I278" s="81">
        <f t="shared" ref="I278" ca="1" si="413">+(F278+G278+H278)</f>
        <v>202522.79918281594</v>
      </c>
      <c r="J278" s="80">
        <f t="shared" ref="J278" ca="1" si="414">+E278*F278</f>
        <v>1848912</v>
      </c>
      <c r="K278" s="80">
        <f t="shared" ref="K278" ca="1" si="415">+G278*E278</f>
        <v>36922.693499999994</v>
      </c>
      <c r="L278" s="80">
        <f t="shared" ref="L278" ca="1" si="416">+H278*E278</f>
        <v>544438.89669379138</v>
      </c>
      <c r="M278" s="82">
        <f t="shared" ref="M278" ca="1" si="417">SUM(J278:L278)</f>
        <v>2430273.5901937913</v>
      </c>
      <c r="N278" s="1">
        <v>5438777</v>
      </c>
      <c r="O278" s="94" t="str">
        <f t="shared" si="390"/>
        <v>667086D-V</v>
      </c>
      <c r="P278" s="94" t="str">
        <f t="shared" si="391"/>
        <v>667086D-ae</v>
      </c>
      <c r="Q278" s="94" t="str">
        <f t="shared" si="392"/>
        <v>667086D-ak</v>
      </c>
    </row>
    <row r="279" spans="1:17">
      <c r="A279" s="220">
        <f ca="1">HYPERLINK("#"&amp;CELL("direccion",APU!A11882),IF(E279&gt;0,A278+1,""))</f>
        <v>270</v>
      </c>
      <c r="B279" s="96" t="s">
        <v>1790</v>
      </c>
      <c r="C279" s="83" t="s">
        <v>1791</v>
      </c>
      <c r="D279" s="74" t="s">
        <v>7</v>
      </c>
      <c r="E279" s="206">
        <v>7</v>
      </c>
      <c r="F279" s="99">
        <f ca="1">_xlfn.XLOOKUP(O279,APU!$B$2:$B$29999,APU!$G$2:$G$29999,,0,1)</f>
        <v>60901.5</v>
      </c>
      <c r="G279" s="99">
        <f ca="1">_xlfn.XLOOKUP(P279,APU!$B$2:$B$29999,APU!$G$2:$G$29999,,0,1)</f>
        <v>10225.440624999997</v>
      </c>
      <c r="H279" s="99">
        <f ca="1">_xlfn.XLOOKUP(Q279,APU!$B$2:$B$29999,APU!$G$2:$G$29999,,0,1)</f>
        <v>31002.239301705646</v>
      </c>
      <c r="I279" s="81">
        <f t="shared" ref="I279" ca="1" si="418">+(F279+G279+H279)</f>
        <v>102129.17992670565</v>
      </c>
      <c r="J279" s="80">
        <f t="shared" ref="J279" ca="1" si="419">+E279*F279</f>
        <v>426310.5</v>
      </c>
      <c r="K279" s="80">
        <f t="shared" ref="K279" ca="1" si="420">+G279*E279</f>
        <v>71578.084374999977</v>
      </c>
      <c r="L279" s="80">
        <f t="shared" ref="L279" ca="1" si="421">+H279*E279</f>
        <v>217015.67511193952</v>
      </c>
      <c r="M279" s="82">
        <f t="shared" ref="M279" ca="1" si="422">SUM(J279:L279)</f>
        <v>714904.25948693953</v>
      </c>
      <c r="N279" s="1">
        <v>6245480</v>
      </c>
      <c r="O279" s="94" t="str">
        <f t="shared" si="390"/>
        <v>29F90BF-V</v>
      </c>
      <c r="P279" s="94" t="str">
        <f t="shared" si="391"/>
        <v>29F90BF-ae</v>
      </c>
      <c r="Q279" s="94" t="str">
        <f t="shared" si="392"/>
        <v>29F90BF-ak</v>
      </c>
    </row>
    <row r="280" spans="1:17">
      <c r="A280" s="220">
        <f ca="1">HYPERLINK("#"&amp;CELL("direccion",APU!A11926),IF(E280&gt;0,A279+1,""))</f>
        <v>271</v>
      </c>
      <c r="B280" s="96" t="s">
        <v>1792</v>
      </c>
      <c r="C280" s="83" t="s">
        <v>1793</v>
      </c>
      <c r="D280" s="74" t="s">
        <v>9</v>
      </c>
      <c r="E280" s="206">
        <v>1</v>
      </c>
      <c r="F280" s="99">
        <f ca="1">_xlfn.XLOOKUP(O280,APU!$B$2:$B$29999,APU!$G$2:$G$29999,,0,1)</f>
        <v>2202240</v>
      </c>
      <c r="G280" s="99">
        <f ca="1">_xlfn.XLOOKUP(P280,APU!$B$2:$B$29999,APU!$G$2:$G$29999,,0,1)</f>
        <v>5100.5374999999995</v>
      </c>
      <c r="H280" s="99">
        <f ca="1">_xlfn.XLOOKUP(Q280,APU!$B$2:$B$29999,APU!$G$2:$G$29999,,0,1)</f>
        <v>99813.797727195095</v>
      </c>
      <c r="I280" s="81">
        <f t="shared" ref="I280" ca="1" si="423">+(F280+G280+H280)</f>
        <v>2307154.3352271952</v>
      </c>
      <c r="J280" s="80">
        <f t="shared" ref="J280" ca="1" si="424">+E280*F280</f>
        <v>2202240</v>
      </c>
      <c r="K280" s="80">
        <f t="shared" ref="K280" ca="1" si="425">+G280*E280</f>
        <v>5100.5374999999995</v>
      </c>
      <c r="L280" s="80">
        <f t="shared" ref="L280" ca="1" si="426">+H280*E280</f>
        <v>99813.797727195095</v>
      </c>
      <c r="M280" s="82">
        <f t="shared" ref="M280" ca="1" si="427">SUM(J280:L280)</f>
        <v>2307154.3352271952</v>
      </c>
      <c r="N280" s="1">
        <v>6997071</v>
      </c>
      <c r="O280" s="94" t="str">
        <f t="shared" si="390"/>
        <v>3B6AA7C4-V</v>
      </c>
      <c r="P280" s="94" t="str">
        <f t="shared" si="391"/>
        <v>3B6AA7C4-ae</v>
      </c>
      <c r="Q280" s="94" t="str">
        <f t="shared" si="392"/>
        <v>3B6AA7C4-ak</v>
      </c>
    </row>
    <row r="281" spans="1:17">
      <c r="A281" s="220">
        <f ca="1">HYPERLINK("#"&amp;CELL("direccion",APU!A11970),IF(E281&gt;0,A280+1,""))</f>
        <v>272</v>
      </c>
      <c r="B281" s="96" t="s">
        <v>1797</v>
      </c>
      <c r="C281" s="83" t="s">
        <v>1796</v>
      </c>
      <c r="D281" s="74" t="s">
        <v>9</v>
      </c>
      <c r="E281" s="206">
        <v>1</v>
      </c>
      <c r="F281" s="99">
        <f ca="1">_xlfn.XLOOKUP(O281,APU!$B$2:$B$29999,APU!$G$2:$G$29999,,0,1)</f>
        <v>267600</v>
      </c>
      <c r="G281" s="99">
        <f ca="1">_xlfn.XLOOKUP(P281,APU!$B$2:$B$29999,APU!$G$2:$G$29999,,0,1)</f>
        <v>3195.1456250000001</v>
      </c>
      <c r="H281" s="99">
        <f ca="1">_xlfn.XLOOKUP(Q281,APU!$B$2:$B$29999,APU!$G$2:$G$29999,,0,1)</f>
        <v>40832.917252034356</v>
      </c>
      <c r="I281" s="81">
        <f t="shared" ref="I281" ca="1" si="428">+(F281+G281+H281)</f>
        <v>311628.06287703436</v>
      </c>
      <c r="J281" s="80">
        <f t="shared" ref="J281" ca="1" si="429">+E281*F281</f>
        <v>267600</v>
      </c>
      <c r="K281" s="80">
        <f t="shared" ref="K281" ca="1" si="430">+G281*E281</f>
        <v>3195.1456250000001</v>
      </c>
      <c r="L281" s="80">
        <f t="shared" ref="L281" ca="1" si="431">+H281*E281</f>
        <v>40832.917252034356</v>
      </c>
      <c r="M281" s="82">
        <f t="shared" ref="M281" ca="1" si="432">SUM(J281:L281)</f>
        <v>311628.06287703436</v>
      </c>
      <c r="N281" s="1">
        <v>3224318</v>
      </c>
      <c r="O281" s="94" t="str">
        <f t="shared" si="390"/>
        <v>1609103A-V</v>
      </c>
      <c r="P281" s="94" t="str">
        <f t="shared" si="391"/>
        <v>1609103A-ae</v>
      </c>
      <c r="Q281" s="94" t="str">
        <f t="shared" si="392"/>
        <v>1609103A-ak</v>
      </c>
    </row>
    <row r="282" spans="1:17">
      <c r="A282" s="220">
        <f ca="1">HYPERLINK("#"&amp;CELL("direccion",APU!A12014),IF(E282&gt;0,A281+1,""))</f>
        <v>273</v>
      </c>
      <c r="B282" s="96" t="s">
        <v>1802</v>
      </c>
      <c r="C282" s="83" t="s">
        <v>1803</v>
      </c>
      <c r="D282" s="74" t="s">
        <v>9</v>
      </c>
      <c r="E282" s="206">
        <v>1</v>
      </c>
      <c r="F282" s="99">
        <f ca="1">_xlfn.XLOOKUP(O282,APU!$B$2:$B$29999,APU!$G$2:$G$29999,,0,1)</f>
        <v>223000</v>
      </c>
      <c r="G282" s="99">
        <f ca="1">_xlfn.XLOOKUP(P282,APU!$B$2:$B$29999,APU!$G$2:$G$29999,,0,1)</f>
        <v>3195.1456250000001</v>
      </c>
      <c r="H282" s="99">
        <f ca="1">_xlfn.XLOOKUP(Q282,APU!$B$2:$B$29999,APU!$G$2:$G$29999,,0,1)</f>
        <v>40832.917252034356</v>
      </c>
      <c r="I282" s="81">
        <f t="shared" ref="I282" ca="1" si="433">+(F282+G282+H282)</f>
        <v>267028.06287703436</v>
      </c>
      <c r="J282" s="80">
        <f t="shared" ref="J282" ca="1" si="434">+E282*F282</f>
        <v>223000</v>
      </c>
      <c r="K282" s="80">
        <f t="shared" ref="K282" ca="1" si="435">+G282*E282</f>
        <v>3195.1456250000001</v>
      </c>
      <c r="L282" s="80">
        <f t="shared" ref="L282" ca="1" si="436">+H282*E282</f>
        <v>40832.917252034356</v>
      </c>
      <c r="M282" s="82">
        <f t="shared" ref="M282" ca="1" si="437">SUM(J282:L282)</f>
        <v>267028.06287703436</v>
      </c>
      <c r="N282" s="1">
        <v>4579562</v>
      </c>
      <c r="O282" s="94" t="str">
        <f t="shared" si="390"/>
        <v>1609A20A-V</v>
      </c>
      <c r="P282" s="94" t="str">
        <f t="shared" si="391"/>
        <v>1609A20A-ae</v>
      </c>
      <c r="Q282" s="94" t="str">
        <f t="shared" si="392"/>
        <v>1609A20A-ak</v>
      </c>
    </row>
    <row r="283" spans="1:17">
      <c r="A283" s="220">
        <f ca="1">HYPERLINK("#"&amp;CELL("direccion",APU!A12058),IF(E283&gt;0,A282+1,""))</f>
        <v>274</v>
      </c>
      <c r="B283" s="96" t="s">
        <v>1804</v>
      </c>
      <c r="C283" s="83" t="s">
        <v>1807</v>
      </c>
      <c r="D283" s="74" t="s">
        <v>9</v>
      </c>
      <c r="E283" s="206">
        <v>1</v>
      </c>
      <c r="F283" s="99">
        <f ca="1">_xlfn.XLOOKUP(O283,APU!$B$2:$B$29999,APU!$G$2:$G$29999,,0,1)</f>
        <v>287900</v>
      </c>
      <c r="G283" s="99">
        <f ca="1">_xlfn.XLOOKUP(P283,APU!$B$2:$B$29999,APU!$G$2:$G$29999,,0,1)</f>
        <v>3195.1456250000001</v>
      </c>
      <c r="H283" s="99">
        <f ca="1">_xlfn.XLOOKUP(Q283,APU!$B$2:$B$29999,APU!$G$2:$G$29999,,0,1)</f>
        <v>45369.908057815948</v>
      </c>
      <c r="I283" s="81">
        <f t="shared" ref="I283" ca="1" si="438">+(F283+G283+H283)</f>
        <v>336465.05368281598</v>
      </c>
      <c r="J283" s="80">
        <f t="shared" ref="J283" ca="1" si="439">+E283*F283</f>
        <v>287900</v>
      </c>
      <c r="K283" s="80">
        <f t="shared" ref="K283" ca="1" si="440">+G283*E283</f>
        <v>3195.1456250000001</v>
      </c>
      <c r="L283" s="80">
        <f t="shared" ref="L283" ca="1" si="441">+H283*E283</f>
        <v>45369.908057815948</v>
      </c>
      <c r="M283" s="82">
        <f t="shared" ref="M283" ca="1" si="442">SUM(J283:L283)</f>
        <v>336465.05368281598</v>
      </c>
      <c r="N283" s="1">
        <v>7179533</v>
      </c>
      <c r="O283" s="94" t="str">
        <f t="shared" ref="O283:O292" si="443">_xlfn.CONCAT(B283,"V")</f>
        <v>160A160A-V</v>
      </c>
      <c r="P283" s="94" t="str">
        <f t="shared" ref="P283:P292" si="444">_xlfn.CONCAT(B283,"ae")</f>
        <v>160A160A-ae</v>
      </c>
      <c r="Q283" s="94" t="str">
        <f t="shared" ref="Q283:Q292" si="445">_xlfn.CONCAT(B283,"ak")</f>
        <v>160A160A-ak</v>
      </c>
    </row>
    <row r="284" spans="1:17">
      <c r="A284" s="220">
        <f ca="1">HYPERLINK("#"&amp;CELL("direccion",APU!A12102),IF(E284&gt;0,A283+1,""))</f>
        <v>275</v>
      </c>
      <c r="B284" s="96" t="s">
        <v>1811</v>
      </c>
      <c r="C284" s="83" t="s">
        <v>1808</v>
      </c>
      <c r="D284" s="74" t="s">
        <v>9</v>
      </c>
      <c r="E284" s="206">
        <v>1</v>
      </c>
      <c r="F284" s="99">
        <f ca="1">_xlfn.XLOOKUP(O284,APU!$B$2:$B$29999,APU!$G$2:$G$29999,,0,1)</f>
        <v>263800</v>
      </c>
      <c r="G284" s="99">
        <f ca="1">_xlfn.XLOOKUP(P284,APU!$B$2:$B$29999,APU!$G$2:$G$29999,,0,1)</f>
        <v>3195.1456250000001</v>
      </c>
      <c r="H284" s="99">
        <f ca="1">_xlfn.XLOOKUP(Q284,APU!$B$2:$B$29999,APU!$G$2:$G$29999,,0,1)</f>
        <v>45369.908057815948</v>
      </c>
      <c r="I284" s="81">
        <f t="shared" ref="I284" ca="1" si="446">+(F284+G284+H284)</f>
        <v>312365.05368281598</v>
      </c>
      <c r="J284" s="80">
        <f t="shared" ref="J284" ca="1" si="447">+E284*F284</f>
        <v>263800</v>
      </c>
      <c r="K284" s="80">
        <f t="shared" ref="K284" ca="1" si="448">+G284*E284</f>
        <v>3195.1456250000001</v>
      </c>
      <c r="L284" s="80">
        <f t="shared" ref="L284" ca="1" si="449">+H284*E284</f>
        <v>45369.908057815948</v>
      </c>
      <c r="M284" s="82">
        <f t="shared" ref="M284" ca="1" si="450">SUM(J284:L284)</f>
        <v>312365.05368281598</v>
      </c>
      <c r="N284" s="1">
        <v>8279182</v>
      </c>
      <c r="O284" s="94" t="str">
        <f t="shared" si="443"/>
        <v>1B0A125A-V</v>
      </c>
      <c r="P284" s="94" t="str">
        <f t="shared" si="444"/>
        <v>1B0A125A-ae</v>
      </c>
      <c r="Q284" s="94" t="str">
        <f t="shared" si="445"/>
        <v>1B0A125A-ak</v>
      </c>
    </row>
    <row r="285" spans="1:17">
      <c r="A285" s="220">
        <f ca="1">HYPERLINK("#"&amp;CELL("direccion",APU!A12146),IF(E285&gt;0,A284+1,""))</f>
        <v>276</v>
      </c>
      <c r="B285" s="96" t="s">
        <v>1812</v>
      </c>
      <c r="C285" s="83" t="s">
        <v>1813</v>
      </c>
      <c r="D285" s="74" t="s">
        <v>9</v>
      </c>
      <c r="E285" s="206">
        <v>2</v>
      </c>
      <c r="F285" s="99">
        <f ca="1">_xlfn.XLOOKUP(O285,APU!$B$2:$B$29999,APU!$G$2:$G$29999,,0,1)</f>
        <v>259440</v>
      </c>
      <c r="G285" s="99">
        <f ca="1">_xlfn.XLOOKUP(P285,APU!$B$2:$B$29999,APU!$G$2:$G$29999,,0,1)</f>
        <v>3195.1456250000001</v>
      </c>
      <c r="H285" s="99">
        <f ca="1">_xlfn.XLOOKUP(Q285,APU!$B$2:$B$29999,APU!$G$2:$G$29999,,0,1)</f>
        <v>45369.908057815948</v>
      </c>
      <c r="I285" s="81">
        <f t="shared" ref="I285" ca="1" si="451">+(F285+G285+H285)</f>
        <v>308005.05368281598</v>
      </c>
      <c r="J285" s="80">
        <f t="shared" ref="J285" ca="1" si="452">+E285*F285</f>
        <v>518880</v>
      </c>
      <c r="K285" s="80">
        <f t="shared" ref="K285" ca="1" si="453">+G285*E285</f>
        <v>6390.2912500000002</v>
      </c>
      <c r="L285" s="80">
        <f t="shared" ref="L285" ca="1" si="454">+H285*E285</f>
        <v>90739.816115631897</v>
      </c>
      <c r="M285" s="82">
        <f t="shared" ref="M285" ca="1" si="455">SUM(J285:L285)</f>
        <v>616010.10736563196</v>
      </c>
      <c r="N285" s="1">
        <v>7930051</v>
      </c>
      <c r="O285" s="94" t="str">
        <f t="shared" si="443"/>
        <v>1B0AF63A-V</v>
      </c>
      <c r="P285" s="94" t="str">
        <f t="shared" si="444"/>
        <v>1B0AF63A-ae</v>
      </c>
      <c r="Q285" s="94" t="str">
        <f t="shared" si="445"/>
        <v>1B0AF63A-ak</v>
      </c>
    </row>
    <row r="286" spans="1:17">
      <c r="A286" s="220">
        <f ca="1">HYPERLINK("#"&amp;CELL("direccion",APU!A12190),IF(E286&gt;0,A285+1,""))</f>
        <v>277</v>
      </c>
      <c r="B286" s="96" t="s">
        <v>1819</v>
      </c>
      <c r="C286" s="83" t="s">
        <v>1818</v>
      </c>
      <c r="D286" s="74" t="s">
        <v>7</v>
      </c>
      <c r="E286" s="206">
        <v>15</v>
      </c>
      <c r="F286" s="99">
        <f ca="1">_xlfn.XLOOKUP(O286,APU!$B$2:$B$29999,APU!$G$2:$G$29999,,0,1)</f>
        <v>6600</v>
      </c>
      <c r="G286" s="99">
        <f ca="1">_xlfn.XLOOKUP(P286,APU!$B$2:$B$29999,APU!$G$2:$G$29999,,0,1)</f>
        <v>963.25437499999987</v>
      </c>
      <c r="H286" s="99">
        <f ca="1">_xlfn.XLOOKUP(Q286,APU!$B$2:$B$29999,APU!$G$2:$G$29999,,0,1)</f>
        <v>3357.37319627838</v>
      </c>
      <c r="I286" s="81">
        <f t="shared" ref="I286" ca="1" si="456">+(F286+G286+H286)</f>
        <v>10920.627571278379</v>
      </c>
      <c r="J286" s="80">
        <f t="shared" ref="J286" ca="1" si="457">+E286*F286</f>
        <v>99000</v>
      </c>
      <c r="K286" s="80">
        <f t="shared" ref="K286" ca="1" si="458">+G286*E286</f>
        <v>14448.815624999997</v>
      </c>
      <c r="L286" s="80">
        <f t="shared" ref="L286" ca="1" si="459">+H286*E286</f>
        <v>50360.597944175701</v>
      </c>
      <c r="M286" s="82">
        <f t="shared" ref="M286" ca="1" si="460">SUM(J286:L286)</f>
        <v>163809.4135691757</v>
      </c>
      <c r="N286" s="1">
        <v>2618865</v>
      </c>
      <c r="O286" s="94" t="str">
        <f t="shared" si="443"/>
        <v>2A4D3339-V</v>
      </c>
      <c r="P286" s="94" t="str">
        <f t="shared" si="444"/>
        <v>2A4D3339-ae</v>
      </c>
      <c r="Q286" s="94" t="str">
        <f t="shared" si="445"/>
        <v>2A4D3339-ak</v>
      </c>
    </row>
    <row r="287" spans="1:17">
      <c r="A287" s="220">
        <f ca="1">HYPERLINK("#"&amp;CELL("direccion",APU!A12234),IF(E287&gt;0,A286+1,""))</f>
        <v>278</v>
      </c>
      <c r="B287" s="96" t="s">
        <v>1820</v>
      </c>
      <c r="C287" s="83" t="s">
        <v>1821</v>
      </c>
      <c r="D287" s="74" t="s">
        <v>7</v>
      </c>
      <c r="E287" s="206">
        <v>16</v>
      </c>
      <c r="F287" s="99">
        <f ca="1">_xlfn.XLOOKUP(O287,APU!$B$2:$B$29999,APU!$G$2:$G$29999,,0,1)</f>
        <v>12592.499999999998</v>
      </c>
      <c r="G287" s="99">
        <f ca="1">_xlfn.XLOOKUP(P287,APU!$B$2:$B$29999,APU!$G$2:$G$29999,,0,1)</f>
        <v>963.25437499999987</v>
      </c>
      <c r="H287" s="99">
        <f ca="1">_xlfn.XLOOKUP(Q287,APU!$B$2:$B$29999,APU!$G$2:$G$29999,,0,1)</f>
        <v>6351.7871280942336</v>
      </c>
      <c r="I287" s="81">
        <f t="shared" ref="I287" ca="1" si="461">+(F287+G287+H287)</f>
        <v>19907.541503094231</v>
      </c>
      <c r="J287" s="80">
        <f t="shared" ref="J287" ca="1" si="462">+E287*F287</f>
        <v>201479.99999999997</v>
      </c>
      <c r="K287" s="80">
        <f t="shared" ref="K287" ca="1" si="463">+G287*E287</f>
        <v>15412.069999999998</v>
      </c>
      <c r="L287" s="80">
        <f t="shared" ref="L287" ca="1" si="464">+H287*E287</f>
        <v>101628.59404950774</v>
      </c>
      <c r="M287" s="82">
        <f t="shared" ref="M287" ca="1" si="465">SUM(J287:L287)</f>
        <v>318520.6640495077</v>
      </c>
      <c r="N287" s="1">
        <v>6019102</v>
      </c>
      <c r="O287" s="94" t="str">
        <f t="shared" si="443"/>
        <v>2A4D444B-V</v>
      </c>
      <c r="P287" s="94" t="str">
        <f t="shared" si="444"/>
        <v>2A4D444B-ae</v>
      </c>
      <c r="Q287" s="94" t="str">
        <f t="shared" si="445"/>
        <v>2A4D444B-ak</v>
      </c>
    </row>
    <row r="288" spans="1:17">
      <c r="A288" s="220">
        <f ca="1">HYPERLINK("#"&amp;CELL("direccion",APU!A12278),IF(E288&gt;0,A287+1,""))</f>
        <v>279</v>
      </c>
      <c r="B288" s="96" t="s">
        <v>1825</v>
      </c>
      <c r="C288" s="83" t="s">
        <v>1824</v>
      </c>
      <c r="D288" s="74" t="s">
        <v>9</v>
      </c>
      <c r="E288" s="206">
        <v>3</v>
      </c>
      <c r="F288" s="99">
        <f ca="1">_xlfn.XLOOKUP(O288,APU!$B$2:$B$29999,APU!$G$2:$G$29999,,0,1)</f>
        <v>23900</v>
      </c>
      <c r="G288" s="99">
        <f ca="1">_xlfn.XLOOKUP(P288,APU!$B$2:$B$29999,APU!$G$2:$G$29999,,0,1)</f>
        <v>2391.08</v>
      </c>
      <c r="H288" s="99">
        <f ca="1">_xlfn.XLOOKUP(Q288,APU!$B$2:$B$29999,APU!$G$2:$G$29999,,0,1)</f>
        <v>17240.565061970061</v>
      </c>
      <c r="I288" s="81">
        <f t="shared" ref="I288" ca="1" si="466">+(F288+G288+H288)</f>
        <v>43531.645061970063</v>
      </c>
      <c r="J288" s="80">
        <f t="shared" ref="J288" ca="1" si="467">+E288*F288</f>
        <v>71700</v>
      </c>
      <c r="K288" s="80">
        <f t="shared" ref="K288" ca="1" si="468">+G288*E288</f>
        <v>7173.24</v>
      </c>
      <c r="L288" s="80">
        <f t="shared" ref="L288" ca="1" si="469">+H288*E288</f>
        <v>51721.695185910183</v>
      </c>
      <c r="M288" s="82">
        <f t="shared" ref="M288" ca="1" si="470">SUM(J288:L288)</f>
        <v>130594.93518591019</v>
      </c>
      <c r="N288" s="1">
        <v>5820177</v>
      </c>
      <c r="O288" s="94" t="str">
        <f t="shared" si="443"/>
        <v>1B0F8E98-V</v>
      </c>
      <c r="P288" s="94" t="str">
        <f t="shared" si="444"/>
        <v>1B0F8E98-ae</v>
      </c>
      <c r="Q288" s="94" t="str">
        <f t="shared" si="445"/>
        <v>1B0F8E98-ak</v>
      </c>
    </row>
    <row r="289" spans="1:17">
      <c r="A289" s="220">
        <f ca="1">HYPERLINK("#"&amp;CELL("direccion",APU!A12322),IF(E289&gt;0,A288+1,""))</f>
        <v>280</v>
      </c>
      <c r="B289" s="96" t="s">
        <v>1829</v>
      </c>
      <c r="C289" s="83" t="s">
        <v>1828</v>
      </c>
      <c r="D289" s="74" t="s">
        <v>9</v>
      </c>
      <c r="E289" s="206">
        <v>4</v>
      </c>
      <c r="F289" s="99">
        <f ca="1">_xlfn.XLOOKUP(O289,APU!$B$2:$B$29999,APU!$G$2:$G$29999,,0,1)</f>
        <v>26200</v>
      </c>
      <c r="G289" s="99">
        <f ca="1">_xlfn.XLOOKUP(P289,APU!$B$2:$B$29999,APU!$G$2:$G$29999,,0,1)</f>
        <v>378.80424999999991</v>
      </c>
      <c r="H289" s="99">
        <f ca="1">_xlfn.XLOOKUP(Q289,APU!$B$2:$B$29999,APU!$G$2:$G$29999,,0,1)</f>
        <v>4536.9908057815946</v>
      </c>
      <c r="I289" s="81">
        <f t="shared" ref="I289" ca="1" si="471">+(F289+G289+H289)</f>
        <v>31115.795055781597</v>
      </c>
      <c r="J289" s="80">
        <f t="shared" ref="J289" ca="1" si="472">+E289*F289</f>
        <v>104800</v>
      </c>
      <c r="K289" s="80">
        <f t="shared" ref="K289" ca="1" si="473">+G289*E289</f>
        <v>1515.2169999999996</v>
      </c>
      <c r="L289" s="80">
        <f t="shared" ref="L289" ca="1" si="474">+H289*E289</f>
        <v>18147.963223126379</v>
      </c>
      <c r="M289" s="82">
        <f t="shared" ref="M289" ca="1" si="475">SUM(J289:L289)</f>
        <v>124463.18022312639</v>
      </c>
      <c r="N289" s="1">
        <v>5953683</v>
      </c>
      <c r="O289" s="94" t="str">
        <f t="shared" si="443"/>
        <v>367B9A5F-V</v>
      </c>
      <c r="P289" s="94" t="str">
        <f t="shared" si="444"/>
        <v>367B9A5F-ae</v>
      </c>
      <c r="Q289" s="94" t="str">
        <f t="shared" si="445"/>
        <v>367B9A5F-ak</v>
      </c>
    </row>
    <row r="290" spans="1:17">
      <c r="A290" s="220">
        <f ca="1">HYPERLINK("#"&amp;CELL("direccion",APU!A12366),IF(E290&gt;0,A289+1,""))</f>
        <v>281</v>
      </c>
      <c r="B290" s="96" t="s">
        <v>1832</v>
      </c>
      <c r="C290" s="83" t="s">
        <v>1833</v>
      </c>
      <c r="D290" s="74" t="s">
        <v>9</v>
      </c>
      <c r="E290" s="206">
        <v>5</v>
      </c>
      <c r="F290" s="99">
        <f ca="1">_xlfn.XLOOKUP(O290,APU!$B$2:$B$29999,APU!$G$2:$G$29999,,0,1)</f>
        <v>33990</v>
      </c>
      <c r="G290" s="99">
        <f ca="1">_xlfn.XLOOKUP(P290,APU!$B$2:$B$29999,APU!$G$2:$G$29999,,0,1)</f>
        <v>622.13562499999989</v>
      </c>
      <c r="H290" s="99">
        <f ca="1">_xlfn.XLOOKUP(Q290,APU!$B$2:$B$29999,APU!$G$2:$G$29999,,0,1)</f>
        <v>8166.5834504068707</v>
      </c>
      <c r="I290" s="81">
        <f t="shared" ref="I290" ca="1" si="476">+(F290+G290+H290)</f>
        <v>42778.719075406872</v>
      </c>
      <c r="J290" s="80">
        <f t="shared" ref="J290" ca="1" si="477">+E290*F290</f>
        <v>169950</v>
      </c>
      <c r="K290" s="80">
        <f t="shared" ref="K290" ca="1" si="478">+G290*E290</f>
        <v>3110.6781249999995</v>
      </c>
      <c r="L290" s="80">
        <f t="shared" ref="L290" ca="1" si="479">+H290*E290</f>
        <v>40832.917252034356</v>
      </c>
      <c r="M290" s="82">
        <f t="shared" ref="M290" ca="1" si="480">SUM(J290:L290)</f>
        <v>213893.59537703436</v>
      </c>
      <c r="N290" s="1">
        <v>2177214</v>
      </c>
      <c r="O290" s="94" t="str">
        <f t="shared" si="443"/>
        <v>940E37D-V</v>
      </c>
      <c r="P290" s="94" t="str">
        <f t="shared" si="444"/>
        <v>940E37D-ae</v>
      </c>
      <c r="Q290" s="94" t="str">
        <f t="shared" si="445"/>
        <v>940E37D-ak</v>
      </c>
    </row>
    <row r="291" spans="1:17">
      <c r="A291" s="220">
        <f ca="1">HYPERLINK("#"&amp;CELL("direccion",APU!A12410),IF(E291&gt;0,A290+1,""))</f>
        <v>282</v>
      </c>
      <c r="B291" s="96" t="s">
        <v>1835</v>
      </c>
      <c r="C291" s="83" t="s">
        <v>1834</v>
      </c>
      <c r="D291" s="74" t="s">
        <v>9</v>
      </c>
      <c r="E291" s="206">
        <v>6</v>
      </c>
      <c r="F291" s="99">
        <f ca="1">_xlfn.XLOOKUP(O291,APU!$B$2:$B$29999,APU!$G$2:$G$29999,,0,1)</f>
        <v>45560</v>
      </c>
      <c r="G291" s="99">
        <f ca="1">_xlfn.XLOOKUP(P291,APU!$B$2:$B$29999,APU!$G$2:$G$29999,,0,1)</f>
        <v>1538.2831249999997</v>
      </c>
      <c r="H291" s="99">
        <f ca="1">_xlfn.XLOOKUP(Q291,APU!$B$2:$B$29999,APU!$G$2:$G$29999,,0,1)</f>
        <v>11977.655727263411</v>
      </c>
      <c r="I291" s="81">
        <f t="shared" ref="I291" ca="1" si="481">+(F291+G291+H291)</f>
        <v>59075.938852263411</v>
      </c>
      <c r="J291" s="80">
        <f t="shared" ref="J291" ca="1" si="482">+E291*F291</f>
        <v>273360</v>
      </c>
      <c r="K291" s="80">
        <f t="shared" ref="K291" ca="1" si="483">+G291*E291</f>
        <v>9229.6987499999977</v>
      </c>
      <c r="L291" s="80">
        <f t="shared" ref="L291" ca="1" si="484">+H291*E291</f>
        <v>71865.934363580469</v>
      </c>
      <c r="M291" s="82">
        <f t="shared" ref="M291" ca="1" si="485">SUM(J291:L291)</f>
        <v>354455.63311358046</v>
      </c>
      <c r="N291" s="1">
        <v>6403795</v>
      </c>
      <c r="O291" s="94" t="str">
        <f t="shared" si="443"/>
        <v>2245B70A-V</v>
      </c>
      <c r="P291" s="94" t="str">
        <f t="shared" si="444"/>
        <v>2245B70A-ae</v>
      </c>
      <c r="Q291" s="94" t="str">
        <f t="shared" si="445"/>
        <v>2245B70A-ak</v>
      </c>
    </row>
    <row r="292" spans="1:17">
      <c r="A292" s="220">
        <f ca="1">HYPERLINK("#"&amp;CELL("direccion",APU!A12411),IF(E292&gt;0,A291+1,""))</f>
        <v>283</v>
      </c>
      <c r="B292" s="96" t="s">
        <v>1836</v>
      </c>
      <c r="C292" s="83" t="s">
        <v>1837</v>
      </c>
      <c r="D292" s="74" t="s">
        <v>9</v>
      </c>
      <c r="E292" s="206">
        <v>7</v>
      </c>
      <c r="F292" s="99">
        <f ca="1">_xlfn.XLOOKUP(O292,APU!$B$2:$B$29999,APU!$G$2:$G$29999,,0,1)</f>
        <v>68544</v>
      </c>
      <c r="G292" s="99">
        <f ca="1">_xlfn.XLOOKUP(P292,APU!$B$2:$B$29999,APU!$G$2:$G$29999,,0,1)</f>
        <v>1309.2462499999999</v>
      </c>
      <c r="H292" s="99">
        <f ca="1">_xlfn.XLOOKUP(Q292,APU!$B$2:$B$29999,APU!$G$2:$G$29999,,0,1)</f>
        <v>14699.850210732367</v>
      </c>
      <c r="I292" s="81">
        <f t="shared" ref="I292" ca="1" si="486">+(F292+G292+H292)</f>
        <v>84553.096460732369</v>
      </c>
      <c r="J292" s="80">
        <f t="shared" ref="J292" ca="1" si="487">+E292*F292</f>
        <v>479808</v>
      </c>
      <c r="K292" s="80">
        <f t="shared" ref="K292" ca="1" si="488">+G292*E292</f>
        <v>9164.7237499999992</v>
      </c>
      <c r="L292" s="80">
        <f t="shared" ref="L292" ca="1" si="489">+H292*E292</f>
        <v>102898.95147512657</v>
      </c>
      <c r="M292" s="82">
        <f t="shared" ref="M292" ca="1" si="490">SUM(J292:L292)</f>
        <v>591871.67522512656</v>
      </c>
      <c r="N292" s="1">
        <v>3575687</v>
      </c>
      <c r="O292" s="94" t="str">
        <f t="shared" si="443"/>
        <v>D8F4183-V</v>
      </c>
      <c r="P292" s="94" t="str">
        <f t="shared" si="444"/>
        <v>D8F4183-ae</v>
      </c>
      <c r="Q292" s="94" t="str">
        <f t="shared" si="445"/>
        <v>D8F4183-ak</v>
      </c>
    </row>
    <row r="293" spans="1:17">
      <c r="A293" s="220">
        <f ca="1">HYPERLINK("#"&amp;CELL("direccion",APU!A12412),IF(E293&gt;0,A292+1,""))</f>
        <v>284</v>
      </c>
      <c r="B293" s="96" t="s">
        <v>1838</v>
      </c>
      <c r="C293" s="83" t="s">
        <v>1839</v>
      </c>
      <c r="D293" s="74" t="s">
        <v>9</v>
      </c>
      <c r="E293" s="206">
        <v>8</v>
      </c>
      <c r="F293" s="99">
        <f ca="1">_xlfn.XLOOKUP(O293,APU!$B$2:$B$29999,APU!$G$2:$G$29999,,0,1)</f>
        <v>67440</v>
      </c>
      <c r="G293" s="99">
        <f ca="1">_xlfn.XLOOKUP(P293,APU!$B$2:$B$29999,APU!$G$2:$G$29999,,0,1)</f>
        <v>622.13562499999989</v>
      </c>
      <c r="H293" s="99">
        <f ca="1">_xlfn.XLOOKUP(Q293,APU!$B$2:$B$29999,APU!$G$2:$G$29999,,0,1)</f>
        <v>13610.972417344785</v>
      </c>
      <c r="I293" s="81">
        <f t="shared" ref="I293" ca="1" si="491">+(F293+G293+H293)</f>
        <v>81673.108042344786</v>
      </c>
      <c r="J293" s="80">
        <f t="shared" ref="J293" ca="1" si="492">+E293*F293</f>
        <v>539520</v>
      </c>
      <c r="K293" s="80">
        <f t="shared" ref="K293" ca="1" si="493">+G293*E293</f>
        <v>4977.0849999999991</v>
      </c>
      <c r="L293" s="80">
        <f t="shared" ref="L293" ca="1" si="494">+H293*E293</f>
        <v>108887.77933875828</v>
      </c>
      <c r="M293" s="82">
        <f t="shared" ref="M293" ca="1" si="495">SUM(J293:L293)</f>
        <v>653384.86433875829</v>
      </c>
      <c r="N293" s="1">
        <v>4398762</v>
      </c>
      <c r="O293" s="94" t="str">
        <f t="shared" ref="O293:O300" si="496">_xlfn.CONCAT(B293,"V")</f>
        <v>1AA56110-V</v>
      </c>
      <c r="P293" s="94" t="str">
        <f t="shared" ref="P293:P300" si="497">_xlfn.CONCAT(B293,"ae")</f>
        <v>1AA56110-ae</v>
      </c>
      <c r="Q293" s="94" t="str">
        <f t="shared" ref="Q293:Q300" si="498">_xlfn.CONCAT(B293,"ak")</f>
        <v>1AA56110-ak</v>
      </c>
    </row>
    <row r="294" spans="1:17">
      <c r="A294" s="220">
        <f ca="1">HYPERLINK("#"&amp;CELL("direccion",APU!A12456),IF(E294&gt;0,A293+1,""))</f>
        <v>285</v>
      </c>
      <c r="B294" s="96" t="s">
        <v>1843</v>
      </c>
      <c r="C294" s="83" t="s">
        <v>1842</v>
      </c>
      <c r="D294" s="74" t="s">
        <v>9</v>
      </c>
      <c r="E294" s="206">
        <v>3</v>
      </c>
      <c r="F294" s="99">
        <f ca="1">_xlfn.XLOOKUP(O294,APU!$B$2:$B$29999,APU!$G$2:$G$29999,,0,1)</f>
        <v>15970</v>
      </c>
      <c r="G294" s="99">
        <f ca="1">_xlfn.XLOOKUP(P294,APU!$B$2:$B$29999,APU!$G$2:$G$29999,,0,1)</f>
        <v>3302.3543749999994</v>
      </c>
      <c r="H294" s="99">
        <f ca="1">_xlfn.XLOOKUP(Q294,APU!$B$2:$B$29999,APU!$G$2:$G$29999,,0,1)</f>
        <v>10888.777933875826</v>
      </c>
      <c r="I294" s="81">
        <f t="shared" ref="I294" ca="1" si="499">+(F294+G294+H294)</f>
        <v>30161.132308875825</v>
      </c>
      <c r="J294" s="80">
        <f t="shared" ref="J294" ca="1" si="500">+E294*F294</f>
        <v>47910</v>
      </c>
      <c r="K294" s="80">
        <f t="shared" ref="K294" ca="1" si="501">+G294*E294</f>
        <v>9907.0631249999988</v>
      </c>
      <c r="L294" s="80">
        <f t="shared" ref="L294" ca="1" si="502">+H294*E294</f>
        <v>32666.333801627479</v>
      </c>
      <c r="M294" s="82">
        <f t="shared" ref="M294" ca="1" si="503">SUM(J294:L294)</f>
        <v>90483.39692662748</v>
      </c>
      <c r="N294" s="1">
        <v>8463537</v>
      </c>
      <c r="O294" s="94" t="str">
        <f t="shared" si="496"/>
        <v>200FF2FC-V</v>
      </c>
      <c r="P294" s="94" t="str">
        <f t="shared" si="497"/>
        <v>200FF2FC-ae</v>
      </c>
      <c r="Q294" s="94" t="str">
        <f t="shared" si="498"/>
        <v>200FF2FC-ak</v>
      </c>
    </row>
    <row r="295" spans="1:17">
      <c r="A295" s="220"/>
      <c r="B295" s="96"/>
      <c r="C295" s="83"/>
      <c r="D295" s="74"/>
      <c r="E295" s="206"/>
      <c r="F295" s="99"/>
      <c r="G295" s="99"/>
      <c r="H295" s="99"/>
      <c r="I295" s="81"/>
      <c r="J295" s="80"/>
      <c r="K295" s="80"/>
      <c r="L295" s="80"/>
      <c r="M295" s="82"/>
      <c r="N295" s="1">
        <v>3637050</v>
      </c>
      <c r="O295" s="94" t="str">
        <f t="shared" si="496"/>
        <v>V</v>
      </c>
      <c r="P295" s="94" t="str">
        <f t="shared" si="497"/>
        <v>ae</v>
      </c>
      <c r="Q295" s="94" t="str">
        <f t="shared" si="498"/>
        <v>ak</v>
      </c>
    </row>
    <row r="296" spans="1:17">
      <c r="A296" s="220"/>
      <c r="B296" s="96"/>
      <c r="C296" s="83"/>
      <c r="D296" s="74"/>
      <c r="E296" s="206"/>
      <c r="F296" s="99"/>
      <c r="G296" s="99"/>
      <c r="H296" s="99"/>
      <c r="I296" s="81"/>
      <c r="J296" s="80"/>
      <c r="K296" s="80"/>
      <c r="L296" s="80"/>
      <c r="M296" s="82"/>
      <c r="N296" s="1">
        <v>3492887</v>
      </c>
      <c r="O296" s="94" t="str">
        <f t="shared" si="496"/>
        <v>V</v>
      </c>
      <c r="P296" s="94" t="str">
        <f t="shared" si="497"/>
        <v>ae</v>
      </c>
      <c r="Q296" s="94" t="str">
        <f t="shared" si="498"/>
        <v>ak</v>
      </c>
    </row>
    <row r="297" spans="1:17">
      <c r="A297" s="220"/>
      <c r="B297" s="96"/>
      <c r="C297" s="83"/>
      <c r="D297" s="74"/>
      <c r="E297" s="206"/>
      <c r="F297" s="99"/>
      <c r="G297" s="99"/>
      <c r="H297" s="99"/>
      <c r="I297" s="81"/>
      <c r="J297" s="80"/>
      <c r="K297" s="80"/>
      <c r="L297" s="80"/>
      <c r="M297" s="82"/>
      <c r="N297" s="1">
        <v>1351400</v>
      </c>
      <c r="O297" s="94" t="str">
        <f t="shared" si="496"/>
        <v>V</v>
      </c>
      <c r="P297" s="94" t="str">
        <f t="shared" si="497"/>
        <v>ae</v>
      </c>
      <c r="Q297" s="94" t="str">
        <f t="shared" si="498"/>
        <v>ak</v>
      </c>
    </row>
    <row r="298" spans="1:17">
      <c r="A298" s="220"/>
      <c r="B298" s="96"/>
      <c r="C298" s="83"/>
      <c r="D298" s="74"/>
      <c r="E298" s="206"/>
      <c r="F298" s="99"/>
      <c r="G298" s="99"/>
      <c r="H298" s="99"/>
      <c r="I298" s="81"/>
      <c r="J298" s="80"/>
      <c r="K298" s="80"/>
      <c r="L298" s="80"/>
      <c r="M298" s="82"/>
      <c r="N298" s="1">
        <v>7400645</v>
      </c>
      <c r="O298" s="94" t="str">
        <f t="shared" si="496"/>
        <v>V</v>
      </c>
      <c r="P298" s="94" t="str">
        <f t="shared" si="497"/>
        <v>ae</v>
      </c>
      <c r="Q298" s="94" t="str">
        <f t="shared" si="498"/>
        <v>ak</v>
      </c>
    </row>
    <row r="299" spans="1:17">
      <c r="A299" s="220"/>
      <c r="B299" s="96"/>
      <c r="C299" s="83"/>
      <c r="D299" s="74"/>
      <c r="E299" s="206"/>
      <c r="F299" s="99"/>
      <c r="G299" s="99"/>
      <c r="H299" s="99"/>
      <c r="I299" s="81"/>
      <c r="J299" s="80"/>
      <c r="K299" s="80"/>
      <c r="L299" s="80"/>
      <c r="M299" s="82"/>
      <c r="N299" s="1">
        <v>3254444</v>
      </c>
      <c r="O299" s="94" t="str">
        <f t="shared" si="496"/>
        <v>V</v>
      </c>
      <c r="P299" s="94" t="str">
        <f t="shared" si="497"/>
        <v>ae</v>
      </c>
      <c r="Q299" s="94" t="str">
        <f t="shared" si="498"/>
        <v>ak</v>
      </c>
    </row>
    <row r="300" spans="1:17">
      <c r="A300" s="220"/>
      <c r="B300" s="96"/>
      <c r="C300" s="83"/>
      <c r="D300" s="74"/>
      <c r="E300" s="206"/>
      <c r="F300" s="99"/>
      <c r="G300" s="99"/>
      <c r="H300" s="99"/>
      <c r="I300" s="81"/>
      <c r="J300" s="80"/>
      <c r="K300" s="80"/>
      <c r="L300" s="80"/>
      <c r="M300" s="82"/>
      <c r="N300" s="1">
        <v>9572138</v>
      </c>
      <c r="O300" s="94" t="str">
        <f t="shared" si="496"/>
        <v>V</v>
      </c>
      <c r="P300" s="94" t="str">
        <f t="shared" si="497"/>
        <v>ae</v>
      </c>
      <c r="Q300" s="94" t="str">
        <f t="shared" si="498"/>
        <v>ak</v>
      </c>
    </row>
    <row r="301" spans="1:17">
      <c r="A301" s="220"/>
      <c r="B301" s="96"/>
      <c r="C301" s="83"/>
      <c r="D301" s="74"/>
      <c r="E301" s="206"/>
      <c r="F301" s="99"/>
      <c r="G301" s="99"/>
      <c r="H301" s="99"/>
      <c r="I301" s="81"/>
      <c r="J301" s="80"/>
      <c r="K301" s="80"/>
      <c r="L301" s="80"/>
      <c r="M301" s="82"/>
    </row>
    <row r="302" spans="1:17">
      <c r="A302" s="220"/>
      <c r="B302" s="96"/>
      <c r="C302" s="83"/>
      <c r="D302" s="74"/>
      <c r="E302" s="206"/>
      <c r="F302" s="99"/>
      <c r="G302" s="99"/>
      <c r="H302" s="99"/>
      <c r="I302" s="81"/>
      <c r="J302" s="80"/>
      <c r="K302" s="80"/>
      <c r="L302" s="80"/>
      <c r="M302" s="82"/>
    </row>
    <row r="303" spans="1:17">
      <c r="A303" s="220"/>
      <c r="B303" s="96"/>
      <c r="C303" s="83"/>
      <c r="D303" s="74"/>
      <c r="E303" s="206"/>
      <c r="F303" s="99"/>
      <c r="G303" s="99"/>
      <c r="H303" s="99"/>
      <c r="I303" s="81"/>
      <c r="J303" s="80"/>
      <c r="K303" s="80"/>
      <c r="L303" s="80"/>
      <c r="M303" s="82"/>
      <c r="N303" s="1">
        <v>5867876</v>
      </c>
      <c r="O303" s="94" t="str">
        <f t="shared" si="342"/>
        <v>V</v>
      </c>
      <c r="P303" s="94" t="str">
        <f t="shared" si="343"/>
        <v>ae</v>
      </c>
      <c r="Q303" s="94" t="str">
        <f t="shared" si="344"/>
        <v>ak</v>
      </c>
    </row>
    <row r="304" spans="1:17" ht="14.25" thickBot="1">
      <c r="A304" s="220"/>
      <c r="B304" s="79"/>
      <c r="C304" s="218" t="s">
        <v>842</v>
      </c>
      <c r="D304" s="74"/>
      <c r="E304" s="206"/>
      <c r="F304" s="99" t="e">
        <f ca="1">SUM(F10:F303)</f>
        <v>#N/A</v>
      </c>
      <c r="G304" s="99" t="e">
        <f ca="1">SUM(G10:G303)</f>
        <v>#N/A</v>
      </c>
      <c r="H304" s="99" t="e">
        <f ca="1">SUM(H10:H303)</f>
        <v>#N/A</v>
      </c>
      <c r="I304" s="81" t="e">
        <f ca="1">+(F304+G304+H304)</f>
        <v>#N/A</v>
      </c>
      <c r="J304" s="99" t="e">
        <f ca="1">SUM(J10:J303)</f>
        <v>#N/A</v>
      </c>
      <c r="K304" s="99" t="e">
        <f ca="1">SUM(K10:K303)</f>
        <v>#N/A</v>
      </c>
      <c r="L304" s="99" t="e">
        <f ca="1">SUM(L10:L303)</f>
        <v>#N/A</v>
      </c>
      <c r="M304" s="82"/>
    </row>
    <row r="305" spans="1:17" s="91" customFormat="1" ht="15.75" thickBot="1">
      <c r="A305" s="221"/>
      <c r="B305" s="85"/>
      <c r="C305" s="86"/>
      <c r="D305" s="87"/>
      <c r="E305" s="207"/>
      <c r="F305" s="88"/>
      <c r="G305" s="88"/>
      <c r="H305" s="88"/>
      <c r="I305" s="88"/>
      <c r="J305" s="89"/>
      <c r="K305" s="89"/>
      <c r="L305" s="89"/>
      <c r="M305" s="90" t="e">
        <f ca="1">SUM(M10:M304)</f>
        <v>#N/A</v>
      </c>
      <c r="N305" s="100"/>
      <c r="O305" s="101"/>
      <c r="P305" s="101"/>
      <c r="Q305" s="101"/>
    </row>
  </sheetData>
  <mergeCells count="3">
    <mergeCell ref="C1:H1"/>
    <mergeCell ref="C2:H2"/>
    <mergeCell ref="C3:H3"/>
  </mergeCells>
  <phoneticPr fontId="12" type="noConversion"/>
  <conditionalFormatting sqref="B1:B1048576">
    <cfRule type="duplicateValues" dxfId="11" priority="1"/>
  </conditionalFormatting>
  <hyperlinks>
    <hyperlink ref="A92" location="APU!B3610" display="APU!B3610" xr:uid="{CC7CB110-7D94-4C3D-AB72-20A9CDB5EF47}"/>
    <hyperlink ref="A90" location="APU!B3522" display="APU!B3522" xr:uid="{6D1625C1-28C2-49F6-A320-04074E25D93D}"/>
    <hyperlink ref="A89" location="APU!B3478" display="APU!B3478" xr:uid="{C91FA70D-1D9B-4E25-A16F-FC161DFB25B5}"/>
    <hyperlink ref="A88" location="APU!B3434" display="APU!B3434" xr:uid="{60EC8A76-480E-42A5-B83A-7837E0B34626}"/>
    <hyperlink ref="A87" location="APU!B3390" display="APU!B3390" xr:uid="{70B978B9-0B38-41EE-A6B1-2F3FD2D1C46C}"/>
    <hyperlink ref="A86" location="APU!B3346" display="APU!B3346" xr:uid="{3B901DC9-A1EE-490C-B8F6-52178E622683}"/>
    <hyperlink ref="A85" location="APU!B3302" display="APU!B3302" xr:uid="{0C29CB64-6D03-4A8E-B11D-163AAE3938B2}"/>
    <hyperlink ref="A84" location="APU!B3258" display="APU!B3258" xr:uid="{D93370B5-146C-4D6B-8689-FDD6B41D2C8B}"/>
    <hyperlink ref="A83" location="APU!B3214" display="APU!B3214" xr:uid="{580958C8-0D93-4412-AD4C-C8373C97CA8F}"/>
    <hyperlink ref="A82" location="APU!B3170" display="APU!B3170" xr:uid="{D93BDB81-C025-403E-A417-6015884C9ED3}"/>
    <hyperlink ref="A81" location="APU!B3126" display="APU!B3126" xr:uid="{5EE20F6C-0E45-49EE-8873-2E238A0D9B25}"/>
    <hyperlink ref="A80" location="APU!B3082" display="APU!B3082" xr:uid="{584C441F-50D2-41D8-B529-69DBFDB5570B}"/>
    <hyperlink ref="A79" location="APU!B3038" display="APU!B3038" xr:uid="{CC8DE892-6DBF-465C-ABA7-2E078E2AAC98}"/>
    <hyperlink ref="A78" location="APU!B2994" display="APU!B2994" xr:uid="{7C78EEC9-4D14-480C-8B56-73F0FE50F741}"/>
    <hyperlink ref="A77" location="APU!B2950" display="APU!B2950" xr:uid="{59B783CD-AE59-4D97-8887-067ED94EBCDD}"/>
    <hyperlink ref="A75" location="APU!B2862" display="APU!B2862" xr:uid="{48F60C74-A078-4154-A8C2-FDE16D15BA35}"/>
    <hyperlink ref="A74" location="APU!B2818" display="APU!B2818" xr:uid="{2B475810-F857-4ACE-ACE2-A052160A2EAA}"/>
    <hyperlink ref="A73" location="APU!B2774" display="APU!B2774" xr:uid="{F463E84F-87F2-47B8-AAF1-A25CAA6EEFE7}"/>
    <hyperlink ref="A72" location="APU!B2730" display="APU!B2730" xr:uid="{50479C35-4B05-40B3-A426-AD8AE735084F}"/>
    <hyperlink ref="A71" location="APU!B2686" display="APU!B2686" xr:uid="{E08C32F7-E0A9-4FF0-A8BF-082F4161BDC7}"/>
    <hyperlink ref="A70" location="APU!B2642" display="APU!B2642" xr:uid="{C85F7047-86C4-4399-AAD4-E1CC5AE7097B}"/>
    <hyperlink ref="A69" location="APU!B2598" display="APU!B2598" xr:uid="{93FDBA45-0A70-4548-9A17-3444124C784E}"/>
    <hyperlink ref="A68" location="APU!B2554" display="APU!B2554" xr:uid="{A6F9B3EE-ABC0-4FD1-81AF-4424FCD0B2DB}"/>
    <hyperlink ref="A67" location="APU!B2510" display="APU!B2510" xr:uid="{8B912263-617E-45E7-A492-507A7D950F02}"/>
    <hyperlink ref="A66" location="APU!B2466" display="APU!B2466" xr:uid="{D2A16FB7-ABB8-4863-9300-25B78FE267D2}"/>
    <hyperlink ref="A65" location="APU!B2422" display="APU!B2422" xr:uid="{D4A061A4-9F65-4D6D-8659-25138997A6F7}"/>
    <hyperlink ref="A64" location="APU!B2378" display="APU!B2378" xr:uid="{4BE87CC5-76C2-452F-91E6-31418A5745A5}"/>
    <hyperlink ref="A62" location="APU!B2290" display="APU!B2290" xr:uid="{34AF97CE-A425-4473-BFB2-8635B791109A}"/>
    <hyperlink ref="A61" location="APU!B2246" display="APU!B2246" xr:uid="{9B0E43B4-3D49-4135-90D4-41540FE12931}"/>
    <hyperlink ref="A60" location="APU!B2202" display="APU!B2202" xr:uid="{4B991408-2627-4B69-99C2-CC48FBC72119}"/>
    <hyperlink ref="A59" location="APU!B2158" display="APU!B2158" xr:uid="{C65EA7E8-D7FC-4A07-85D2-49B85F302CEE}"/>
    <hyperlink ref="A58" location="APU!B2114" display="APU!B2114" xr:uid="{6F17AB11-38DF-43A6-9D85-0624816CE03C}"/>
    <hyperlink ref="A57" location="APU!B2070" display="APU!B2070" xr:uid="{BFA0B511-9289-4D4C-B504-145F8BC27C09}"/>
    <hyperlink ref="A56" location="APU!B2026" display="APU!B2026" xr:uid="{A5DB3873-F7C9-4B09-9538-05CED9132EEF}"/>
    <hyperlink ref="A55" location="APU!B1982" display="APU!B1982" xr:uid="{DC0872E3-5FD4-4EA6-95D8-E37F80408F7C}"/>
    <hyperlink ref="A54" location="APU!B1938" display="APU!B1938" xr:uid="{944FCCBD-6A96-402A-B7F8-E4073D3B3E7C}"/>
    <hyperlink ref="A53" location="APU!B1894" display="APU!B1894" xr:uid="{42FCCBCE-CE87-4A70-8A3A-E5EAA83F25F9}"/>
    <hyperlink ref="A52" location="APU!B1850" display="APU!B1850" xr:uid="{E044B82B-8CC5-4DAF-8BF2-551B264F825D}"/>
    <hyperlink ref="A51" location="APU!B1806" display="APU!B1806" xr:uid="{A8D1745D-ECC6-4448-8424-110A15D588D8}"/>
    <hyperlink ref="A50" location="APU!B1762" display="APU!B1762" xr:uid="{3CDDD722-0413-4905-953E-48B359E83F28}"/>
    <hyperlink ref="A49" location="APU!B1718" display="APU!B1718" xr:uid="{566993BB-5F80-48D3-8E46-FE2A4B8B4728}"/>
    <hyperlink ref="A48" location="APU!B1674" display="APU!B1674" xr:uid="{D0E9F77B-241C-4AAE-B2A7-9443710E9FAF}"/>
    <hyperlink ref="A47" location="APU!B1630" display="APU!B1630" xr:uid="{7DE9ECF6-3E46-4F29-A479-0572565AC4BF}"/>
    <hyperlink ref="A46" location="APU!B1586" display="APU!B1586" xr:uid="{AEA0C27D-FCC4-4EB5-A54F-04171F6D979C}"/>
    <hyperlink ref="A44" location="APU!B1498" display="APU!B1498" xr:uid="{D6FB1592-6EB9-4F49-A3D8-F03C8B0D9C69}"/>
    <hyperlink ref="A43" location="APU!B1454" display="APU!B1454" xr:uid="{E7412784-85EA-4406-A64E-C48D847B0236}"/>
    <hyperlink ref="A42" location="APU!B1410" display="APU!B1410" xr:uid="{F27ABD22-A727-4072-B79E-D540A087AB7E}"/>
    <hyperlink ref="A41" location="APU!B1366" display="APU!B1366" xr:uid="{DB2E64C1-2305-4527-954F-CB7F2D4C462A}"/>
    <hyperlink ref="A40" location="APU!B1322" display="APU!B1322" xr:uid="{B7623BEA-7190-48A2-80C0-5002BE53B0E7}"/>
    <hyperlink ref="A39" location="APU!B1278" display="APU!B1278" xr:uid="{083CF930-CCBF-4FE5-B086-96534C233B1C}"/>
    <hyperlink ref="A38" location="APU!B1234" display="APU!B1234" xr:uid="{E7BCBCD5-F1F5-4C63-97D6-F8C83D878D53}"/>
    <hyperlink ref="A37" location="APU!B1190" display="APU!B1190" xr:uid="{187241D8-4E33-43E4-B276-1E778BC1C73A}"/>
    <hyperlink ref="A36" location="APU!B1146" display="APU!B1146" xr:uid="{1F7205D1-B74F-4E27-B94D-07F8F943C5D5}"/>
    <hyperlink ref="A35" location="APU!B1102" display="APU!B1102" xr:uid="{79840163-66D7-41E8-B0A4-0588234DA875}"/>
    <hyperlink ref="A34" location="APU!B1058" display="APU!B1058" xr:uid="{E7F8973E-64AE-4C0D-8F09-D345A2EA7B05}"/>
    <hyperlink ref="A33" location="APU!B1014" display="APU!B1014" xr:uid="{C625028E-8977-4677-B2A1-A9A5237E57A4}"/>
    <hyperlink ref="A32" location="APU!B970" display="APU!B970" xr:uid="{C6A307CB-9965-4E34-B6BB-7EBD3D4473FA}"/>
    <hyperlink ref="A30" location="APU!B882" display="APU!B882" xr:uid="{D334C0D0-DA76-4BFD-AB2E-79BE188EC6A5}"/>
    <hyperlink ref="A29" location="APU!B838" display="APU!B838" xr:uid="{0F3006F8-67A7-48C4-9608-12DAE9900DC0}"/>
    <hyperlink ref="A28" location="APU!B794" display="APU!B794" xr:uid="{73B54CC4-1CB3-4C7C-9FCE-9455E7234148}"/>
    <hyperlink ref="A27" location="APU!B750" display="APU!B750" xr:uid="{B9325B8E-7810-48EC-8D3B-82A341831703}"/>
    <hyperlink ref="A26" location="APU!B706" display="APU!B706" xr:uid="{38086C6E-44BB-4932-9A9C-EDC2C16E5D0A}"/>
    <hyperlink ref="A25" location="APU!B662" display="APU!B662" xr:uid="{96E582B5-8D9E-4457-9291-B7F931E20F09}"/>
    <hyperlink ref="A24" location="APU!B618" display="APU!B618" xr:uid="{5C1129E1-DD70-489B-BDA0-04D551C72BB4}"/>
    <hyperlink ref="A23" location="APU!B574" display="APU!B574" xr:uid="{FF8530B7-E5FB-40F2-9048-92DF6F5EEFCE}"/>
    <hyperlink ref="A22" location="APU!B530" display="APU!B530" xr:uid="{F9A7EBC1-A80B-4367-A0A3-15E23192D103}"/>
    <hyperlink ref="A20" location="APU!B442" display="APU!B442" xr:uid="{59D64185-C534-4025-B4F1-C7B5779C6DCE}"/>
    <hyperlink ref="A19" location="APU!B398" display="APU!B398" xr:uid="{45F5E756-EABF-4276-AD67-50FA02CC421A}"/>
    <hyperlink ref="A18" location="APU!B354" display="APU!B354" xr:uid="{5D19000A-9923-44BB-801F-45FD6AD7274E}"/>
    <hyperlink ref="A17" location="APU!B310" display="APU!B310" xr:uid="{3B93AF71-BD12-4DD6-9ED6-E3B11D43C65F}"/>
    <hyperlink ref="A16" location="APU!B266" display="APU!B266" xr:uid="{8C3CE7A3-9FD3-4D78-9C6F-BA9BFF462D14}"/>
    <hyperlink ref="A15" location="APU!B222" display="APU!B222" xr:uid="{AC339AA8-BCEB-4317-B39A-3C1AA36864D0}"/>
    <hyperlink ref="A14" location="APU!B178" display="APU!B178" xr:uid="{46AA13DF-BAAF-45AF-927B-EEB805F44359}"/>
    <hyperlink ref="A12" location="APU!B90" display="APU!B90" xr:uid="{D3E3032B-FB0E-40EA-9255-06CB72607E04}"/>
    <hyperlink ref="A11" location="APU!B46" display="APU!B46" xr:uid="{5BC9960F-89CE-4013-828B-08542E297224}"/>
    <hyperlink ref="A10" location="APU!B2" display="APU!B2" xr:uid="{6CB924F2-4EF2-4B4E-BF17-46CC6844F410}"/>
    <hyperlink ref="A13" location="APU!B134" display="APU!B134" xr:uid="{693E4754-A321-4572-8BD1-A5DF340AED96}"/>
    <hyperlink ref="A76" location="APU!B2906" display="APU!B2906" xr:uid="{87DAE070-3B9C-457B-B1C2-F6826E7A76A7}"/>
    <hyperlink ref="A91" location="APU!B3566" display="APU!B3566" xr:uid="{2571FFE7-57DD-4599-B6F5-99C4EEE4F848}"/>
    <hyperlink ref="A63" location="APU!B2334" display="APU!B2334" xr:uid="{4DE4C314-3443-421B-9305-BA7F9D3D011A}"/>
    <hyperlink ref="A45" location="APU!B1542" display="APU!B1542" xr:uid="{DB63526A-F536-47B0-B93B-36DC717B9CB7}"/>
    <hyperlink ref="A31" location="APU!B926" display="APU!B926" xr:uid="{6496B49A-90CA-4A8A-BA17-CC41F379D56D}"/>
    <hyperlink ref="A93" location="APU!B3654" display="APU!B3654" xr:uid="{604481C1-FCD2-4242-B7A4-4E5BCBA15860}"/>
    <hyperlink ref="A94" location="APU!B3698" display="APU!B3698" xr:uid="{B741BEE3-03F4-42AA-98D7-213DC17B7D88}"/>
    <hyperlink ref="A95" location="APU!B3742" display="APU!B3742" xr:uid="{66C02BBF-4E17-403B-944B-D012021E5518}"/>
    <hyperlink ref="A96" location="APU!B3786" display="APU!B3786" xr:uid="{C97E6904-C4E2-4090-9A8F-1B9EE4A2B231}"/>
    <hyperlink ref="A97" location="APU!B3830" display="APU!B3830" xr:uid="{7CF78448-4E1C-4A85-AF71-DB90B1D95888}"/>
    <hyperlink ref="A98" location="APU!B3874" display="APU!B3874" xr:uid="{32F16636-535E-4F29-BD62-58E29D29433F}"/>
    <hyperlink ref="A99" location="APU!B3918" display="APU!B3918" xr:uid="{C4278E31-A50C-4520-B316-9DBBEBB3FCF1}"/>
    <hyperlink ref="A100" location="APU!B3962" display="APU!B3962" xr:uid="{CBA2504F-0F27-4736-BB21-E57AC3CED88A}"/>
    <hyperlink ref="A101" location="APU!B4006" display="APU!B4006" xr:uid="{CB73CE93-8466-44B3-9AA5-E774C8D1CF27}"/>
    <hyperlink ref="A102" location="APU!B4050" display="APU!B4050" xr:uid="{953A3929-D44C-4E56-90DF-EFE3A41225B6}"/>
    <hyperlink ref="A103:A105" location="APU!B4050" display="APU!B4050" xr:uid="{F2FC878D-FF67-4FED-8A52-C210A3354BF3}"/>
    <hyperlink ref="A103" location="APU!B4094" display="APU!B4094" xr:uid="{8B2DB92A-FE31-4167-8B4D-C973CF104560}"/>
    <hyperlink ref="A104" location="APU!B4138" display="APU!B4138" xr:uid="{4EC66C42-91FD-4533-9B8A-FFE04D829EC5}"/>
    <hyperlink ref="A105" location="APU!B4182" display="APU!B4182" xr:uid="{587A2649-020D-4482-9A32-83FF557AFC27}"/>
    <hyperlink ref="A106:A107" location="APU!B4050" display="APU!B4050" xr:uid="{80091C97-D009-4654-91AD-192EDDF56B4D}"/>
    <hyperlink ref="A106" location="APU!B4226" display="APU!B4226" xr:uid="{F1373402-5620-41C6-AC82-F2A59E5E856F}"/>
    <hyperlink ref="A107" location="APU!B4270" display="APU!B4270" xr:uid="{3EE9EA2E-9831-41C2-92FC-CE7DBAA31E26}"/>
    <hyperlink ref="A108" location="APU!B4314" display="APU!B4314" xr:uid="{9F64610C-7B1B-4617-81EE-16ED9527DD63}"/>
    <hyperlink ref="A109" location="APU!B4358" display="APU!B4358" xr:uid="{B22CE426-725E-4829-9DC6-20B63D38F0FE}"/>
    <hyperlink ref="A110" location="APU!B4402" display="APU!B4402" xr:uid="{217CBF0C-AE72-4104-AAB7-DEBBA92E8E5B}"/>
    <hyperlink ref="A111:A112" location="APU!B4402" display="APU!B4402" xr:uid="{77EA89BD-8D08-4DBD-9C71-6ECE33C17898}"/>
    <hyperlink ref="A111" location="APU!B4446" display="APU!B4446" xr:uid="{E22B7A35-B51B-4EFB-92E0-68F34AD58443}"/>
    <hyperlink ref="A112" location="APU!B4490" display="APU!B4490" xr:uid="{6A58019D-65C1-45AD-872F-4BC1A8C42113}"/>
    <hyperlink ref="A113:A115" location="APU!B4402" display="APU!B4402" xr:uid="{E88DE27D-4322-4244-87E6-7CDC526A24B4}"/>
    <hyperlink ref="A113" location="APU!B4534" display="APU!B4534" xr:uid="{41AAA895-2C4A-4D6E-8A01-7AF439987633}"/>
    <hyperlink ref="A114" location="APU!B4578" display="APU!B4578" xr:uid="{634DA374-340E-43BA-94A5-7B666F7D0FEB}"/>
    <hyperlink ref="A115" location="APU!B4622" display="APU!B4622" xr:uid="{11347A18-4E2F-4361-9428-D3AEFCA17482}"/>
    <hyperlink ref="A116" location="APU!B4666" display="APU!B4666" xr:uid="{E7025792-D265-417C-877C-A2C6608FD53F}"/>
    <hyperlink ref="A117:A120" location="APU!B4666" display="APU!B4666" xr:uid="{7BDE2B5D-8870-45D0-87E6-8412BA108EDB}"/>
    <hyperlink ref="A117" location="APU!B4710" display="APU!B4710" xr:uid="{9378840E-ADB2-4EEC-B1DF-108755422FC6}"/>
    <hyperlink ref="A118" location="APU!B4754" display="APU!B4754" xr:uid="{6F9610AC-2F6A-4BCC-9AD8-6CC02A197359}"/>
    <hyperlink ref="A119" location="APU!B4798" display="APU!B4798" xr:uid="{C8373915-216E-4693-AE91-2E9BA61E4105}"/>
    <hyperlink ref="A120" location="APU!B4842" display="APU!B4842" xr:uid="{3B75A5F3-80D1-41AA-8696-C234F5910AA4}"/>
    <hyperlink ref="A121" location="APU!B4886" display="APU!B4886" xr:uid="{9FCE5189-4B32-430E-B1A6-77396DAA00AA}"/>
    <hyperlink ref="A122" location="APU!B4930" display="APU!B4930" xr:uid="{BF7FA29C-2139-4BC6-B4FC-E4DB43DDA273}"/>
    <hyperlink ref="A123" location="APU!B4974" display="APU!B4974" xr:uid="{3CA70949-837A-49D0-A30A-54AF71A45630}"/>
    <hyperlink ref="A124" location="APU!B5018" display="APU!B5018" xr:uid="{C197593B-2EA4-41A6-B356-64CBAEEC9584}"/>
    <hyperlink ref="A125" location="APU!B5062" display="APU!B5062" xr:uid="{DB1A0D28-41C7-43C6-AE34-2BD3F59E7701}"/>
    <hyperlink ref="A126" location="APU!B5106" display="APU!B5106" xr:uid="{9A7625FB-F3B1-4486-8CBE-16AB5C59BE5C}"/>
    <hyperlink ref="A127" location="APU!B5150" display="APU!B5150" xr:uid="{234FD198-CF4D-4C1F-9B95-FF35BD66F8A3}"/>
    <hyperlink ref="A128" location="APU!B5194" display="APU!B5194" xr:uid="{15C2FB03-8610-4F2E-BC92-35C9D19E8BC1}"/>
    <hyperlink ref="A129" location="APU!B5238" display="APU!B5238" xr:uid="{C2073111-495F-4E61-BFCF-1E216982A47C}"/>
    <hyperlink ref="A130" location="APU!B5282" display="APU!B5282" xr:uid="{7114C29B-D429-4CCF-9481-D2B428EDEE43}"/>
    <hyperlink ref="A131" location="APU!B5326" display="APU!B5326" xr:uid="{EF2FD7A3-BE49-46AD-83E2-E7B2B3FE7032}"/>
    <hyperlink ref="A132" location="APU!B5370" display="APU!B5370" xr:uid="{91574641-AE96-4347-8457-BEB37D275454}"/>
    <hyperlink ref="A133" location="APU!B5414" display="APU!B5414" xr:uid="{60A7ACEF-AB64-4688-A428-AB82E8EA795A}"/>
    <hyperlink ref="A134" location="APU!B5458" display="APU!B5458" xr:uid="{7946AC2D-1A91-4B65-99C1-7A30787C099B}"/>
    <hyperlink ref="A135" location="APU!B5502" display="APU!B5502" xr:uid="{A344E788-9306-41E8-907D-DCC8FB8FB247}"/>
    <hyperlink ref="A136" location="APU!B5546" display="APU!B5546" xr:uid="{93C9DD55-D1DA-478E-A81D-1CF566FCD4A9}"/>
    <hyperlink ref="A137" location="APU!B5590" display="APU!B5590" xr:uid="{E2CAC926-D422-4FD2-A2B0-EDEFB5AA0369}"/>
    <hyperlink ref="A138" location="APU!B5634" display="APU!B5634" xr:uid="{5B444896-5FD6-4147-B621-BE8CCAC1790D}"/>
    <hyperlink ref="A139" location="APU!B5678" display="APU!B5678" xr:uid="{E7326930-0370-43C4-892D-3FAA30FFAF99}"/>
    <hyperlink ref="A140" location="APU!B5722" display="APU!B5722" xr:uid="{4EE18B37-EF62-4603-B98B-2389537C3869}"/>
    <hyperlink ref="A141" location="APU!B5766" display="APU!B5766" xr:uid="{B500E264-1131-4260-9613-745CCA3CE56A}"/>
    <hyperlink ref="A142" location="APU!B5810" display="APU!B5810" xr:uid="{01DEFE47-5093-47C8-971A-C653D219781C}"/>
    <hyperlink ref="A143" location="APU!B5854" display="APU!B5854" xr:uid="{D3D02E95-FA95-4B83-B08C-36B0EA406763}"/>
    <hyperlink ref="A144" location="APU!B5898" display="APU!B5898" xr:uid="{81664E77-C9ED-4D48-A312-28BBBCE74F18}"/>
    <hyperlink ref="A145" location="APU!B5942" display="APU!B5942" xr:uid="{2EA00A74-D606-47F0-911B-C5BC2D5A1589}"/>
    <hyperlink ref="A146" location="APU!B5986" display="APU!B5986" xr:uid="{C54632BC-F14A-47C0-B7D2-2AB68A4600C3}"/>
    <hyperlink ref="A147" location="APU!B6030" display="APU!B6030" xr:uid="{702AD91D-D3F6-4FA9-A903-BD560ECDC2DD}"/>
    <hyperlink ref="A148" location="APU!B6074" display="APU!B6074" xr:uid="{A13F1D73-CEFD-4148-BEAD-83B8D2C312B8}"/>
    <hyperlink ref="A149" location="APU!B6162" display="APU!B6162" xr:uid="{6174D62C-309B-46AF-B5F9-83EDBEE3716F}"/>
    <hyperlink ref="A150" location="APU!B6206" display="APU!B6206" xr:uid="{AE30E9B4-8809-41A7-925B-F33203A95E6E}"/>
    <hyperlink ref="A151" location="APU!B6250" display="APU!B6250" xr:uid="{C2CAE7C0-EDB1-4528-80A1-FDE4B692591E}"/>
    <hyperlink ref="A152" location="APU!B6294" display="APU!B6294" xr:uid="{6DB3115C-9D99-4D08-B5ED-BB831B290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49A8-DD64-4F29-B58D-DB1C6271B5C8}">
  <dimension ref="A1:AC12585"/>
  <sheetViews>
    <sheetView topLeftCell="A12537" workbookViewId="0">
      <selection activeCell="C12542" sqref="C12542:G12542"/>
    </sheetView>
  </sheetViews>
  <sheetFormatPr baseColWidth="10" defaultColWidth="11.42578125" defaultRowHeight="13.5"/>
  <cols>
    <col min="1" max="1" width="11.42578125" style="211"/>
    <col min="2" max="2" width="12" style="212" bestFit="1" customWidth="1"/>
    <col min="3" max="3" width="70.5703125" style="3" customWidth="1"/>
    <col min="4" max="4" width="12" style="188" customWidth="1"/>
    <col min="5" max="5" width="18" style="3" customWidth="1"/>
    <col min="6" max="6" width="11.5703125" style="44" customWidth="1"/>
    <col min="7" max="7" width="21.140625" style="3" bestFit="1" customWidth="1"/>
    <col min="8" max="8" width="11.42578125" style="211"/>
    <col min="9" max="9" width="12" style="211" bestFit="1" customWidth="1"/>
    <col min="10" max="29" width="11.42578125" style="211"/>
    <col min="30" max="257" width="11.42578125" style="3"/>
    <col min="258" max="258" width="8.5703125" style="3" customWidth="1"/>
    <col min="259" max="259" width="70.5703125" style="3" customWidth="1"/>
    <col min="260" max="260" width="12" style="3" customWidth="1"/>
    <col min="261" max="261" width="18" style="3" customWidth="1"/>
    <col min="262" max="262" width="11.5703125" style="3" customWidth="1"/>
    <col min="263" max="263" width="21.140625" style="3" bestFit="1" customWidth="1"/>
    <col min="264" max="513" width="11.42578125" style="3"/>
    <col min="514" max="514" width="8.5703125" style="3" customWidth="1"/>
    <col min="515" max="515" width="70.5703125" style="3" customWidth="1"/>
    <col min="516" max="516" width="12" style="3" customWidth="1"/>
    <col min="517" max="517" width="18" style="3" customWidth="1"/>
    <col min="518" max="518" width="11.5703125" style="3" customWidth="1"/>
    <col min="519" max="519" width="21.140625" style="3" bestFit="1" customWidth="1"/>
    <col min="520" max="769" width="11.42578125" style="3"/>
    <col min="770" max="770" width="8.5703125" style="3" customWidth="1"/>
    <col min="771" max="771" width="70.5703125" style="3" customWidth="1"/>
    <col min="772" max="772" width="12" style="3" customWidth="1"/>
    <col min="773" max="773" width="18" style="3" customWidth="1"/>
    <col min="774" max="774" width="11.5703125" style="3" customWidth="1"/>
    <col min="775" max="775" width="21.140625" style="3" bestFit="1" customWidth="1"/>
    <col min="776" max="1025" width="11.42578125" style="3"/>
    <col min="1026" max="1026" width="8.5703125" style="3" customWidth="1"/>
    <col min="1027" max="1027" width="70.5703125" style="3" customWidth="1"/>
    <col min="1028" max="1028" width="12" style="3" customWidth="1"/>
    <col min="1029" max="1029" width="18" style="3" customWidth="1"/>
    <col min="1030" max="1030" width="11.5703125" style="3" customWidth="1"/>
    <col min="1031" max="1031" width="21.140625" style="3" bestFit="1" customWidth="1"/>
    <col min="1032" max="1281" width="11.42578125" style="3"/>
    <col min="1282" max="1282" width="8.5703125" style="3" customWidth="1"/>
    <col min="1283" max="1283" width="70.5703125" style="3" customWidth="1"/>
    <col min="1284" max="1284" width="12" style="3" customWidth="1"/>
    <col min="1285" max="1285" width="18" style="3" customWidth="1"/>
    <col min="1286" max="1286" width="11.5703125" style="3" customWidth="1"/>
    <col min="1287" max="1287" width="21.140625" style="3" bestFit="1" customWidth="1"/>
    <col min="1288" max="1537" width="11.42578125" style="3"/>
    <col min="1538" max="1538" width="8.5703125" style="3" customWidth="1"/>
    <col min="1539" max="1539" width="70.5703125" style="3" customWidth="1"/>
    <col min="1540" max="1540" width="12" style="3" customWidth="1"/>
    <col min="1541" max="1541" width="18" style="3" customWidth="1"/>
    <col min="1542" max="1542" width="11.5703125" style="3" customWidth="1"/>
    <col min="1543" max="1543" width="21.140625" style="3" bestFit="1" customWidth="1"/>
    <col min="1544" max="1793" width="11.42578125" style="3"/>
    <col min="1794" max="1794" width="8.5703125" style="3" customWidth="1"/>
    <col min="1795" max="1795" width="70.5703125" style="3" customWidth="1"/>
    <col min="1796" max="1796" width="12" style="3" customWidth="1"/>
    <col min="1797" max="1797" width="18" style="3" customWidth="1"/>
    <col min="1798" max="1798" width="11.5703125" style="3" customWidth="1"/>
    <col min="1799" max="1799" width="21.140625" style="3" bestFit="1" customWidth="1"/>
    <col min="1800" max="2049" width="11.42578125" style="3"/>
    <col min="2050" max="2050" width="8.5703125" style="3" customWidth="1"/>
    <col min="2051" max="2051" width="70.5703125" style="3" customWidth="1"/>
    <col min="2052" max="2052" width="12" style="3" customWidth="1"/>
    <col min="2053" max="2053" width="18" style="3" customWidth="1"/>
    <col min="2054" max="2054" width="11.5703125" style="3" customWidth="1"/>
    <col min="2055" max="2055" width="21.140625" style="3" bestFit="1" customWidth="1"/>
    <col min="2056" max="2305" width="11.42578125" style="3"/>
    <col min="2306" max="2306" width="8.5703125" style="3" customWidth="1"/>
    <col min="2307" max="2307" width="70.5703125" style="3" customWidth="1"/>
    <col min="2308" max="2308" width="12" style="3" customWidth="1"/>
    <col min="2309" max="2309" width="18" style="3" customWidth="1"/>
    <col min="2310" max="2310" width="11.5703125" style="3" customWidth="1"/>
    <col min="2311" max="2311" width="21.140625" style="3" bestFit="1" customWidth="1"/>
    <col min="2312" max="2561" width="11.42578125" style="3"/>
    <col min="2562" max="2562" width="8.5703125" style="3" customWidth="1"/>
    <col min="2563" max="2563" width="70.5703125" style="3" customWidth="1"/>
    <col min="2564" max="2564" width="12" style="3" customWidth="1"/>
    <col min="2565" max="2565" width="18" style="3" customWidth="1"/>
    <col min="2566" max="2566" width="11.5703125" style="3" customWidth="1"/>
    <col min="2567" max="2567" width="21.140625" style="3" bestFit="1" customWidth="1"/>
    <col min="2568" max="2817" width="11.42578125" style="3"/>
    <col min="2818" max="2818" width="8.5703125" style="3" customWidth="1"/>
    <col min="2819" max="2819" width="70.5703125" style="3" customWidth="1"/>
    <col min="2820" max="2820" width="12" style="3" customWidth="1"/>
    <col min="2821" max="2821" width="18" style="3" customWidth="1"/>
    <col min="2822" max="2822" width="11.5703125" style="3" customWidth="1"/>
    <col min="2823" max="2823" width="21.140625" style="3" bestFit="1" customWidth="1"/>
    <col min="2824" max="3073" width="11.42578125" style="3"/>
    <col min="3074" max="3074" width="8.5703125" style="3" customWidth="1"/>
    <col min="3075" max="3075" width="70.5703125" style="3" customWidth="1"/>
    <col min="3076" max="3076" width="12" style="3" customWidth="1"/>
    <col min="3077" max="3077" width="18" style="3" customWidth="1"/>
    <col min="3078" max="3078" width="11.5703125" style="3" customWidth="1"/>
    <col min="3079" max="3079" width="21.140625" style="3" bestFit="1" customWidth="1"/>
    <col min="3080" max="3329" width="11.42578125" style="3"/>
    <col min="3330" max="3330" width="8.5703125" style="3" customWidth="1"/>
    <col min="3331" max="3331" width="70.5703125" style="3" customWidth="1"/>
    <col min="3332" max="3332" width="12" style="3" customWidth="1"/>
    <col min="3333" max="3333" width="18" style="3" customWidth="1"/>
    <col min="3334" max="3334" width="11.5703125" style="3" customWidth="1"/>
    <col min="3335" max="3335" width="21.140625" style="3" bestFit="1" customWidth="1"/>
    <col min="3336" max="3585" width="11.42578125" style="3"/>
    <col min="3586" max="3586" width="8.5703125" style="3" customWidth="1"/>
    <col min="3587" max="3587" width="70.5703125" style="3" customWidth="1"/>
    <col min="3588" max="3588" width="12" style="3" customWidth="1"/>
    <col min="3589" max="3589" width="18" style="3" customWidth="1"/>
    <col min="3590" max="3590" width="11.5703125" style="3" customWidth="1"/>
    <col min="3591" max="3591" width="21.140625" style="3" bestFit="1" customWidth="1"/>
    <col min="3592" max="3841" width="11.42578125" style="3"/>
    <col min="3842" max="3842" width="8.5703125" style="3" customWidth="1"/>
    <col min="3843" max="3843" width="70.5703125" style="3" customWidth="1"/>
    <col min="3844" max="3844" width="12" style="3" customWidth="1"/>
    <col min="3845" max="3845" width="18" style="3" customWidth="1"/>
    <col min="3846" max="3846" width="11.5703125" style="3" customWidth="1"/>
    <col min="3847" max="3847" width="21.140625" style="3" bestFit="1" customWidth="1"/>
    <col min="3848" max="4097" width="11.42578125" style="3"/>
    <col min="4098" max="4098" width="8.5703125" style="3" customWidth="1"/>
    <col min="4099" max="4099" width="70.5703125" style="3" customWidth="1"/>
    <col min="4100" max="4100" width="12" style="3" customWidth="1"/>
    <col min="4101" max="4101" width="18" style="3" customWidth="1"/>
    <col min="4102" max="4102" width="11.5703125" style="3" customWidth="1"/>
    <col min="4103" max="4103" width="21.140625" style="3" bestFit="1" customWidth="1"/>
    <col min="4104" max="4353" width="11.42578125" style="3"/>
    <col min="4354" max="4354" width="8.5703125" style="3" customWidth="1"/>
    <col min="4355" max="4355" width="70.5703125" style="3" customWidth="1"/>
    <col min="4356" max="4356" width="12" style="3" customWidth="1"/>
    <col min="4357" max="4357" width="18" style="3" customWidth="1"/>
    <col min="4358" max="4358" width="11.5703125" style="3" customWidth="1"/>
    <col min="4359" max="4359" width="21.140625" style="3" bestFit="1" customWidth="1"/>
    <col min="4360" max="4609" width="11.42578125" style="3"/>
    <col min="4610" max="4610" width="8.5703125" style="3" customWidth="1"/>
    <col min="4611" max="4611" width="70.5703125" style="3" customWidth="1"/>
    <col min="4612" max="4612" width="12" style="3" customWidth="1"/>
    <col min="4613" max="4613" width="18" style="3" customWidth="1"/>
    <col min="4614" max="4614" width="11.5703125" style="3" customWidth="1"/>
    <col min="4615" max="4615" width="21.140625" style="3" bestFit="1" customWidth="1"/>
    <col min="4616" max="4865" width="11.42578125" style="3"/>
    <col min="4866" max="4866" width="8.5703125" style="3" customWidth="1"/>
    <col min="4867" max="4867" width="70.5703125" style="3" customWidth="1"/>
    <col min="4868" max="4868" width="12" style="3" customWidth="1"/>
    <col min="4869" max="4869" width="18" style="3" customWidth="1"/>
    <col min="4870" max="4870" width="11.5703125" style="3" customWidth="1"/>
    <col min="4871" max="4871" width="21.140625" style="3" bestFit="1" customWidth="1"/>
    <col min="4872" max="5121" width="11.42578125" style="3"/>
    <col min="5122" max="5122" width="8.5703125" style="3" customWidth="1"/>
    <col min="5123" max="5123" width="70.5703125" style="3" customWidth="1"/>
    <col min="5124" max="5124" width="12" style="3" customWidth="1"/>
    <col min="5125" max="5125" width="18" style="3" customWidth="1"/>
    <col min="5126" max="5126" width="11.5703125" style="3" customWidth="1"/>
    <col min="5127" max="5127" width="21.140625" style="3" bestFit="1" customWidth="1"/>
    <col min="5128" max="5377" width="11.42578125" style="3"/>
    <col min="5378" max="5378" width="8.5703125" style="3" customWidth="1"/>
    <col min="5379" max="5379" width="70.5703125" style="3" customWidth="1"/>
    <col min="5380" max="5380" width="12" style="3" customWidth="1"/>
    <col min="5381" max="5381" width="18" style="3" customWidth="1"/>
    <col min="5382" max="5382" width="11.5703125" style="3" customWidth="1"/>
    <col min="5383" max="5383" width="21.140625" style="3" bestFit="1" customWidth="1"/>
    <col min="5384" max="5633" width="11.42578125" style="3"/>
    <col min="5634" max="5634" width="8.5703125" style="3" customWidth="1"/>
    <col min="5635" max="5635" width="70.5703125" style="3" customWidth="1"/>
    <col min="5636" max="5636" width="12" style="3" customWidth="1"/>
    <col min="5637" max="5637" width="18" style="3" customWidth="1"/>
    <col min="5638" max="5638" width="11.5703125" style="3" customWidth="1"/>
    <col min="5639" max="5639" width="21.140625" style="3" bestFit="1" customWidth="1"/>
    <col min="5640" max="5889" width="11.42578125" style="3"/>
    <col min="5890" max="5890" width="8.5703125" style="3" customWidth="1"/>
    <col min="5891" max="5891" width="70.5703125" style="3" customWidth="1"/>
    <col min="5892" max="5892" width="12" style="3" customWidth="1"/>
    <col min="5893" max="5893" width="18" style="3" customWidth="1"/>
    <col min="5894" max="5894" width="11.5703125" style="3" customWidth="1"/>
    <col min="5895" max="5895" width="21.140625" style="3" bestFit="1" customWidth="1"/>
    <col min="5896" max="6145" width="11.42578125" style="3"/>
    <col min="6146" max="6146" width="8.5703125" style="3" customWidth="1"/>
    <col min="6147" max="6147" width="70.5703125" style="3" customWidth="1"/>
    <col min="6148" max="6148" width="12" style="3" customWidth="1"/>
    <col min="6149" max="6149" width="18" style="3" customWidth="1"/>
    <col min="6150" max="6150" width="11.5703125" style="3" customWidth="1"/>
    <col min="6151" max="6151" width="21.140625" style="3" bestFit="1" customWidth="1"/>
    <col min="6152" max="6401" width="11.42578125" style="3"/>
    <col min="6402" max="6402" width="8.5703125" style="3" customWidth="1"/>
    <col min="6403" max="6403" width="70.5703125" style="3" customWidth="1"/>
    <col min="6404" max="6404" width="12" style="3" customWidth="1"/>
    <col min="6405" max="6405" width="18" style="3" customWidth="1"/>
    <col min="6406" max="6406" width="11.5703125" style="3" customWidth="1"/>
    <col min="6407" max="6407" width="21.140625" style="3" bestFit="1" customWidth="1"/>
    <col min="6408" max="6657" width="11.42578125" style="3"/>
    <col min="6658" max="6658" width="8.5703125" style="3" customWidth="1"/>
    <col min="6659" max="6659" width="70.5703125" style="3" customWidth="1"/>
    <col min="6660" max="6660" width="12" style="3" customWidth="1"/>
    <col min="6661" max="6661" width="18" style="3" customWidth="1"/>
    <col min="6662" max="6662" width="11.5703125" style="3" customWidth="1"/>
    <col min="6663" max="6663" width="21.140625" style="3" bestFit="1" customWidth="1"/>
    <col min="6664" max="6913" width="11.42578125" style="3"/>
    <col min="6914" max="6914" width="8.5703125" style="3" customWidth="1"/>
    <col min="6915" max="6915" width="70.5703125" style="3" customWidth="1"/>
    <col min="6916" max="6916" width="12" style="3" customWidth="1"/>
    <col min="6917" max="6917" width="18" style="3" customWidth="1"/>
    <col min="6918" max="6918" width="11.5703125" style="3" customWidth="1"/>
    <col min="6919" max="6919" width="21.140625" style="3" bestFit="1" customWidth="1"/>
    <col min="6920" max="7169" width="11.42578125" style="3"/>
    <col min="7170" max="7170" width="8.5703125" style="3" customWidth="1"/>
    <col min="7171" max="7171" width="70.5703125" style="3" customWidth="1"/>
    <col min="7172" max="7172" width="12" style="3" customWidth="1"/>
    <col min="7173" max="7173" width="18" style="3" customWidth="1"/>
    <col min="7174" max="7174" width="11.5703125" style="3" customWidth="1"/>
    <col min="7175" max="7175" width="21.140625" style="3" bestFit="1" customWidth="1"/>
    <col min="7176" max="7425" width="11.42578125" style="3"/>
    <col min="7426" max="7426" width="8.5703125" style="3" customWidth="1"/>
    <col min="7427" max="7427" width="70.5703125" style="3" customWidth="1"/>
    <col min="7428" max="7428" width="12" style="3" customWidth="1"/>
    <col min="7429" max="7429" width="18" style="3" customWidth="1"/>
    <col min="7430" max="7430" width="11.5703125" style="3" customWidth="1"/>
    <col min="7431" max="7431" width="21.140625" style="3" bestFit="1" customWidth="1"/>
    <col min="7432" max="7681" width="11.42578125" style="3"/>
    <col min="7682" max="7682" width="8.5703125" style="3" customWidth="1"/>
    <col min="7683" max="7683" width="70.5703125" style="3" customWidth="1"/>
    <col min="7684" max="7684" width="12" style="3" customWidth="1"/>
    <col min="7685" max="7685" width="18" style="3" customWidth="1"/>
    <col min="7686" max="7686" width="11.5703125" style="3" customWidth="1"/>
    <col min="7687" max="7687" width="21.140625" style="3" bestFit="1" customWidth="1"/>
    <col min="7688" max="7937" width="11.42578125" style="3"/>
    <col min="7938" max="7938" width="8.5703125" style="3" customWidth="1"/>
    <col min="7939" max="7939" width="70.5703125" style="3" customWidth="1"/>
    <col min="7940" max="7940" width="12" style="3" customWidth="1"/>
    <col min="7941" max="7941" width="18" style="3" customWidth="1"/>
    <col min="7942" max="7942" width="11.5703125" style="3" customWidth="1"/>
    <col min="7943" max="7943" width="21.140625" style="3" bestFit="1" customWidth="1"/>
    <col min="7944" max="8193" width="11.42578125" style="3"/>
    <col min="8194" max="8194" width="8.5703125" style="3" customWidth="1"/>
    <col min="8195" max="8195" width="70.5703125" style="3" customWidth="1"/>
    <col min="8196" max="8196" width="12" style="3" customWidth="1"/>
    <col min="8197" max="8197" width="18" style="3" customWidth="1"/>
    <col min="8198" max="8198" width="11.5703125" style="3" customWidth="1"/>
    <col min="8199" max="8199" width="21.140625" style="3" bestFit="1" customWidth="1"/>
    <col min="8200" max="8449" width="11.42578125" style="3"/>
    <col min="8450" max="8450" width="8.5703125" style="3" customWidth="1"/>
    <col min="8451" max="8451" width="70.5703125" style="3" customWidth="1"/>
    <col min="8452" max="8452" width="12" style="3" customWidth="1"/>
    <col min="8453" max="8453" width="18" style="3" customWidth="1"/>
    <col min="8454" max="8454" width="11.5703125" style="3" customWidth="1"/>
    <col min="8455" max="8455" width="21.140625" style="3" bestFit="1" customWidth="1"/>
    <col min="8456" max="8705" width="11.42578125" style="3"/>
    <col min="8706" max="8706" width="8.5703125" style="3" customWidth="1"/>
    <col min="8707" max="8707" width="70.5703125" style="3" customWidth="1"/>
    <col min="8708" max="8708" width="12" style="3" customWidth="1"/>
    <col min="8709" max="8709" width="18" style="3" customWidth="1"/>
    <col min="8710" max="8710" width="11.5703125" style="3" customWidth="1"/>
    <col min="8711" max="8711" width="21.140625" style="3" bestFit="1" customWidth="1"/>
    <col min="8712" max="8961" width="11.42578125" style="3"/>
    <col min="8962" max="8962" width="8.5703125" style="3" customWidth="1"/>
    <col min="8963" max="8963" width="70.5703125" style="3" customWidth="1"/>
    <col min="8964" max="8964" width="12" style="3" customWidth="1"/>
    <col min="8965" max="8965" width="18" style="3" customWidth="1"/>
    <col min="8966" max="8966" width="11.5703125" style="3" customWidth="1"/>
    <col min="8967" max="8967" width="21.140625" style="3" bestFit="1" customWidth="1"/>
    <col min="8968" max="9217" width="11.42578125" style="3"/>
    <col min="9218" max="9218" width="8.5703125" style="3" customWidth="1"/>
    <col min="9219" max="9219" width="70.5703125" style="3" customWidth="1"/>
    <col min="9220" max="9220" width="12" style="3" customWidth="1"/>
    <col min="9221" max="9221" width="18" style="3" customWidth="1"/>
    <col min="9222" max="9222" width="11.5703125" style="3" customWidth="1"/>
    <col min="9223" max="9223" width="21.140625" style="3" bestFit="1" customWidth="1"/>
    <col min="9224" max="9473" width="11.42578125" style="3"/>
    <col min="9474" max="9474" width="8.5703125" style="3" customWidth="1"/>
    <col min="9475" max="9475" width="70.5703125" style="3" customWidth="1"/>
    <col min="9476" max="9476" width="12" style="3" customWidth="1"/>
    <col min="9477" max="9477" width="18" style="3" customWidth="1"/>
    <col min="9478" max="9478" width="11.5703125" style="3" customWidth="1"/>
    <col min="9479" max="9479" width="21.140625" style="3" bestFit="1" customWidth="1"/>
    <col min="9480" max="9729" width="11.42578125" style="3"/>
    <col min="9730" max="9730" width="8.5703125" style="3" customWidth="1"/>
    <col min="9731" max="9731" width="70.5703125" style="3" customWidth="1"/>
    <col min="9732" max="9732" width="12" style="3" customWidth="1"/>
    <col min="9733" max="9733" width="18" style="3" customWidth="1"/>
    <col min="9734" max="9734" width="11.5703125" style="3" customWidth="1"/>
    <col min="9735" max="9735" width="21.140625" style="3" bestFit="1" customWidth="1"/>
    <col min="9736" max="9985" width="11.42578125" style="3"/>
    <col min="9986" max="9986" width="8.5703125" style="3" customWidth="1"/>
    <col min="9987" max="9987" width="70.5703125" style="3" customWidth="1"/>
    <col min="9988" max="9988" width="12" style="3" customWidth="1"/>
    <col min="9989" max="9989" width="18" style="3" customWidth="1"/>
    <col min="9990" max="9990" width="11.5703125" style="3" customWidth="1"/>
    <col min="9991" max="9991" width="21.140625" style="3" bestFit="1" customWidth="1"/>
    <col min="9992" max="10241" width="11.42578125" style="3"/>
    <col min="10242" max="10242" width="8.5703125" style="3" customWidth="1"/>
    <col min="10243" max="10243" width="70.5703125" style="3" customWidth="1"/>
    <col min="10244" max="10244" width="12" style="3" customWidth="1"/>
    <col min="10245" max="10245" width="18" style="3" customWidth="1"/>
    <col min="10246" max="10246" width="11.5703125" style="3" customWidth="1"/>
    <col min="10247" max="10247" width="21.140625" style="3" bestFit="1" customWidth="1"/>
    <col min="10248" max="10497" width="11.42578125" style="3"/>
    <col min="10498" max="10498" width="8.5703125" style="3" customWidth="1"/>
    <col min="10499" max="10499" width="70.5703125" style="3" customWidth="1"/>
    <col min="10500" max="10500" width="12" style="3" customWidth="1"/>
    <col min="10501" max="10501" width="18" style="3" customWidth="1"/>
    <col min="10502" max="10502" width="11.5703125" style="3" customWidth="1"/>
    <col min="10503" max="10503" width="21.140625" style="3" bestFit="1" customWidth="1"/>
    <col min="10504" max="10753" width="11.42578125" style="3"/>
    <col min="10754" max="10754" width="8.5703125" style="3" customWidth="1"/>
    <col min="10755" max="10755" width="70.5703125" style="3" customWidth="1"/>
    <col min="10756" max="10756" width="12" style="3" customWidth="1"/>
    <col min="10757" max="10757" width="18" style="3" customWidth="1"/>
    <col min="10758" max="10758" width="11.5703125" style="3" customWidth="1"/>
    <col min="10759" max="10759" width="21.140625" style="3" bestFit="1" customWidth="1"/>
    <col min="10760" max="11009" width="11.42578125" style="3"/>
    <col min="11010" max="11010" width="8.5703125" style="3" customWidth="1"/>
    <col min="11011" max="11011" width="70.5703125" style="3" customWidth="1"/>
    <col min="11012" max="11012" width="12" style="3" customWidth="1"/>
    <col min="11013" max="11013" width="18" style="3" customWidth="1"/>
    <col min="11014" max="11014" width="11.5703125" style="3" customWidth="1"/>
    <col min="11015" max="11015" width="21.140625" style="3" bestFit="1" customWidth="1"/>
    <col min="11016" max="11265" width="11.42578125" style="3"/>
    <col min="11266" max="11266" width="8.5703125" style="3" customWidth="1"/>
    <col min="11267" max="11267" width="70.5703125" style="3" customWidth="1"/>
    <col min="11268" max="11268" width="12" style="3" customWidth="1"/>
    <col min="11269" max="11269" width="18" style="3" customWidth="1"/>
    <col min="11270" max="11270" width="11.5703125" style="3" customWidth="1"/>
    <col min="11271" max="11271" width="21.140625" style="3" bestFit="1" customWidth="1"/>
    <col min="11272" max="11521" width="11.42578125" style="3"/>
    <col min="11522" max="11522" width="8.5703125" style="3" customWidth="1"/>
    <col min="11523" max="11523" width="70.5703125" style="3" customWidth="1"/>
    <col min="11524" max="11524" width="12" style="3" customWidth="1"/>
    <col min="11525" max="11525" width="18" style="3" customWidth="1"/>
    <col min="11526" max="11526" width="11.5703125" style="3" customWidth="1"/>
    <col min="11527" max="11527" width="21.140625" style="3" bestFit="1" customWidth="1"/>
    <col min="11528" max="11777" width="11.42578125" style="3"/>
    <col min="11778" max="11778" width="8.5703125" style="3" customWidth="1"/>
    <col min="11779" max="11779" width="70.5703125" style="3" customWidth="1"/>
    <col min="11780" max="11780" width="12" style="3" customWidth="1"/>
    <col min="11781" max="11781" width="18" style="3" customWidth="1"/>
    <col min="11782" max="11782" width="11.5703125" style="3" customWidth="1"/>
    <col min="11783" max="11783" width="21.140625" style="3" bestFit="1" customWidth="1"/>
    <col min="11784" max="12033" width="11.42578125" style="3"/>
    <col min="12034" max="12034" width="8.5703125" style="3" customWidth="1"/>
    <col min="12035" max="12035" width="70.5703125" style="3" customWidth="1"/>
    <col min="12036" max="12036" width="12" style="3" customWidth="1"/>
    <col min="12037" max="12037" width="18" style="3" customWidth="1"/>
    <col min="12038" max="12038" width="11.5703125" style="3" customWidth="1"/>
    <col min="12039" max="12039" width="21.140625" style="3" bestFit="1" customWidth="1"/>
    <col min="12040" max="12289" width="11.42578125" style="3"/>
    <col min="12290" max="12290" width="8.5703125" style="3" customWidth="1"/>
    <col min="12291" max="12291" width="70.5703125" style="3" customWidth="1"/>
    <col min="12292" max="12292" width="12" style="3" customWidth="1"/>
    <col min="12293" max="12293" width="18" style="3" customWidth="1"/>
    <col min="12294" max="12294" width="11.5703125" style="3" customWidth="1"/>
    <col min="12295" max="12295" width="21.140625" style="3" bestFit="1" customWidth="1"/>
    <col min="12296" max="12545" width="11.42578125" style="3"/>
    <col min="12546" max="12546" width="8.5703125" style="3" customWidth="1"/>
    <col min="12547" max="12547" width="70.5703125" style="3" customWidth="1"/>
    <col min="12548" max="12548" width="12" style="3" customWidth="1"/>
    <col min="12549" max="12549" width="18" style="3" customWidth="1"/>
    <col min="12550" max="12550" width="11.5703125" style="3" customWidth="1"/>
    <col min="12551" max="12551" width="21.140625" style="3" bestFit="1" customWidth="1"/>
    <col min="12552" max="12801" width="11.42578125" style="3"/>
    <col min="12802" max="12802" width="8.5703125" style="3" customWidth="1"/>
    <col min="12803" max="12803" width="70.5703125" style="3" customWidth="1"/>
    <col min="12804" max="12804" width="12" style="3" customWidth="1"/>
    <col min="12805" max="12805" width="18" style="3" customWidth="1"/>
    <col min="12806" max="12806" width="11.5703125" style="3" customWidth="1"/>
    <col min="12807" max="12807" width="21.140625" style="3" bestFit="1" customWidth="1"/>
    <col min="12808" max="13057" width="11.42578125" style="3"/>
    <col min="13058" max="13058" width="8.5703125" style="3" customWidth="1"/>
    <col min="13059" max="13059" width="70.5703125" style="3" customWidth="1"/>
    <col min="13060" max="13060" width="12" style="3" customWidth="1"/>
    <col min="13061" max="13061" width="18" style="3" customWidth="1"/>
    <col min="13062" max="13062" width="11.5703125" style="3" customWidth="1"/>
    <col min="13063" max="13063" width="21.140625" style="3" bestFit="1" customWidth="1"/>
    <col min="13064" max="13313" width="11.42578125" style="3"/>
    <col min="13314" max="13314" width="8.5703125" style="3" customWidth="1"/>
    <col min="13315" max="13315" width="70.5703125" style="3" customWidth="1"/>
    <col min="13316" max="13316" width="12" style="3" customWidth="1"/>
    <col min="13317" max="13317" width="18" style="3" customWidth="1"/>
    <col min="13318" max="13318" width="11.5703125" style="3" customWidth="1"/>
    <col min="13319" max="13319" width="21.140625" style="3" bestFit="1" customWidth="1"/>
    <col min="13320" max="13569" width="11.42578125" style="3"/>
    <col min="13570" max="13570" width="8.5703125" style="3" customWidth="1"/>
    <col min="13571" max="13571" width="70.5703125" style="3" customWidth="1"/>
    <col min="13572" max="13572" width="12" style="3" customWidth="1"/>
    <col min="13573" max="13573" width="18" style="3" customWidth="1"/>
    <col min="13574" max="13574" width="11.5703125" style="3" customWidth="1"/>
    <col min="13575" max="13575" width="21.140625" style="3" bestFit="1" customWidth="1"/>
    <col min="13576" max="13825" width="11.42578125" style="3"/>
    <col min="13826" max="13826" width="8.5703125" style="3" customWidth="1"/>
    <col min="13827" max="13827" width="70.5703125" style="3" customWidth="1"/>
    <col min="13828" max="13828" width="12" style="3" customWidth="1"/>
    <col min="13829" max="13829" width="18" style="3" customWidth="1"/>
    <col min="13830" max="13830" width="11.5703125" style="3" customWidth="1"/>
    <col min="13831" max="13831" width="21.140625" style="3" bestFit="1" customWidth="1"/>
    <col min="13832" max="14081" width="11.42578125" style="3"/>
    <col min="14082" max="14082" width="8.5703125" style="3" customWidth="1"/>
    <col min="14083" max="14083" width="70.5703125" style="3" customWidth="1"/>
    <col min="14084" max="14084" width="12" style="3" customWidth="1"/>
    <col min="14085" max="14085" width="18" style="3" customWidth="1"/>
    <col min="14086" max="14086" width="11.5703125" style="3" customWidth="1"/>
    <col min="14087" max="14087" width="21.140625" style="3" bestFit="1" customWidth="1"/>
    <col min="14088" max="14337" width="11.42578125" style="3"/>
    <col min="14338" max="14338" width="8.5703125" style="3" customWidth="1"/>
    <col min="14339" max="14339" width="70.5703125" style="3" customWidth="1"/>
    <col min="14340" max="14340" width="12" style="3" customWidth="1"/>
    <col min="14341" max="14341" width="18" style="3" customWidth="1"/>
    <col min="14342" max="14342" width="11.5703125" style="3" customWidth="1"/>
    <col min="14343" max="14343" width="21.140625" style="3" bestFit="1" customWidth="1"/>
    <col min="14344" max="14593" width="11.42578125" style="3"/>
    <col min="14594" max="14594" width="8.5703125" style="3" customWidth="1"/>
    <col min="14595" max="14595" width="70.5703125" style="3" customWidth="1"/>
    <col min="14596" max="14596" width="12" style="3" customWidth="1"/>
    <col min="14597" max="14597" width="18" style="3" customWidth="1"/>
    <col min="14598" max="14598" width="11.5703125" style="3" customWidth="1"/>
    <col min="14599" max="14599" width="21.140625" style="3" bestFit="1" customWidth="1"/>
    <col min="14600" max="14849" width="11.42578125" style="3"/>
    <col min="14850" max="14850" width="8.5703125" style="3" customWidth="1"/>
    <col min="14851" max="14851" width="70.5703125" style="3" customWidth="1"/>
    <col min="14852" max="14852" width="12" style="3" customWidth="1"/>
    <col min="14853" max="14853" width="18" style="3" customWidth="1"/>
    <col min="14854" max="14854" width="11.5703125" style="3" customWidth="1"/>
    <col min="14855" max="14855" width="21.140625" style="3" bestFit="1" customWidth="1"/>
    <col min="14856" max="15105" width="11.42578125" style="3"/>
    <col min="15106" max="15106" width="8.5703125" style="3" customWidth="1"/>
    <col min="15107" max="15107" width="70.5703125" style="3" customWidth="1"/>
    <col min="15108" max="15108" width="12" style="3" customWidth="1"/>
    <col min="15109" max="15109" width="18" style="3" customWidth="1"/>
    <col min="15110" max="15110" width="11.5703125" style="3" customWidth="1"/>
    <col min="15111" max="15111" width="21.140625" style="3" bestFit="1" customWidth="1"/>
    <col min="15112" max="15361" width="11.42578125" style="3"/>
    <col min="15362" max="15362" width="8.5703125" style="3" customWidth="1"/>
    <col min="15363" max="15363" width="70.5703125" style="3" customWidth="1"/>
    <col min="15364" max="15364" width="12" style="3" customWidth="1"/>
    <col min="15365" max="15365" width="18" style="3" customWidth="1"/>
    <col min="15366" max="15366" width="11.5703125" style="3" customWidth="1"/>
    <col min="15367" max="15367" width="21.140625" style="3" bestFit="1" customWidth="1"/>
    <col min="15368" max="15617" width="11.42578125" style="3"/>
    <col min="15618" max="15618" width="8.5703125" style="3" customWidth="1"/>
    <col min="15619" max="15619" width="70.5703125" style="3" customWidth="1"/>
    <col min="15620" max="15620" width="12" style="3" customWidth="1"/>
    <col min="15621" max="15621" width="18" style="3" customWidth="1"/>
    <col min="15622" max="15622" width="11.5703125" style="3" customWidth="1"/>
    <col min="15623" max="15623" width="21.140625" style="3" bestFit="1" customWidth="1"/>
    <col min="15624" max="15873" width="11.42578125" style="3"/>
    <col min="15874" max="15874" width="8.5703125" style="3" customWidth="1"/>
    <col min="15875" max="15875" width="70.5703125" style="3" customWidth="1"/>
    <col min="15876" max="15876" width="12" style="3" customWidth="1"/>
    <col min="15877" max="15877" width="18" style="3" customWidth="1"/>
    <col min="15878" max="15878" width="11.5703125" style="3" customWidth="1"/>
    <col min="15879" max="15879" width="21.140625" style="3" bestFit="1" customWidth="1"/>
    <col min="15880" max="16129" width="11.42578125" style="3"/>
    <col min="16130" max="16130" width="8.5703125" style="3" customWidth="1"/>
    <col min="16131" max="16131" width="70.5703125" style="3" customWidth="1"/>
    <col min="16132" max="16132" width="12" style="3" customWidth="1"/>
    <col min="16133" max="16133" width="18" style="3" customWidth="1"/>
    <col min="16134" max="16134" width="11.5703125" style="3" customWidth="1"/>
    <col min="16135" max="16135" width="21.140625" style="3" bestFit="1" customWidth="1"/>
    <col min="16136" max="16384" width="11.42578125" style="3"/>
  </cols>
  <sheetData>
    <row r="1" spans="1:8" ht="21.75" thickBot="1">
      <c r="B1" s="212" t="s">
        <v>550</v>
      </c>
      <c r="C1" s="2"/>
      <c r="D1" s="183"/>
      <c r="F1" s="4"/>
      <c r="G1" s="5"/>
    </row>
    <row r="2" spans="1:8" s="45" customFormat="1" ht="34.5" customHeight="1">
      <c r="A2" s="213"/>
      <c r="B2" s="214">
        <v>1</v>
      </c>
      <c r="C2" s="242" t="str">
        <f>_xlfn.XLOOKUP(B2,Cantidades!$A$10:$A$314,Cantidades!$C$10:$C$314,,0,1)</f>
        <v>Retiro de caja para interruptor en caja moldeada 3x250A</v>
      </c>
      <c r="D2" s="243"/>
      <c r="E2" s="243"/>
      <c r="F2" s="243"/>
      <c r="G2" s="244"/>
      <c r="H2" s="213"/>
    </row>
    <row r="3" spans="1:8" s="47" customFormat="1" ht="24.95" customHeight="1" thickBot="1">
      <c r="A3" s="215"/>
      <c r="B3" s="216" t="s">
        <v>550</v>
      </c>
      <c r="C3" s="177"/>
      <c r="D3" s="189"/>
      <c r="E3" s="178"/>
      <c r="F3" s="179" t="s">
        <v>636</v>
      </c>
      <c r="G3" s="209" t="str">
        <f>B4</f>
        <v>B399EA4-</v>
      </c>
      <c r="H3" s="215"/>
    </row>
    <row r="4" spans="1:8" ht="28.5" customHeight="1" thickBot="1">
      <c r="B4" s="212" t="str">
        <f>_xlfn.XLOOKUP(C2,Cantidades!$C$1:$C$314,Cantidades!$B$1:$B$314,"",0,1)</f>
        <v>B399EA4-</v>
      </c>
      <c r="C4" s="10" t="s">
        <v>0</v>
      </c>
      <c r="D4" s="190"/>
      <c r="E4" s="11"/>
      <c r="F4" s="12"/>
      <c r="G4" s="13"/>
    </row>
    <row r="5" spans="1:8" s="47" customFormat="1" ht="23.25" customHeight="1" thickBot="1">
      <c r="A5" s="215"/>
      <c r="B5" s="216" t="s">
        <v>550</v>
      </c>
      <c r="C5" s="14" t="s">
        <v>1</v>
      </c>
      <c r="D5" s="15" t="s">
        <v>2</v>
      </c>
      <c r="E5" s="15" t="s">
        <v>3</v>
      </c>
      <c r="F5" s="16" t="s">
        <v>4</v>
      </c>
      <c r="G5" s="15" t="s">
        <v>5</v>
      </c>
      <c r="H5" s="215"/>
    </row>
    <row r="6" spans="1:8" ht="15">
      <c r="A6" s="211" t="s">
        <v>484</v>
      </c>
      <c r="B6" s="216" t="str">
        <f>_xlfn.CONCAT(B4,A6)</f>
        <v>B399EA4-A</v>
      </c>
      <c r="C6" s="17" t="str">
        <f>_xlfn.XLOOKUP(H6,'Materiales unitario'!$A$1:$A$2500,'Materiales unitario'!B$1:B$2500,,0,1)</f>
        <v>Insumos menores</v>
      </c>
      <c r="D6" s="191" t="str">
        <f>_xlfn.XLOOKUP(H6,'Materiales unitario'!A$1:A$2500,'Materiales unitario'!C$1:C$2500,,0,1)</f>
        <v>un</v>
      </c>
      <c r="E6" s="196">
        <f>_xlfn.XLOOKUP(H6,'Materiales unitario'!$A$1:$A$2500,'Materiales unitario'!D$1:D$2500,,0,1)</f>
        <v>7300</v>
      </c>
      <c r="F6" s="19">
        <v>1.3</v>
      </c>
      <c r="G6" s="20">
        <f>+E6*F6</f>
        <v>9490</v>
      </c>
      <c r="H6" s="217" t="s">
        <v>532</v>
      </c>
    </row>
    <row r="7" spans="1:8">
      <c r="A7" s="211" t="s">
        <v>485</v>
      </c>
      <c r="B7" s="216" t="str">
        <f>_xlfn.CONCAT(B4,A7)</f>
        <v>B399EA4-B</v>
      </c>
      <c r="C7" s="17"/>
      <c r="D7" s="184"/>
      <c r="E7" s="197"/>
      <c r="F7" s="19"/>
      <c r="G7" s="20"/>
    </row>
    <row r="8" spans="1:8">
      <c r="A8" s="211" t="s">
        <v>486</v>
      </c>
      <c r="B8" s="216" t="str">
        <f>_xlfn.CONCAT(B4,A8)</f>
        <v>B399EA4-C</v>
      </c>
      <c r="C8" s="17"/>
      <c r="D8" s="184"/>
      <c r="E8" s="197"/>
      <c r="F8" s="19"/>
      <c r="G8" s="20"/>
    </row>
    <row r="9" spans="1:8">
      <c r="A9" s="211" t="s">
        <v>487</v>
      </c>
      <c r="B9" s="216" t="str">
        <f>_xlfn.CONCAT(B4,A9)</f>
        <v>B399EA4-D</v>
      </c>
      <c r="C9" s="17"/>
      <c r="D9" s="184"/>
      <c r="E9" s="197"/>
      <c r="F9" s="19"/>
      <c r="G9" s="20"/>
    </row>
    <row r="10" spans="1:8">
      <c r="A10" s="211" t="s">
        <v>488</v>
      </c>
      <c r="B10" s="216" t="str">
        <f>_xlfn.CONCAT(B4,A10)</f>
        <v>B399EA4-E</v>
      </c>
      <c r="C10" s="17"/>
      <c r="D10" s="184"/>
      <c r="E10" s="197"/>
      <c r="F10" s="19"/>
      <c r="G10" s="20"/>
    </row>
    <row r="11" spans="1:8">
      <c r="A11" s="211" t="s">
        <v>489</v>
      </c>
      <c r="B11" s="216" t="str">
        <f>_xlfn.CONCAT(B4,A11)</f>
        <v>B399EA4-F</v>
      </c>
      <c r="C11" s="17"/>
      <c r="D11" s="184"/>
      <c r="E11" s="197"/>
      <c r="F11" s="19"/>
      <c r="G11" s="20"/>
    </row>
    <row r="12" spans="1:8">
      <c r="A12" s="211" t="s">
        <v>490</v>
      </c>
      <c r="B12" s="216" t="str">
        <f>_xlfn.CONCAT(B4,A12)</f>
        <v>B399EA4-G</v>
      </c>
      <c r="C12" s="17"/>
      <c r="D12" s="184"/>
      <c r="E12" s="197"/>
      <c r="F12" s="19"/>
      <c r="G12" s="20"/>
    </row>
    <row r="13" spans="1:8">
      <c r="A13" s="211" t="s">
        <v>491</v>
      </c>
      <c r="B13" s="216" t="str">
        <f>_xlfn.CONCAT(B4,A13)</f>
        <v>B399EA4-H</v>
      </c>
      <c r="C13" s="17"/>
      <c r="D13" s="184"/>
      <c r="E13" s="197"/>
      <c r="F13" s="19"/>
      <c r="G13" s="20"/>
    </row>
    <row r="14" spans="1:8">
      <c r="A14" s="211" t="s">
        <v>492</v>
      </c>
      <c r="B14" s="216" t="str">
        <f>_xlfn.CONCAT(B4,A14)</f>
        <v>B399EA4-I</v>
      </c>
      <c r="C14" s="17"/>
      <c r="D14" s="184"/>
      <c r="E14" s="197"/>
      <c r="F14" s="19"/>
      <c r="G14" s="20"/>
    </row>
    <row r="15" spans="1:8">
      <c r="A15" s="211" t="s">
        <v>493</v>
      </c>
      <c r="B15" s="216" t="str">
        <f>_xlfn.CONCAT(B4,A15)</f>
        <v>B399EA4-J</v>
      </c>
      <c r="C15" s="17"/>
      <c r="D15" s="184"/>
      <c r="E15" s="197"/>
      <c r="F15" s="19"/>
      <c r="G15" s="20"/>
    </row>
    <row r="16" spans="1:8">
      <c r="A16" s="211" t="s">
        <v>494</v>
      </c>
      <c r="B16" s="216" t="str">
        <f>_xlfn.CONCAT(B4,A16)</f>
        <v>B399EA4-K</v>
      </c>
      <c r="C16" s="17"/>
      <c r="D16" s="184"/>
      <c r="E16" s="197"/>
      <c r="F16" s="19"/>
      <c r="G16" s="20"/>
    </row>
    <row r="17" spans="1:8">
      <c r="A17" s="211" t="s">
        <v>495</v>
      </c>
      <c r="B17" s="216" t="str">
        <f>_xlfn.CONCAT(B4,A17)</f>
        <v>B399EA4-L</v>
      </c>
      <c r="C17" s="17"/>
      <c r="D17" s="184"/>
      <c r="E17" s="197"/>
      <c r="F17" s="19"/>
      <c r="G17" s="20"/>
    </row>
    <row r="18" spans="1:8">
      <c r="A18" s="211" t="s">
        <v>496</v>
      </c>
      <c r="B18" s="216" t="str">
        <f>_xlfn.CONCAT(B4,A18)</f>
        <v>B399EA4-M</v>
      </c>
      <c r="C18" s="17"/>
      <c r="D18" s="184"/>
      <c r="E18" s="197"/>
      <c r="F18" s="19"/>
      <c r="G18" s="20"/>
    </row>
    <row r="19" spans="1:8">
      <c r="A19" s="211" t="s">
        <v>497</v>
      </c>
      <c r="B19" s="216" t="str">
        <f>_xlfn.CONCAT(B4,A19)</f>
        <v>B399EA4-N</v>
      </c>
      <c r="C19" s="17"/>
      <c r="D19" s="184"/>
      <c r="E19" s="197"/>
      <c r="F19" s="19"/>
      <c r="G19" s="20"/>
    </row>
    <row r="20" spans="1:8">
      <c r="A20" s="211" t="s">
        <v>498</v>
      </c>
      <c r="B20" s="216" t="str">
        <f>_xlfn.CONCAT(B4,A20)</f>
        <v>B399EA4-O</v>
      </c>
      <c r="C20" s="17"/>
      <c r="D20" s="184"/>
      <c r="E20" s="197"/>
      <c r="F20" s="19"/>
      <c r="G20" s="20"/>
    </row>
    <row r="21" spans="1:8">
      <c r="A21" s="211" t="s">
        <v>499</v>
      </c>
      <c r="B21" s="216" t="str">
        <f>_xlfn.CONCAT(B4,A21)</f>
        <v>B399EA4-P</v>
      </c>
      <c r="C21" s="17"/>
      <c r="D21" s="184"/>
      <c r="E21" s="197"/>
      <c r="F21" s="19"/>
      <c r="G21" s="20"/>
    </row>
    <row r="22" spans="1:8">
      <c r="A22" s="211" t="s">
        <v>500</v>
      </c>
      <c r="B22" s="216" t="str">
        <f>_xlfn.CONCAT(B4,A22)</f>
        <v>B399EA4-Q</v>
      </c>
      <c r="C22" s="17"/>
      <c r="D22" s="184"/>
      <c r="E22" s="197"/>
      <c r="F22" s="19"/>
      <c r="G22" s="20"/>
    </row>
    <row r="23" spans="1:8">
      <c r="A23" s="211" t="s">
        <v>501</v>
      </c>
      <c r="B23" s="216" t="str">
        <f>_xlfn.CONCAT(B4,A23)</f>
        <v>B399EA4-R</v>
      </c>
      <c r="C23" s="17"/>
      <c r="D23" s="184"/>
      <c r="E23" s="197"/>
      <c r="F23" s="19"/>
      <c r="G23" s="20"/>
    </row>
    <row r="24" spans="1:8">
      <c r="A24" s="211" t="s">
        <v>502</v>
      </c>
      <c r="B24" s="216" t="str">
        <f>_xlfn.CONCAT(B4,A24)</f>
        <v>B399EA4-S</v>
      </c>
      <c r="C24" s="17"/>
      <c r="D24" s="184"/>
      <c r="E24" s="197"/>
      <c r="F24" s="19"/>
      <c r="G24" s="20"/>
    </row>
    <row r="25" spans="1:8">
      <c r="A25" s="211" t="s">
        <v>503</v>
      </c>
      <c r="B25" s="216" t="str">
        <f>_xlfn.CONCAT(B4,A25)</f>
        <v>B399EA4-T</v>
      </c>
      <c r="C25" s="17"/>
      <c r="D25" s="184"/>
      <c r="E25" s="197"/>
      <c r="F25" s="19"/>
      <c r="G25" s="20"/>
    </row>
    <row r="26" spans="1:8" ht="14.25" thickBot="1">
      <c r="A26" s="211" t="s">
        <v>504</v>
      </c>
      <c r="B26" s="216" t="str">
        <f>_xlfn.CONCAT(B4,A26)</f>
        <v>B399EA4-U</v>
      </c>
      <c r="C26" s="17"/>
      <c r="D26" s="184"/>
      <c r="E26" s="197"/>
      <c r="F26" s="19"/>
      <c r="G26" s="20"/>
    </row>
    <row r="27" spans="1:8" ht="16.5" customHeight="1" thickBot="1">
      <c r="A27" s="211" t="s">
        <v>505</v>
      </c>
      <c r="B27" s="216" t="str">
        <f>_xlfn.CONCAT(B4,A27)</f>
        <v>B399EA4-V</v>
      </c>
      <c r="C27" s="17" t="s">
        <v>17</v>
      </c>
      <c r="D27" s="192" t="s">
        <v>17</v>
      </c>
      <c r="E27" s="18"/>
      <c r="F27" s="22" t="s">
        <v>18</v>
      </c>
      <c r="G27" s="23">
        <f>SUM(G6:G26)</f>
        <v>9490</v>
      </c>
    </row>
    <row r="28" spans="1:8" ht="28.5" customHeight="1" thickBot="1">
      <c r="A28" s="211" t="s">
        <v>506</v>
      </c>
      <c r="B28" s="216" t="str">
        <f>_xlfn.CONCAT(B4,A28)</f>
        <v>B399EA4-W</v>
      </c>
      <c r="C28" s="10" t="s">
        <v>19</v>
      </c>
      <c r="D28" s="190"/>
      <c r="E28" s="11"/>
      <c r="F28" s="12"/>
      <c r="G28" s="13"/>
    </row>
    <row r="29" spans="1:8" s="47" customFormat="1" ht="23.25" customHeight="1" thickBot="1">
      <c r="A29" s="211" t="s">
        <v>507</v>
      </c>
      <c r="B29" s="216" t="str">
        <f>_xlfn.CONCAT(B4,A29)</f>
        <v>B399EA4-X</v>
      </c>
      <c r="C29" s="14" t="s">
        <v>1</v>
      </c>
      <c r="D29" s="15"/>
      <c r="E29" s="15" t="s">
        <v>20</v>
      </c>
      <c r="F29" s="16" t="s">
        <v>21</v>
      </c>
      <c r="G29" s="15" t="s">
        <v>5</v>
      </c>
      <c r="H29" s="215"/>
    </row>
    <row r="30" spans="1:8">
      <c r="A30" s="211" t="s">
        <v>508</v>
      </c>
      <c r="B30" s="216" t="str">
        <f>_xlfn.CONCAT(B4,A30)</f>
        <v>B399EA4-Y</v>
      </c>
      <c r="C30" s="24" t="s">
        <v>22</v>
      </c>
      <c r="D30" s="184"/>
      <c r="E30" s="25">
        <f>_xlfn.XLOOKUP(C30,'H-MO'!B$7:B$30,'H-MO'!D$7:D$30,,0,1)</f>
        <v>2436.5624999999995</v>
      </c>
      <c r="F30" s="19">
        <v>0.10520486956521739</v>
      </c>
      <c r="G30" s="33">
        <f t="shared" ref="G30:G35" si="0">+E30*F30</f>
        <v>256.33823999999998</v>
      </c>
    </row>
    <row r="31" spans="1:8">
      <c r="A31" s="211" t="s">
        <v>509</v>
      </c>
      <c r="B31" s="216" t="str">
        <f>_xlfn.CONCAT(B4,A31)</f>
        <v>B399EA4-Z</v>
      </c>
      <c r="C31" s="24" t="s">
        <v>23</v>
      </c>
      <c r="D31" s="184"/>
      <c r="E31" s="25">
        <f>_xlfn.XLOOKUP(C31,'H-MO'!B$7:B$30,'H-MO'!D$7:D$30,,0,1)</f>
        <v>1461.9374999999998</v>
      </c>
      <c r="F31" s="19">
        <v>0.26301217391304349</v>
      </c>
      <c r="G31" s="33">
        <f t="shared" si="0"/>
        <v>384.50735999999995</v>
      </c>
    </row>
    <row r="32" spans="1:8">
      <c r="A32" s="211" t="s">
        <v>510</v>
      </c>
      <c r="B32" s="216" t="str">
        <f>_xlfn.CONCAT(B4,A32)</f>
        <v>B399EA4-aa</v>
      </c>
      <c r="C32" s="24" t="s">
        <v>24</v>
      </c>
      <c r="D32" s="185"/>
      <c r="E32" s="25">
        <f>_xlfn.XLOOKUP(C32,'H-MO'!B$7:B$30,'H-MO'!D$7:D$30,,0,1)</f>
        <v>29238.749999999996</v>
      </c>
      <c r="F32" s="28">
        <v>4.3835362318840583E-3</v>
      </c>
      <c r="G32" s="33">
        <f t="shared" si="0"/>
        <v>128.16911999999999</v>
      </c>
    </row>
    <row r="33" spans="1:8">
      <c r="A33" s="211" t="s">
        <v>511</v>
      </c>
      <c r="B33" s="216" t="str">
        <f>_xlfn.CONCAT(B4,A33)</f>
        <v>B399EA4-ab</v>
      </c>
      <c r="C33" s="24" t="s">
        <v>25</v>
      </c>
      <c r="D33" s="185"/>
      <c r="E33" s="25">
        <f>_xlfn.XLOOKUP(C33,'H-MO'!B$7:B$30,'H-MO'!D$7:D$30,,0,1)</f>
        <v>2761.4374999999995</v>
      </c>
      <c r="F33" s="28">
        <v>9.2827826086956527E-2</v>
      </c>
      <c r="G33" s="33">
        <f t="shared" si="0"/>
        <v>256.33823999999998</v>
      </c>
    </row>
    <row r="34" spans="1:8">
      <c r="A34" s="211" t="s">
        <v>512</v>
      </c>
      <c r="B34" s="216" t="str">
        <f>_xlfn.CONCAT(B4,A34)</f>
        <v>B399EA4-ac</v>
      </c>
      <c r="C34" s="24"/>
      <c r="D34" s="185"/>
      <c r="E34" s="29"/>
      <c r="F34" s="28"/>
      <c r="G34" s="33">
        <f t="shared" si="0"/>
        <v>0</v>
      </c>
    </row>
    <row r="35" spans="1:8" ht="14.25" thickBot="1">
      <c r="A35" s="211" t="s">
        <v>513</v>
      </c>
      <c r="B35" s="216" t="str">
        <f>_xlfn.CONCAT(B4,A35)</f>
        <v>B399EA4-ad</v>
      </c>
      <c r="C35" s="24"/>
      <c r="D35" s="185"/>
      <c r="E35" s="29"/>
      <c r="F35" s="28"/>
      <c r="G35" s="33">
        <f t="shared" si="0"/>
        <v>0</v>
      </c>
    </row>
    <row r="36" spans="1:8" ht="16.5" customHeight="1" thickBot="1">
      <c r="A36" s="211" t="s">
        <v>514</v>
      </c>
      <c r="B36" s="216" t="str">
        <f>_xlfn.CONCAT(B4,A36)</f>
        <v>B399EA4-ae</v>
      </c>
      <c r="C36" s="17"/>
      <c r="D36" s="192"/>
      <c r="E36" s="18"/>
      <c r="F36" s="22" t="s">
        <v>26</v>
      </c>
      <c r="G36" s="23">
        <f>SUM(G30:G35)</f>
        <v>1025.3529599999999</v>
      </c>
    </row>
    <row r="37" spans="1:8" ht="28.5" customHeight="1" thickBot="1">
      <c r="A37" s="211" t="s">
        <v>515</v>
      </c>
      <c r="B37" s="216" t="str">
        <f>_xlfn.CONCAT(B4,A37)</f>
        <v>B399EA4-af</v>
      </c>
      <c r="C37" s="10" t="s">
        <v>27</v>
      </c>
      <c r="D37" s="190"/>
      <c r="E37" s="11"/>
      <c r="F37" s="12"/>
      <c r="G37" s="13"/>
    </row>
    <row r="38" spans="1:8" s="47" customFormat="1" ht="23.25" customHeight="1" thickBot="1">
      <c r="A38" s="211" t="s">
        <v>516</v>
      </c>
      <c r="B38" s="216" t="str">
        <f>_xlfn.CONCAT(B4,A38)</f>
        <v>B399EA4-ag</v>
      </c>
      <c r="C38" s="14" t="s">
        <v>1</v>
      </c>
      <c r="D38" s="15" t="s">
        <v>28</v>
      </c>
      <c r="E38" s="15" t="s">
        <v>20</v>
      </c>
      <c r="F38" s="16" t="s">
        <v>21</v>
      </c>
      <c r="G38" s="15" t="s">
        <v>5</v>
      </c>
      <c r="H38" s="215"/>
    </row>
    <row r="39" spans="1:8">
      <c r="A39" s="211" t="s">
        <v>517</v>
      </c>
      <c r="B39" s="216" t="str">
        <f>_xlfn.CONCAT(B4,A39)</f>
        <v>B399EA4-ah</v>
      </c>
      <c r="C39" s="30" t="s">
        <v>29</v>
      </c>
      <c r="D39" s="186">
        <f>'H-MO'!$N$77</f>
        <v>725918.52892505517</v>
      </c>
      <c r="E39" s="31">
        <f>+D39/8</f>
        <v>90739.816115631897</v>
      </c>
      <c r="F39" s="32">
        <v>0.2</v>
      </c>
      <c r="G39" s="33">
        <f>+E39*F39</f>
        <v>18147.963223126379</v>
      </c>
    </row>
    <row r="40" spans="1:8">
      <c r="A40" s="211" t="s">
        <v>518</v>
      </c>
      <c r="B40" s="216" t="str">
        <f>_xlfn.CONCAT(B4,A40)</f>
        <v>B399EA4-ai</v>
      </c>
      <c r="C40" s="34" t="s">
        <v>30</v>
      </c>
      <c r="D40" s="187">
        <f>'H-MO'!$N$86</f>
        <v>685561.39085756091</v>
      </c>
      <c r="E40" s="29">
        <f>+D40/8</f>
        <v>85695.173857195114</v>
      </c>
      <c r="F40" s="28">
        <v>0.12</v>
      </c>
      <c r="G40" s="33">
        <f>+E40*F40</f>
        <v>10283.420862863413</v>
      </c>
    </row>
    <row r="41" spans="1:8" ht="14.25" thickBot="1">
      <c r="A41" s="211" t="s">
        <v>519</v>
      </c>
      <c r="B41" s="216" t="str">
        <f>_xlfn.CONCAT(B4,A41)</f>
        <v>B399EA4-aj</v>
      </c>
      <c r="C41" s="34"/>
      <c r="D41" s="187"/>
      <c r="E41" s="29"/>
      <c r="F41" s="28"/>
      <c r="G41" s="33">
        <f>+E41*F41</f>
        <v>0</v>
      </c>
    </row>
    <row r="42" spans="1:8" ht="17.25" customHeight="1" thickBot="1">
      <c r="A42" s="211" t="s">
        <v>520</v>
      </c>
      <c r="B42" s="216" t="str">
        <f>_xlfn.CONCAT(B4,A42)</f>
        <v>B399EA4-ak</v>
      </c>
      <c r="C42" s="34"/>
      <c r="D42" s="185"/>
      <c r="E42" s="26"/>
      <c r="F42" s="36" t="s">
        <v>31</v>
      </c>
      <c r="G42" s="23">
        <f>SUM(G39:G41)</f>
        <v>28431.38408598979</v>
      </c>
    </row>
    <row r="43" spans="1:8" ht="14.25" thickBot="1">
      <c r="A43" s="211" t="s">
        <v>521</v>
      </c>
      <c r="B43" s="216" t="str">
        <f>_xlfn.CONCAT(B4,A43)</f>
        <v>B399EA4-al</v>
      </c>
      <c r="C43" s="37"/>
      <c r="E43" s="38"/>
      <c r="F43" s="22"/>
      <c r="G43" s="39"/>
    </row>
    <row r="44" spans="1:8" ht="23.25" customHeight="1" thickBot="1">
      <c r="A44" s="211" t="s">
        <v>522</v>
      </c>
      <c r="B44" s="216" t="str">
        <f>_xlfn.CONCAT(B4,A44)</f>
        <v>B399EA4-am</v>
      </c>
      <c r="C44" s="40"/>
      <c r="D44" s="193"/>
      <c r="E44" s="41"/>
      <c r="F44" s="42"/>
      <c r="G44" s="43">
        <f>+G27+G36+G42</f>
        <v>38946.737045989794</v>
      </c>
    </row>
    <row r="45" spans="1:8" ht="21.75" thickBot="1">
      <c r="B45" s="212" t="s">
        <v>550</v>
      </c>
      <c r="C45" s="2"/>
      <c r="D45" s="183"/>
      <c r="F45" s="4"/>
      <c r="G45" s="5"/>
    </row>
    <row r="46" spans="1:8" s="45" customFormat="1" ht="34.5" customHeight="1">
      <c r="A46" s="213"/>
      <c r="B46" s="214">
        <v>2</v>
      </c>
      <c r="C46" s="242" t="str">
        <f>_xlfn.XLOOKUP(B46,Cantidades!$A$10:$A$314,Cantidades!$C$10:$C$314,,0,1)</f>
        <v>Retiro de acometida 3#1/0(F)+1#2(N)+1#8(T)</v>
      </c>
      <c r="D46" s="243"/>
      <c r="E46" s="243"/>
      <c r="F46" s="243"/>
      <c r="G46" s="244"/>
      <c r="H46" s="213"/>
    </row>
    <row r="47" spans="1:8" s="47" customFormat="1" ht="24.95" customHeight="1" thickBot="1">
      <c r="A47" s="215"/>
      <c r="B47" s="216" t="s">
        <v>550</v>
      </c>
      <c r="C47" s="177"/>
      <c r="D47" s="189"/>
      <c r="E47" s="178"/>
      <c r="F47" s="179" t="s">
        <v>636</v>
      </c>
      <c r="G47" s="209" t="str">
        <f>B48</f>
        <v>2D39E71-</v>
      </c>
      <c r="H47" s="215"/>
    </row>
    <row r="48" spans="1:8" ht="28.5" customHeight="1" thickBot="1">
      <c r="B48" s="212" t="str">
        <f>_xlfn.XLOOKUP(C46,Cantidades!$C$1:$C$314,Cantidades!$B$1:$B$314,"",0,1)</f>
        <v>2D39E71-</v>
      </c>
      <c r="C48" s="10" t="s">
        <v>0</v>
      </c>
      <c r="D48" s="190"/>
      <c r="E48" s="11"/>
      <c r="F48" s="12"/>
      <c r="G48" s="13"/>
    </row>
    <row r="49" spans="1:8" s="47" customFormat="1" ht="23.25" customHeight="1" thickBot="1">
      <c r="A49" s="215"/>
      <c r="B49" s="216" t="s">
        <v>550</v>
      </c>
      <c r="C49" s="14" t="s">
        <v>1</v>
      </c>
      <c r="D49" s="15" t="s">
        <v>2</v>
      </c>
      <c r="E49" s="15" t="s">
        <v>3</v>
      </c>
      <c r="F49" s="16" t="s">
        <v>4</v>
      </c>
      <c r="G49" s="15" t="s">
        <v>5</v>
      </c>
      <c r="H49" s="215"/>
    </row>
    <row r="50" spans="1:8" ht="15">
      <c r="A50" s="211" t="s">
        <v>484</v>
      </c>
      <c r="B50" s="216" t="str">
        <f>_xlfn.CONCAT(B48,A50)</f>
        <v>2D39E71-A</v>
      </c>
      <c r="C50" s="17" t="str">
        <f>_xlfn.XLOOKUP(H50,'Materiales unitario'!$A$1:$A$2500,'Materiales unitario'!B$1:B$2500,,0,1)</f>
        <v>Insumos menores</v>
      </c>
      <c r="D50" s="191" t="str">
        <f>_xlfn.XLOOKUP(H50,'Materiales unitario'!A$1:A$2500,'Materiales unitario'!C$1:C$2500,,0,1)</f>
        <v>un</v>
      </c>
      <c r="E50" s="196">
        <f>_xlfn.XLOOKUP(H50,'Materiales unitario'!$A$1:$A$2500,'Materiales unitario'!D$1:D$2500,,0,1)</f>
        <v>7300</v>
      </c>
      <c r="F50" s="19">
        <v>0.8</v>
      </c>
      <c r="G50" s="20">
        <f>+E50*F50</f>
        <v>5840</v>
      </c>
      <c r="H50" s="217" t="s">
        <v>532</v>
      </c>
    </row>
    <row r="51" spans="1:8">
      <c r="A51" s="211" t="s">
        <v>485</v>
      </c>
      <c r="B51" s="216" t="str">
        <f>_xlfn.CONCAT(B48,A51)</f>
        <v>2D39E71-B</v>
      </c>
      <c r="C51" s="17"/>
      <c r="D51" s="184"/>
      <c r="E51" s="197"/>
      <c r="F51" s="19"/>
      <c r="G51" s="20"/>
    </row>
    <row r="52" spans="1:8">
      <c r="A52" s="211" t="s">
        <v>486</v>
      </c>
      <c r="B52" s="216" t="str">
        <f>_xlfn.CONCAT(B48,A52)</f>
        <v>2D39E71-C</v>
      </c>
      <c r="C52" s="17"/>
      <c r="D52" s="184"/>
      <c r="E52" s="197"/>
      <c r="F52" s="19"/>
      <c r="G52" s="20"/>
    </row>
    <row r="53" spans="1:8">
      <c r="A53" s="211" t="s">
        <v>487</v>
      </c>
      <c r="B53" s="216" t="str">
        <f>_xlfn.CONCAT(B48,A53)</f>
        <v>2D39E71-D</v>
      </c>
      <c r="C53" s="17"/>
      <c r="D53" s="184"/>
      <c r="E53" s="197"/>
      <c r="F53" s="19"/>
      <c r="G53" s="20"/>
    </row>
    <row r="54" spans="1:8">
      <c r="A54" s="211" t="s">
        <v>488</v>
      </c>
      <c r="B54" s="216" t="str">
        <f>_xlfn.CONCAT(B48,A54)</f>
        <v>2D39E71-E</v>
      </c>
      <c r="C54" s="17"/>
      <c r="D54" s="184"/>
      <c r="E54" s="197"/>
      <c r="F54" s="19"/>
      <c r="G54" s="20"/>
    </row>
    <row r="55" spans="1:8">
      <c r="A55" s="211" t="s">
        <v>489</v>
      </c>
      <c r="B55" s="216" t="str">
        <f>_xlfn.CONCAT(B48,A55)</f>
        <v>2D39E71-F</v>
      </c>
      <c r="C55" s="17"/>
      <c r="D55" s="184"/>
      <c r="E55" s="197"/>
      <c r="F55" s="19"/>
      <c r="G55" s="20"/>
    </row>
    <row r="56" spans="1:8">
      <c r="A56" s="211" t="s">
        <v>490</v>
      </c>
      <c r="B56" s="216" t="str">
        <f>_xlfn.CONCAT(B48,A56)</f>
        <v>2D39E71-G</v>
      </c>
      <c r="C56" s="17"/>
      <c r="D56" s="184"/>
      <c r="E56" s="197"/>
      <c r="F56" s="19"/>
      <c r="G56" s="20"/>
    </row>
    <row r="57" spans="1:8">
      <c r="A57" s="211" t="s">
        <v>491</v>
      </c>
      <c r="B57" s="216" t="str">
        <f>_xlfn.CONCAT(B48,A57)</f>
        <v>2D39E71-H</v>
      </c>
      <c r="C57" s="17"/>
      <c r="D57" s="184"/>
      <c r="E57" s="197"/>
      <c r="F57" s="19"/>
      <c r="G57" s="20"/>
    </row>
    <row r="58" spans="1:8">
      <c r="A58" s="211" t="s">
        <v>492</v>
      </c>
      <c r="B58" s="216" t="str">
        <f>_xlfn.CONCAT(B48,A58)</f>
        <v>2D39E71-I</v>
      </c>
      <c r="C58" s="17"/>
      <c r="D58" s="184"/>
      <c r="E58" s="197"/>
      <c r="F58" s="19"/>
      <c r="G58" s="20"/>
    </row>
    <row r="59" spans="1:8">
      <c r="A59" s="211" t="s">
        <v>493</v>
      </c>
      <c r="B59" s="216" t="str">
        <f>_xlfn.CONCAT(B48,A59)</f>
        <v>2D39E71-J</v>
      </c>
      <c r="C59" s="17"/>
      <c r="D59" s="184"/>
      <c r="E59" s="197"/>
      <c r="F59" s="19"/>
      <c r="G59" s="20"/>
    </row>
    <row r="60" spans="1:8">
      <c r="A60" s="211" t="s">
        <v>494</v>
      </c>
      <c r="B60" s="216" t="str">
        <f>_xlfn.CONCAT(B48,A60)</f>
        <v>2D39E71-K</v>
      </c>
      <c r="C60" s="17"/>
      <c r="D60" s="184"/>
      <c r="E60" s="197"/>
      <c r="F60" s="19"/>
      <c r="G60" s="20"/>
    </row>
    <row r="61" spans="1:8">
      <c r="A61" s="211" t="s">
        <v>495</v>
      </c>
      <c r="B61" s="216" t="str">
        <f>_xlfn.CONCAT(B48,A61)</f>
        <v>2D39E71-L</v>
      </c>
      <c r="C61" s="17"/>
      <c r="D61" s="184"/>
      <c r="E61" s="197"/>
      <c r="F61" s="19"/>
      <c r="G61" s="20"/>
    </row>
    <row r="62" spans="1:8">
      <c r="A62" s="211" t="s">
        <v>496</v>
      </c>
      <c r="B62" s="216" t="str">
        <f>_xlfn.CONCAT(B48,A62)</f>
        <v>2D39E71-M</v>
      </c>
      <c r="C62" s="17"/>
      <c r="D62" s="184"/>
      <c r="E62" s="197"/>
      <c r="F62" s="19"/>
      <c r="G62" s="20"/>
    </row>
    <row r="63" spans="1:8">
      <c r="A63" s="211" t="s">
        <v>497</v>
      </c>
      <c r="B63" s="216" t="str">
        <f>_xlfn.CONCAT(B48,A63)</f>
        <v>2D39E71-N</v>
      </c>
      <c r="C63" s="17"/>
      <c r="D63" s="184"/>
      <c r="E63" s="197"/>
      <c r="F63" s="19"/>
      <c r="G63" s="20"/>
    </row>
    <row r="64" spans="1:8">
      <c r="A64" s="211" t="s">
        <v>498</v>
      </c>
      <c r="B64" s="216" t="str">
        <f>_xlfn.CONCAT(B48,A64)</f>
        <v>2D39E71-O</v>
      </c>
      <c r="C64" s="17"/>
      <c r="D64" s="184"/>
      <c r="E64" s="197"/>
      <c r="F64" s="19"/>
      <c r="G64" s="20"/>
    </row>
    <row r="65" spans="1:8">
      <c r="A65" s="211" t="s">
        <v>499</v>
      </c>
      <c r="B65" s="216" t="str">
        <f>_xlfn.CONCAT(B48,A65)</f>
        <v>2D39E71-P</v>
      </c>
      <c r="C65" s="17"/>
      <c r="D65" s="184"/>
      <c r="E65" s="197"/>
      <c r="F65" s="19"/>
      <c r="G65" s="20"/>
    </row>
    <row r="66" spans="1:8">
      <c r="A66" s="211" t="s">
        <v>500</v>
      </c>
      <c r="B66" s="216" t="str">
        <f>_xlfn.CONCAT(B48,A66)</f>
        <v>2D39E71-Q</v>
      </c>
      <c r="C66" s="17"/>
      <c r="D66" s="184"/>
      <c r="E66" s="197"/>
      <c r="F66" s="19"/>
      <c r="G66" s="20"/>
    </row>
    <row r="67" spans="1:8">
      <c r="A67" s="211" t="s">
        <v>501</v>
      </c>
      <c r="B67" s="216" t="str">
        <f>_xlfn.CONCAT(B48,A67)</f>
        <v>2D39E71-R</v>
      </c>
      <c r="C67" s="17"/>
      <c r="D67" s="184"/>
      <c r="E67" s="197"/>
      <c r="F67" s="19"/>
      <c r="G67" s="20"/>
    </row>
    <row r="68" spans="1:8">
      <c r="A68" s="211" t="s">
        <v>502</v>
      </c>
      <c r="B68" s="216" t="str">
        <f>_xlfn.CONCAT(B48,A68)</f>
        <v>2D39E71-S</v>
      </c>
      <c r="C68" s="17"/>
      <c r="D68" s="184"/>
      <c r="E68" s="197"/>
      <c r="F68" s="19"/>
      <c r="G68" s="20"/>
    </row>
    <row r="69" spans="1:8">
      <c r="A69" s="211" t="s">
        <v>503</v>
      </c>
      <c r="B69" s="216" t="str">
        <f>_xlfn.CONCAT(B48,A69)</f>
        <v>2D39E71-T</v>
      </c>
      <c r="C69" s="17"/>
      <c r="D69" s="184"/>
      <c r="E69" s="197"/>
      <c r="F69" s="19"/>
      <c r="G69" s="20"/>
    </row>
    <row r="70" spans="1:8" ht="14.25" thickBot="1">
      <c r="A70" s="211" t="s">
        <v>504</v>
      </c>
      <c r="B70" s="216" t="str">
        <f>_xlfn.CONCAT(B48,A70)</f>
        <v>2D39E71-U</v>
      </c>
      <c r="C70" s="17"/>
      <c r="D70" s="184"/>
      <c r="E70" s="197"/>
      <c r="F70" s="19"/>
      <c r="G70" s="20"/>
    </row>
    <row r="71" spans="1:8" ht="16.5" customHeight="1" thickBot="1">
      <c r="A71" s="211" t="s">
        <v>505</v>
      </c>
      <c r="B71" s="216" t="str">
        <f>_xlfn.CONCAT(B48,A71)</f>
        <v>2D39E71-V</v>
      </c>
      <c r="C71" s="17" t="s">
        <v>17</v>
      </c>
      <c r="D71" s="192" t="s">
        <v>17</v>
      </c>
      <c r="E71" s="18"/>
      <c r="F71" s="22" t="s">
        <v>18</v>
      </c>
      <c r="G71" s="23">
        <f>SUM(G50:G70)</f>
        <v>5840</v>
      </c>
    </row>
    <row r="72" spans="1:8" ht="28.5" customHeight="1" thickBot="1">
      <c r="A72" s="211" t="s">
        <v>506</v>
      </c>
      <c r="B72" s="216" t="str">
        <f>_xlfn.CONCAT(B48,A72)</f>
        <v>2D39E71-W</v>
      </c>
      <c r="C72" s="10" t="s">
        <v>19</v>
      </c>
      <c r="D72" s="190"/>
      <c r="E72" s="11"/>
      <c r="F72" s="12"/>
      <c r="G72" s="13"/>
    </row>
    <row r="73" spans="1:8" s="47" customFormat="1" ht="23.25" customHeight="1" thickBot="1">
      <c r="A73" s="211" t="s">
        <v>507</v>
      </c>
      <c r="B73" s="216" t="str">
        <f>_xlfn.CONCAT(B48,A73)</f>
        <v>2D39E71-X</v>
      </c>
      <c r="C73" s="14" t="s">
        <v>1</v>
      </c>
      <c r="D73" s="15"/>
      <c r="E73" s="15" t="s">
        <v>20</v>
      </c>
      <c r="F73" s="16" t="s">
        <v>21</v>
      </c>
      <c r="G73" s="15" t="s">
        <v>5</v>
      </c>
      <c r="H73" s="215"/>
    </row>
    <row r="74" spans="1:8">
      <c r="A74" s="211" t="s">
        <v>508</v>
      </c>
      <c r="B74" s="216" t="str">
        <f>_xlfn.CONCAT(B48,A74)</f>
        <v>2D39E71-Y</v>
      </c>
      <c r="C74" s="24" t="s">
        <v>22</v>
      </c>
      <c r="D74" s="184"/>
      <c r="E74" s="25">
        <f>_xlfn.XLOOKUP(C74,'H-MO'!B$7:B$30,'H-MO'!D$7:D$30,,0,1)</f>
        <v>2436.5624999999995</v>
      </c>
      <c r="F74" s="19">
        <v>0.10520486956521739</v>
      </c>
      <c r="G74" s="33">
        <f t="shared" ref="G74:G79" si="1">+E74*F74</f>
        <v>256.33823999999998</v>
      </c>
    </row>
    <row r="75" spans="1:8">
      <c r="A75" s="211" t="s">
        <v>509</v>
      </c>
      <c r="B75" s="216" t="str">
        <f>_xlfn.CONCAT(B48,A75)</f>
        <v>2D39E71-Z</v>
      </c>
      <c r="C75" s="24" t="s">
        <v>23</v>
      </c>
      <c r="D75" s="184"/>
      <c r="E75" s="25">
        <f>_xlfn.XLOOKUP(C75,'H-MO'!B$7:B$30,'H-MO'!D$7:D$30,,0,1)</f>
        <v>1461.9374999999998</v>
      </c>
      <c r="F75" s="19">
        <v>0.26301217391304349</v>
      </c>
      <c r="G75" s="33">
        <f t="shared" si="1"/>
        <v>384.50735999999995</v>
      </c>
    </row>
    <row r="76" spans="1:8">
      <c r="A76" s="211" t="s">
        <v>510</v>
      </c>
      <c r="B76" s="216" t="str">
        <f>_xlfn.CONCAT(B48,A76)</f>
        <v>2D39E71-aa</v>
      </c>
      <c r="C76" s="24" t="s">
        <v>24</v>
      </c>
      <c r="D76" s="185"/>
      <c r="E76" s="25">
        <f>_xlfn.XLOOKUP(C76,'H-MO'!B$7:B$30,'H-MO'!D$7:D$30,,0,1)</f>
        <v>29238.749999999996</v>
      </c>
      <c r="F76" s="28">
        <v>4.3835362318840583E-3</v>
      </c>
      <c r="G76" s="33">
        <f t="shared" si="1"/>
        <v>128.16911999999999</v>
      </c>
    </row>
    <row r="77" spans="1:8">
      <c r="A77" s="211" t="s">
        <v>511</v>
      </c>
      <c r="B77" s="216" t="str">
        <f>_xlfn.CONCAT(B48,A77)</f>
        <v>2D39E71-ab</v>
      </c>
      <c r="C77" s="24" t="s">
        <v>25</v>
      </c>
      <c r="D77" s="185"/>
      <c r="E77" s="25">
        <f>_xlfn.XLOOKUP(C77,'H-MO'!B$7:B$30,'H-MO'!D$7:D$30,,0,1)</f>
        <v>2761.4374999999995</v>
      </c>
      <c r="F77" s="28">
        <v>9.2827826086956527E-2</v>
      </c>
      <c r="G77" s="33">
        <f t="shared" si="1"/>
        <v>256.33823999999998</v>
      </c>
    </row>
    <row r="78" spans="1:8">
      <c r="A78" s="211" t="s">
        <v>512</v>
      </c>
      <c r="B78" s="216" t="str">
        <f>_xlfn.CONCAT(B48,A78)</f>
        <v>2D39E71-ac</v>
      </c>
      <c r="C78" s="24"/>
      <c r="D78" s="185"/>
      <c r="E78" s="29"/>
      <c r="F78" s="28"/>
      <c r="G78" s="33">
        <f t="shared" si="1"/>
        <v>0</v>
      </c>
    </row>
    <row r="79" spans="1:8" ht="14.25" thickBot="1">
      <c r="A79" s="211" t="s">
        <v>513</v>
      </c>
      <c r="B79" s="216" t="str">
        <f>_xlfn.CONCAT(B48,A79)</f>
        <v>2D39E71-ad</v>
      </c>
      <c r="C79" s="24"/>
      <c r="D79" s="185"/>
      <c r="E79" s="29"/>
      <c r="F79" s="28"/>
      <c r="G79" s="33">
        <f t="shared" si="1"/>
        <v>0</v>
      </c>
    </row>
    <row r="80" spans="1:8" ht="16.5" customHeight="1" thickBot="1">
      <c r="A80" s="211" t="s">
        <v>514</v>
      </c>
      <c r="B80" s="216" t="str">
        <f>_xlfn.CONCAT(B48,A80)</f>
        <v>2D39E71-ae</v>
      </c>
      <c r="C80" s="17"/>
      <c r="D80" s="192"/>
      <c r="E80" s="18"/>
      <c r="F80" s="22" t="s">
        <v>26</v>
      </c>
      <c r="G80" s="23">
        <f>SUM(G74:G79)</f>
        <v>1025.3529599999999</v>
      </c>
    </row>
    <row r="81" spans="1:8" ht="28.5" customHeight="1" thickBot="1">
      <c r="A81" s="211" t="s">
        <v>515</v>
      </c>
      <c r="B81" s="216" t="str">
        <f>_xlfn.CONCAT(B48,A81)</f>
        <v>2D39E71-af</v>
      </c>
      <c r="C81" s="10" t="s">
        <v>27</v>
      </c>
      <c r="D81" s="190"/>
      <c r="E81" s="11"/>
      <c r="F81" s="12"/>
      <c r="G81" s="13"/>
    </row>
    <row r="82" spans="1:8" s="47" customFormat="1" ht="23.25" customHeight="1" thickBot="1">
      <c r="A82" s="211" t="s">
        <v>516</v>
      </c>
      <c r="B82" s="216" t="str">
        <f>_xlfn.CONCAT(B48,A82)</f>
        <v>2D39E71-ag</v>
      </c>
      <c r="C82" s="14" t="s">
        <v>1</v>
      </c>
      <c r="D82" s="15" t="s">
        <v>28</v>
      </c>
      <c r="E82" s="15" t="s">
        <v>20</v>
      </c>
      <c r="F82" s="16" t="s">
        <v>21</v>
      </c>
      <c r="G82" s="15" t="s">
        <v>5</v>
      </c>
      <c r="H82" s="215"/>
    </row>
    <row r="83" spans="1:8">
      <c r="A83" s="211" t="s">
        <v>517</v>
      </c>
      <c r="B83" s="216" t="str">
        <f>_xlfn.CONCAT(B48,A83)</f>
        <v>2D39E71-ah</v>
      </c>
      <c r="C83" s="30" t="s">
        <v>29</v>
      </c>
      <c r="D83" s="186">
        <f>'H-MO'!$N$77</f>
        <v>725918.52892505517</v>
      </c>
      <c r="E83" s="31">
        <f>+D83/8</f>
        <v>90739.816115631897</v>
      </c>
      <c r="F83" s="32">
        <v>0.4</v>
      </c>
      <c r="G83" s="33">
        <f>+E83*F83</f>
        <v>36295.926446252757</v>
      </c>
    </row>
    <row r="84" spans="1:8">
      <c r="A84" s="211" t="s">
        <v>518</v>
      </c>
      <c r="B84" s="216" t="str">
        <f>_xlfn.CONCAT(B48,A84)</f>
        <v>2D39E71-ai</v>
      </c>
      <c r="C84" s="34" t="s">
        <v>30</v>
      </c>
      <c r="D84" s="187">
        <f>'H-MO'!$N$86</f>
        <v>685561.39085756091</v>
      </c>
      <c r="E84" s="29">
        <f>+D84/8</f>
        <v>85695.173857195114</v>
      </c>
      <c r="F84" s="28">
        <v>0.05</v>
      </c>
      <c r="G84" s="33">
        <f>+E84*F84</f>
        <v>4284.7586928597557</v>
      </c>
    </row>
    <row r="85" spans="1:8" ht="14.25" thickBot="1">
      <c r="A85" s="211" t="s">
        <v>519</v>
      </c>
      <c r="B85" s="216" t="str">
        <f>_xlfn.CONCAT(B48,A85)</f>
        <v>2D39E71-aj</v>
      </c>
      <c r="C85" s="34"/>
      <c r="D85" s="187"/>
      <c r="E85" s="29"/>
      <c r="F85" s="28"/>
      <c r="G85" s="33">
        <f>+E85*F85</f>
        <v>0</v>
      </c>
    </row>
    <row r="86" spans="1:8" ht="17.25" customHeight="1" thickBot="1">
      <c r="A86" s="211" t="s">
        <v>520</v>
      </c>
      <c r="B86" s="216" t="str">
        <f>_xlfn.CONCAT(B48,A86)</f>
        <v>2D39E71-ak</v>
      </c>
      <c r="C86" s="34"/>
      <c r="D86" s="185"/>
      <c r="E86" s="26"/>
      <c r="F86" s="36" t="s">
        <v>31</v>
      </c>
      <c r="G86" s="23">
        <f>SUM(G83:G85)</f>
        <v>40580.685139112509</v>
      </c>
    </row>
    <row r="87" spans="1:8" ht="14.25" thickBot="1">
      <c r="A87" s="211" t="s">
        <v>521</v>
      </c>
      <c r="B87" s="216" t="str">
        <f>_xlfn.CONCAT(B48,A87)</f>
        <v>2D39E71-al</v>
      </c>
      <c r="C87" s="37"/>
      <c r="E87" s="38"/>
      <c r="F87" s="22"/>
      <c r="G87" s="39"/>
    </row>
    <row r="88" spans="1:8" ht="23.25" customHeight="1" thickBot="1">
      <c r="A88" s="211" t="s">
        <v>522</v>
      </c>
      <c r="B88" s="216" t="str">
        <f>_xlfn.CONCAT(B48,A88)</f>
        <v>2D39E71-am</v>
      </c>
      <c r="C88" s="40"/>
      <c r="D88" s="193"/>
      <c r="E88" s="41"/>
      <c r="F88" s="42"/>
      <c r="G88" s="43">
        <f>+G71+G80+G86</f>
        <v>47446.038099112513</v>
      </c>
    </row>
    <row r="89" spans="1:8" ht="21.75" thickBot="1">
      <c r="B89" s="212" t="s">
        <v>550</v>
      </c>
      <c r="C89" s="2"/>
      <c r="D89" s="183"/>
      <c r="F89" s="4"/>
      <c r="G89" s="5"/>
    </row>
    <row r="90" spans="1:8" s="45" customFormat="1" ht="34.5" customHeight="1">
      <c r="A90" s="213"/>
      <c r="B90" s="214">
        <v>3</v>
      </c>
      <c r="C90" s="242" t="str">
        <f>_xlfn.XLOOKUP(B90,Cantidades!$A$10:$A$314,Cantidades!$C$10:$C$314,,0,1)</f>
        <v>Retiro de acometida 3#8(F)+1#8(N)+1#10(T)</v>
      </c>
      <c r="D90" s="243"/>
      <c r="E90" s="243"/>
      <c r="F90" s="243"/>
      <c r="G90" s="244"/>
      <c r="H90" s="213"/>
    </row>
    <row r="91" spans="1:8" s="47" customFormat="1" ht="24.95" customHeight="1" thickBot="1">
      <c r="A91" s="215"/>
      <c r="B91" s="216" t="s">
        <v>550</v>
      </c>
      <c r="C91" s="177"/>
      <c r="D91" s="189"/>
      <c r="E91" s="178"/>
      <c r="F91" s="179" t="s">
        <v>636</v>
      </c>
      <c r="G91" s="209" t="str">
        <f>B92</f>
        <v>E47DA25-</v>
      </c>
      <c r="H91" s="215"/>
    </row>
    <row r="92" spans="1:8" ht="28.5" customHeight="1" thickBot="1">
      <c r="B92" s="212" t="str">
        <f>_xlfn.XLOOKUP(C90,Cantidades!$C$1:$C$314,Cantidades!$B$1:$B$314,"",0,1)</f>
        <v>E47DA25-</v>
      </c>
      <c r="C92" s="10" t="s">
        <v>0</v>
      </c>
      <c r="D92" s="190"/>
      <c r="E92" s="11"/>
      <c r="F92" s="12"/>
      <c r="G92" s="13"/>
    </row>
    <row r="93" spans="1:8" s="47" customFormat="1" ht="23.25" customHeight="1" thickBot="1">
      <c r="A93" s="215"/>
      <c r="B93" s="216" t="s">
        <v>550</v>
      </c>
      <c r="C93" s="14" t="s">
        <v>1</v>
      </c>
      <c r="D93" s="15" t="s">
        <v>2</v>
      </c>
      <c r="E93" s="15" t="s">
        <v>3</v>
      </c>
      <c r="F93" s="16" t="s">
        <v>4</v>
      </c>
      <c r="G93" s="15" t="s">
        <v>5</v>
      </c>
      <c r="H93" s="215"/>
    </row>
    <row r="94" spans="1:8" ht="15">
      <c r="A94" s="211" t="s">
        <v>484</v>
      </c>
      <c r="B94" s="216" t="str">
        <f>_xlfn.CONCAT(B92,A94)</f>
        <v>E47DA25-A</v>
      </c>
      <c r="C94" s="17" t="str">
        <f>_xlfn.XLOOKUP(H94,'Materiales unitario'!$A$1:$A$2500,'Materiales unitario'!B$1:B$2500,,0,1)</f>
        <v>Insumos menores</v>
      </c>
      <c r="D94" s="191" t="str">
        <f>_xlfn.XLOOKUP(H94,'Materiales unitario'!A$1:A$2500,'Materiales unitario'!C$1:C$2500,,0,1)</f>
        <v>un</v>
      </c>
      <c r="E94" s="196">
        <f>_xlfn.XLOOKUP(H94,'Materiales unitario'!$A$1:$A$2500,'Materiales unitario'!D$1:D$2500,,0,1)</f>
        <v>7300</v>
      </c>
      <c r="F94" s="19">
        <v>0.2</v>
      </c>
      <c r="G94" s="20">
        <f>+E94*F94</f>
        <v>1460</v>
      </c>
      <c r="H94" s="217" t="s">
        <v>532</v>
      </c>
    </row>
    <row r="95" spans="1:8">
      <c r="A95" s="211" t="s">
        <v>485</v>
      </c>
      <c r="B95" s="216" t="str">
        <f>_xlfn.CONCAT(B92,A95)</f>
        <v>E47DA25-B</v>
      </c>
      <c r="C95" s="17"/>
      <c r="D95" s="184"/>
      <c r="E95" s="197"/>
      <c r="F95" s="19"/>
      <c r="G95" s="20"/>
    </row>
    <row r="96" spans="1:8">
      <c r="A96" s="211" t="s">
        <v>486</v>
      </c>
      <c r="B96" s="216" t="str">
        <f>_xlfn.CONCAT(B92,A96)</f>
        <v>E47DA25-C</v>
      </c>
      <c r="C96" s="17"/>
      <c r="D96" s="184"/>
      <c r="E96" s="197"/>
      <c r="F96" s="19"/>
      <c r="G96" s="20"/>
    </row>
    <row r="97" spans="1:7">
      <c r="A97" s="211" t="s">
        <v>487</v>
      </c>
      <c r="B97" s="216" t="str">
        <f>_xlfn.CONCAT(B92,A97)</f>
        <v>E47DA25-D</v>
      </c>
      <c r="C97" s="17"/>
      <c r="D97" s="184"/>
      <c r="E97" s="197"/>
      <c r="F97" s="19"/>
      <c r="G97" s="20"/>
    </row>
    <row r="98" spans="1:7">
      <c r="A98" s="211" t="s">
        <v>488</v>
      </c>
      <c r="B98" s="216" t="str">
        <f>_xlfn.CONCAT(B92,A98)</f>
        <v>E47DA25-E</v>
      </c>
      <c r="C98" s="17"/>
      <c r="D98" s="184"/>
      <c r="E98" s="197"/>
      <c r="F98" s="19"/>
      <c r="G98" s="20"/>
    </row>
    <row r="99" spans="1:7">
      <c r="A99" s="211" t="s">
        <v>489</v>
      </c>
      <c r="B99" s="216" t="str">
        <f>_xlfn.CONCAT(B92,A99)</f>
        <v>E47DA25-F</v>
      </c>
      <c r="C99" s="17"/>
      <c r="D99" s="184"/>
      <c r="E99" s="197"/>
      <c r="F99" s="19"/>
      <c r="G99" s="20"/>
    </row>
    <row r="100" spans="1:7">
      <c r="A100" s="211" t="s">
        <v>490</v>
      </c>
      <c r="B100" s="216" t="str">
        <f>_xlfn.CONCAT(B92,A100)</f>
        <v>E47DA25-G</v>
      </c>
      <c r="C100" s="17"/>
      <c r="D100" s="184"/>
      <c r="E100" s="197"/>
      <c r="F100" s="19"/>
      <c r="G100" s="20"/>
    </row>
    <row r="101" spans="1:7">
      <c r="A101" s="211" t="s">
        <v>491</v>
      </c>
      <c r="B101" s="216" t="str">
        <f>_xlfn.CONCAT(B92,A101)</f>
        <v>E47DA25-H</v>
      </c>
      <c r="C101" s="17"/>
      <c r="D101" s="184"/>
      <c r="E101" s="197"/>
      <c r="F101" s="19"/>
      <c r="G101" s="20"/>
    </row>
    <row r="102" spans="1:7">
      <c r="A102" s="211" t="s">
        <v>492</v>
      </c>
      <c r="B102" s="216" t="str">
        <f>_xlfn.CONCAT(B92,A102)</f>
        <v>E47DA25-I</v>
      </c>
      <c r="C102" s="17"/>
      <c r="D102" s="184"/>
      <c r="E102" s="197"/>
      <c r="F102" s="19"/>
      <c r="G102" s="20"/>
    </row>
    <row r="103" spans="1:7">
      <c r="A103" s="211" t="s">
        <v>493</v>
      </c>
      <c r="B103" s="216" t="str">
        <f>_xlfn.CONCAT(B92,A103)</f>
        <v>E47DA25-J</v>
      </c>
      <c r="C103" s="17"/>
      <c r="D103" s="184"/>
      <c r="E103" s="197"/>
      <c r="F103" s="19"/>
      <c r="G103" s="20"/>
    </row>
    <row r="104" spans="1:7">
      <c r="A104" s="211" t="s">
        <v>494</v>
      </c>
      <c r="B104" s="216" t="str">
        <f>_xlfn.CONCAT(B92,A104)</f>
        <v>E47DA25-K</v>
      </c>
      <c r="C104" s="17"/>
      <c r="D104" s="184"/>
      <c r="E104" s="197"/>
      <c r="F104" s="19"/>
      <c r="G104" s="20"/>
    </row>
    <row r="105" spans="1:7">
      <c r="A105" s="211" t="s">
        <v>495</v>
      </c>
      <c r="B105" s="216" t="str">
        <f>_xlfn.CONCAT(B92,A105)</f>
        <v>E47DA25-L</v>
      </c>
      <c r="C105" s="17"/>
      <c r="D105" s="184"/>
      <c r="E105" s="197"/>
      <c r="F105" s="19"/>
      <c r="G105" s="20"/>
    </row>
    <row r="106" spans="1:7">
      <c r="A106" s="211" t="s">
        <v>496</v>
      </c>
      <c r="B106" s="216" t="str">
        <f>_xlfn.CONCAT(B92,A106)</f>
        <v>E47DA25-M</v>
      </c>
      <c r="C106" s="17"/>
      <c r="D106" s="184"/>
      <c r="E106" s="197"/>
      <c r="F106" s="19"/>
      <c r="G106" s="20"/>
    </row>
    <row r="107" spans="1:7">
      <c r="A107" s="211" t="s">
        <v>497</v>
      </c>
      <c r="B107" s="216" t="str">
        <f>_xlfn.CONCAT(B92,A107)</f>
        <v>E47DA25-N</v>
      </c>
      <c r="C107" s="17"/>
      <c r="D107" s="184"/>
      <c r="E107" s="197"/>
      <c r="F107" s="19"/>
      <c r="G107" s="20"/>
    </row>
    <row r="108" spans="1:7">
      <c r="A108" s="211" t="s">
        <v>498</v>
      </c>
      <c r="B108" s="216" t="str">
        <f>_xlfn.CONCAT(B92,A108)</f>
        <v>E47DA25-O</v>
      </c>
      <c r="C108" s="17"/>
      <c r="D108" s="184"/>
      <c r="E108" s="197"/>
      <c r="F108" s="19"/>
      <c r="G108" s="20"/>
    </row>
    <row r="109" spans="1:7">
      <c r="A109" s="211" t="s">
        <v>499</v>
      </c>
      <c r="B109" s="216" t="str">
        <f>_xlfn.CONCAT(B92,A109)</f>
        <v>E47DA25-P</v>
      </c>
      <c r="C109" s="17"/>
      <c r="D109" s="184"/>
      <c r="E109" s="197"/>
      <c r="F109" s="19"/>
      <c r="G109" s="20"/>
    </row>
    <row r="110" spans="1:7">
      <c r="A110" s="211" t="s">
        <v>500</v>
      </c>
      <c r="B110" s="216" t="str">
        <f>_xlfn.CONCAT(B92,A110)</f>
        <v>E47DA25-Q</v>
      </c>
      <c r="C110" s="17"/>
      <c r="D110" s="184"/>
      <c r="E110" s="197"/>
      <c r="F110" s="19"/>
      <c r="G110" s="20"/>
    </row>
    <row r="111" spans="1:7">
      <c r="A111" s="211" t="s">
        <v>501</v>
      </c>
      <c r="B111" s="216" t="str">
        <f>_xlfn.CONCAT(B92,A111)</f>
        <v>E47DA25-R</v>
      </c>
      <c r="C111" s="17"/>
      <c r="D111" s="184"/>
      <c r="E111" s="197"/>
      <c r="F111" s="19"/>
      <c r="G111" s="20"/>
    </row>
    <row r="112" spans="1:7">
      <c r="A112" s="211" t="s">
        <v>502</v>
      </c>
      <c r="B112" s="216" t="str">
        <f>_xlfn.CONCAT(B92,A112)</f>
        <v>E47DA25-S</v>
      </c>
      <c r="C112" s="17"/>
      <c r="D112" s="184"/>
      <c r="E112" s="197"/>
      <c r="F112" s="19"/>
      <c r="G112" s="20"/>
    </row>
    <row r="113" spans="1:12">
      <c r="A113" s="211" t="s">
        <v>503</v>
      </c>
      <c r="B113" s="216" t="str">
        <f>_xlfn.CONCAT(B92,A113)</f>
        <v>E47DA25-T</v>
      </c>
      <c r="C113" s="17"/>
      <c r="D113" s="184"/>
      <c r="E113" s="197"/>
      <c r="F113" s="19"/>
      <c r="G113" s="20"/>
    </row>
    <row r="114" spans="1:12" ht="14.25" thickBot="1">
      <c r="A114" s="211" t="s">
        <v>504</v>
      </c>
      <c r="B114" s="216" t="str">
        <f>_xlfn.CONCAT(B92,A114)</f>
        <v>E47DA25-U</v>
      </c>
      <c r="C114" s="17"/>
      <c r="D114" s="184"/>
      <c r="E114" s="197"/>
      <c r="F114" s="19"/>
      <c r="G114" s="20"/>
    </row>
    <row r="115" spans="1:12" ht="16.5" customHeight="1" thickBot="1">
      <c r="A115" s="211" t="s">
        <v>505</v>
      </c>
      <c r="B115" s="216" t="str">
        <f>_xlfn.CONCAT(B92,A115)</f>
        <v>E47DA25-V</v>
      </c>
      <c r="C115" s="17" t="s">
        <v>17</v>
      </c>
      <c r="D115" s="192" t="s">
        <v>17</v>
      </c>
      <c r="E115" s="18"/>
      <c r="F115" s="22" t="s">
        <v>18</v>
      </c>
      <c r="G115" s="23">
        <f>SUM(G94:G114)</f>
        <v>1460</v>
      </c>
    </row>
    <row r="116" spans="1:12" ht="28.5" customHeight="1" thickBot="1">
      <c r="A116" s="211" t="s">
        <v>506</v>
      </c>
      <c r="B116" s="216" t="str">
        <f>_xlfn.CONCAT(B92,A116)</f>
        <v>E47DA25-W</v>
      </c>
      <c r="C116" s="10" t="s">
        <v>19</v>
      </c>
      <c r="D116" s="190"/>
      <c r="E116" s="11"/>
      <c r="F116" s="12"/>
      <c r="G116" s="13"/>
    </row>
    <row r="117" spans="1:12" s="47" customFormat="1" ht="23.25" customHeight="1" thickBot="1">
      <c r="A117" s="211" t="s">
        <v>507</v>
      </c>
      <c r="B117" s="216" t="str">
        <f>_xlfn.CONCAT(B92,A117)</f>
        <v>E47DA25-X</v>
      </c>
      <c r="C117" s="14" t="s">
        <v>1</v>
      </c>
      <c r="D117" s="15"/>
      <c r="E117" s="15" t="s">
        <v>20</v>
      </c>
      <c r="F117" s="16" t="s">
        <v>21</v>
      </c>
      <c r="G117" s="15" t="s">
        <v>5</v>
      </c>
      <c r="H117" s="211"/>
      <c r="I117" s="211"/>
      <c r="J117" s="211"/>
      <c r="K117" s="211"/>
      <c r="L117" s="211"/>
    </row>
    <row r="118" spans="1:12">
      <c r="A118" s="211" t="s">
        <v>508</v>
      </c>
      <c r="B118" s="216" t="str">
        <f>_xlfn.CONCAT(B92,A118)</f>
        <v>E47DA25-Y</v>
      </c>
      <c r="C118" s="24" t="s">
        <v>22</v>
      </c>
      <c r="D118" s="184"/>
      <c r="E118" s="25">
        <f>_xlfn.XLOOKUP(C118,'H-MO'!B$7:B$30,'H-MO'!D$7:D$30,,0,1)</f>
        <v>2436.5624999999995</v>
      </c>
      <c r="F118" s="19">
        <v>0.10520486956521739</v>
      </c>
      <c r="G118" s="33">
        <f t="shared" ref="G118:G123" si="2">+E118*F118</f>
        <v>256.33823999999998</v>
      </c>
    </row>
    <row r="119" spans="1:12">
      <c r="A119" s="211" t="s">
        <v>509</v>
      </c>
      <c r="B119" s="216" t="str">
        <f>_xlfn.CONCAT(B92,A119)</f>
        <v>E47DA25-Z</v>
      </c>
      <c r="C119" s="24" t="s">
        <v>23</v>
      </c>
      <c r="D119" s="184"/>
      <c r="E119" s="25">
        <f>_xlfn.XLOOKUP(C119,'H-MO'!B$7:B$30,'H-MO'!D$7:D$30,,0,1)</f>
        <v>1461.9374999999998</v>
      </c>
      <c r="F119" s="19">
        <v>0.26301217391304349</v>
      </c>
      <c r="G119" s="33">
        <f t="shared" si="2"/>
        <v>384.50735999999995</v>
      </c>
    </row>
    <row r="120" spans="1:12">
      <c r="A120" s="211" t="s">
        <v>510</v>
      </c>
      <c r="B120" s="216" t="str">
        <f>_xlfn.CONCAT(B92,A120)</f>
        <v>E47DA25-aa</v>
      </c>
      <c r="C120" s="24" t="s">
        <v>24</v>
      </c>
      <c r="D120" s="185"/>
      <c r="E120" s="25">
        <f>_xlfn.XLOOKUP(C120,'H-MO'!B$7:B$30,'H-MO'!D$7:D$30,,0,1)</f>
        <v>29238.749999999996</v>
      </c>
      <c r="F120" s="28">
        <v>4.3835362318840583E-3</v>
      </c>
      <c r="G120" s="33">
        <f t="shared" si="2"/>
        <v>128.16911999999999</v>
      </c>
    </row>
    <row r="121" spans="1:12">
      <c r="A121" s="211" t="s">
        <v>511</v>
      </c>
      <c r="B121" s="216" t="str">
        <f>_xlfn.CONCAT(B92,A121)</f>
        <v>E47DA25-ab</v>
      </c>
      <c r="C121" s="24" t="s">
        <v>25</v>
      </c>
      <c r="D121" s="185"/>
      <c r="E121" s="25">
        <f>_xlfn.XLOOKUP(C121,'H-MO'!B$7:B$30,'H-MO'!D$7:D$30,,0,1)</f>
        <v>2761.4374999999995</v>
      </c>
      <c r="F121" s="28">
        <v>9.2827826086956527E-2</v>
      </c>
      <c r="G121" s="33">
        <f t="shared" si="2"/>
        <v>256.33823999999998</v>
      </c>
    </row>
    <row r="122" spans="1:12">
      <c r="A122" s="211" t="s">
        <v>512</v>
      </c>
      <c r="B122" s="216" t="str">
        <f>_xlfn.CONCAT(B92,A122)</f>
        <v>E47DA25-ac</v>
      </c>
      <c r="C122" s="24"/>
      <c r="D122" s="185"/>
      <c r="E122" s="29"/>
      <c r="F122" s="28"/>
      <c r="G122" s="33">
        <f t="shared" si="2"/>
        <v>0</v>
      </c>
    </row>
    <row r="123" spans="1:12" ht="14.25" thickBot="1">
      <c r="A123" s="211" t="s">
        <v>513</v>
      </c>
      <c r="B123" s="216" t="str">
        <f>_xlfn.CONCAT(B92,A123)</f>
        <v>E47DA25-ad</v>
      </c>
      <c r="C123" s="24"/>
      <c r="D123" s="185"/>
      <c r="E123" s="29"/>
      <c r="F123" s="28"/>
      <c r="G123" s="33">
        <f t="shared" si="2"/>
        <v>0</v>
      </c>
    </row>
    <row r="124" spans="1:12" ht="16.5" customHeight="1" thickBot="1">
      <c r="A124" s="211" t="s">
        <v>514</v>
      </c>
      <c r="B124" s="216" t="str">
        <f>_xlfn.CONCAT(B92,A124)</f>
        <v>E47DA25-ae</v>
      </c>
      <c r="C124" s="17"/>
      <c r="D124" s="192"/>
      <c r="E124" s="18"/>
      <c r="F124" s="22" t="s">
        <v>26</v>
      </c>
      <c r="G124" s="23">
        <f>SUM(G118:G123)</f>
        <v>1025.3529599999999</v>
      </c>
    </row>
    <row r="125" spans="1:12" ht="28.5" customHeight="1" thickBot="1">
      <c r="A125" s="211" t="s">
        <v>515</v>
      </c>
      <c r="B125" s="216" t="str">
        <f>_xlfn.CONCAT(B92,A125)</f>
        <v>E47DA25-af</v>
      </c>
      <c r="C125" s="10" t="s">
        <v>27</v>
      </c>
      <c r="D125" s="190"/>
      <c r="E125" s="11"/>
      <c r="F125" s="12"/>
      <c r="G125" s="13"/>
    </row>
    <row r="126" spans="1:12" s="47" customFormat="1" ht="23.25" customHeight="1" thickBot="1">
      <c r="A126" s="211" t="s">
        <v>516</v>
      </c>
      <c r="B126" s="216" t="str">
        <f>_xlfn.CONCAT(B92,A126)</f>
        <v>E47DA25-ag</v>
      </c>
      <c r="C126" s="14" t="s">
        <v>1</v>
      </c>
      <c r="D126" s="15" t="s">
        <v>28</v>
      </c>
      <c r="E126" s="15" t="s">
        <v>20</v>
      </c>
      <c r="F126" s="16" t="s">
        <v>21</v>
      </c>
      <c r="G126" s="15" t="s">
        <v>5</v>
      </c>
      <c r="H126" s="211"/>
      <c r="I126" s="211"/>
      <c r="J126" s="211"/>
      <c r="K126" s="211"/>
      <c r="L126" s="211"/>
    </row>
    <row r="127" spans="1:12">
      <c r="A127" s="211" t="s">
        <v>517</v>
      </c>
      <c r="B127" s="216" t="str">
        <f>_xlfn.CONCAT(B92,A127)</f>
        <v>E47DA25-ah</v>
      </c>
      <c r="C127" s="30" t="s">
        <v>29</v>
      </c>
      <c r="D127" s="186">
        <f>'H-MO'!$N$77</f>
        <v>725918.52892505517</v>
      </c>
      <c r="E127" s="31">
        <f>+D127/8</f>
        <v>90739.816115631897</v>
      </c>
      <c r="F127" s="32">
        <v>0.15</v>
      </c>
      <c r="G127" s="33">
        <f>+E127*F127</f>
        <v>13610.972417344785</v>
      </c>
    </row>
    <row r="128" spans="1:12">
      <c r="A128" s="211" t="s">
        <v>518</v>
      </c>
      <c r="B128" s="216" t="str">
        <f>_xlfn.CONCAT(B92,A128)</f>
        <v>E47DA25-ai</v>
      </c>
      <c r="C128" s="34" t="s">
        <v>30</v>
      </c>
      <c r="D128" s="187">
        <f>'H-MO'!$N$86</f>
        <v>685561.39085756091</v>
      </c>
      <c r="E128" s="29">
        <f>+D128/8</f>
        <v>85695.173857195114</v>
      </c>
      <c r="F128" s="28">
        <v>0.02</v>
      </c>
      <c r="G128" s="33">
        <f>+E128*F128</f>
        <v>1713.9034771439024</v>
      </c>
    </row>
    <row r="129" spans="1:12" ht="14.25" thickBot="1">
      <c r="A129" s="211" t="s">
        <v>519</v>
      </c>
      <c r="B129" s="216" t="str">
        <f>_xlfn.CONCAT(B92,A129)</f>
        <v>E47DA25-aj</v>
      </c>
      <c r="C129" s="34"/>
      <c r="D129" s="187"/>
      <c r="E129" s="29"/>
      <c r="F129" s="28"/>
      <c r="G129" s="33">
        <f>+E129*F129</f>
        <v>0</v>
      </c>
    </row>
    <row r="130" spans="1:12" ht="17.25" customHeight="1" thickBot="1">
      <c r="A130" s="211" t="s">
        <v>520</v>
      </c>
      <c r="B130" s="216" t="str">
        <f>_xlfn.CONCAT(B92,A130)</f>
        <v>E47DA25-ak</v>
      </c>
      <c r="C130" s="34"/>
      <c r="D130" s="185"/>
      <c r="E130" s="26"/>
      <c r="F130" s="36" t="s">
        <v>31</v>
      </c>
      <c r="G130" s="23">
        <f>SUM(G127:G129)</f>
        <v>15324.875894488687</v>
      </c>
    </row>
    <row r="131" spans="1:12" ht="14.25" thickBot="1">
      <c r="A131" s="211" t="s">
        <v>521</v>
      </c>
      <c r="B131" s="216" t="str">
        <f>_xlfn.CONCAT(B92,A131)</f>
        <v>E47DA25-al</v>
      </c>
      <c r="C131" s="37"/>
      <c r="E131" s="38"/>
      <c r="F131" s="22"/>
      <c r="G131" s="39"/>
    </row>
    <row r="132" spans="1:12" ht="23.25" customHeight="1" thickBot="1">
      <c r="A132" s="211" t="s">
        <v>522</v>
      </c>
      <c r="B132" s="216" t="str">
        <f>_xlfn.CONCAT(B92,A132)</f>
        <v>E47DA25-am</v>
      </c>
      <c r="C132" s="40"/>
      <c r="D132" s="193"/>
      <c r="E132" s="41"/>
      <c r="F132" s="42"/>
      <c r="G132" s="43">
        <f>+G115+G124+G130</f>
        <v>17810.228854488687</v>
      </c>
    </row>
    <row r="133" spans="1:12" ht="21.75" thickBot="1">
      <c r="B133" s="212" t="s">
        <v>550</v>
      </c>
      <c r="C133" s="2"/>
      <c r="D133" s="183"/>
      <c r="F133" s="4"/>
      <c r="G133" s="5"/>
    </row>
    <row r="134" spans="1:12" s="45" customFormat="1" ht="34.5" customHeight="1">
      <c r="A134" s="213"/>
      <c r="B134" s="214">
        <v>4</v>
      </c>
      <c r="C134" s="242" t="str">
        <f>_xlfn.XLOOKUP(B134,Cantidades!$A$10:$A$314,Cantidades!$C$10:$C$314,,0,1)</f>
        <v>Retiro de acometida 4(3#500(F)+1#500(N)+1#1/0(T))</v>
      </c>
      <c r="D134" s="243"/>
      <c r="E134" s="243"/>
      <c r="F134" s="243"/>
      <c r="G134" s="244"/>
      <c r="H134" s="211"/>
      <c r="I134" s="211"/>
      <c r="J134" s="211"/>
      <c r="K134" s="211"/>
      <c r="L134" s="211"/>
    </row>
    <row r="135" spans="1:12" ht="19.5" thickBot="1">
      <c r="A135" s="215"/>
      <c r="B135" s="216" t="s">
        <v>550</v>
      </c>
      <c r="C135" s="177"/>
      <c r="D135" s="189"/>
      <c r="E135" s="178"/>
      <c r="F135" s="179" t="s">
        <v>636</v>
      </c>
      <c r="G135" s="209" t="str">
        <f>B136</f>
        <v>3B73F99E-</v>
      </c>
    </row>
    <row r="136" spans="1:12" ht="15.75" thickBot="1">
      <c r="B136" s="212" t="str">
        <f>_xlfn.XLOOKUP(C134,Cantidades!$C$1:$C$314,Cantidades!$B$1:$B$314,"",0,1)</f>
        <v>3B73F99E-</v>
      </c>
      <c r="C136" s="10" t="s">
        <v>0</v>
      </c>
      <c r="D136" s="190"/>
      <c r="E136" s="11"/>
      <c r="F136" s="12"/>
      <c r="G136" s="13"/>
    </row>
    <row r="137" spans="1:12" ht="14.25" thickBot="1">
      <c r="A137" s="215"/>
      <c r="B137" s="216" t="s">
        <v>550</v>
      </c>
      <c r="C137" s="14" t="s">
        <v>1</v>
      </c>
      <c r="D137" s="15" t="s">
        <v>2</v>
      </c>
      <c r="E137" s="15" t="s">
        <v>3</v>
      </c>
      <c r="F137" s="16" t="s">
        <v>4</v>
      </c>
      <c r="G137" s="15" t="s">
        <v>5</v>
      </c>
    </row>
    <row r="138" spans="1:12">
      <c r="A138" s="211" t="s">
        <v>484</v>
      </c>
      <c r="B138" s="216" t="str">
        <f>_xlfn.CONCAT(B136,A138)</f>
        <v>3B73F99E-A</v>
      </c>
      <c r="C138" s="17" t="str">
        <f>_xlfn.XLOOKUP(H138,'Materiales unitario'!$A$1:$A$2500,'Materiales unitario'!B$1:B$2500,,0,1)</f>
        <v>Insumos menores</v>
      </c>
      <c r="D138" s="191" t="str">
        <f>_xlfn.XLOOKUP(H138,'Materiales unitario'!A$1:A$2500,'Materiales unitario'!C$1:C$2500,,0,1)</f>
        <v>un</v>
      </c>
      <c r="E138" s="196">
        <f>_xlfn.XLOOKUP(H138,'Materiales unitario'!$A$1:$A$2500,'Materiales unitario'!D$1:D$2500,,0,1)</f>
        <v>7300</v>
      </c>
      <c r="F138" s="19">
        <v>3</v>
      </c>
      <c r="G138" s="20">
        <f>+E138*F138</f>
        <v>21900</v>
      </c>
      <c r="H138" s="211" t="s">
        <v>532</v>
      </c>
    </row>
    <row r="139" spans="1:12">
      <c r="A139" s="211" t="s">
        <v>485</v>
      </c>
      <c r="B139" s="216" t="str">
        <f>_xlfn.CONCAT(B136,A139)</f>
        <v>3B73F99E-B</v>
      </c>
      <c r="C139" s="17"/>
      <c r="D139" s="184"/>
      <c r="E139" s="197"/>
      <c r="F139" s="19"/>
      <c r="G139" s="20"/>
    </row>
    <row r="140" spans="1:12">
      <c r="A140" s="211" t="s">
        <v>486</v>
      </c>
      <c r="B140" s="216" t="str">
        <f>_xlfn.CONCAT(B136,A140)</f>
        <v>3B73F99E-C</v>
      </c>
      <c r="C140" s="17"/>
      <c r="D140" s="184"/>
      <c r="E140" s="197"/>
      <c r="F140" s="19"/>
      <c r="G140" s="20"/>
    </row>
    <row r="141" spans="1:12">
      <c r="A141" s="211" t="s">
        <v>487</v>
      </c>
      <c r="B141" s="216" t="str">
        <f>_xlfn.CONCAT(B136,A141)</f>
        <v>3B73F99E-D</v>
      </c>
      <c r="C141" s="17"/>
      <c r="D141" s="184"/>
      <c r="E141" s="197"/>
      <c r="F141" s="19"/>
      <c r="G141" s="20"/>
    </row>
    <row r="142" spans="1:12">
      <c r="A142" s="211" t="s">
        <v>488</v>
      </c>
      <c r="B142" s="216" t="str">
        <f>_xlfn.CONCAT(B136,A142)</f>
        <v>3B73F99E-E</v>
      </c>
      <c r="C142" s="17"/>
      <c r="D142" s="184"/>
      <c r="E142" s="197"/>
      <c r="F142" s="19"/>
      <c r="G142" s="20"/>
    </row>
    <row r="143" spans="1:12">
      <c r="A143" s="211" t="s">
        <v>489</v>
      </c>
      <c r="B143" s="216" t="str">
        <f>_xlfn.CONCAT(B136,A143)</f>
        <v>3B73F99E-F</v>
      </c>
      <c r="C143" s="17"/>
      <c r="D143" s="184"/>
      <c r="E143" s="197"/>
      <c r="F143" s="19"/>
      <c r="G143" s="20"/>
    </row>
    <row r="144" spans="1:12">
      <c r="A144" s="211" t="s">
        <v>490</v>
      </c>
      <c r="B144" s="216" t="str">
        <f>_xlfn.CONCAT(B136,A144)</f>
        <v>3B73F99E-G</v>
      </c>
      <c r="C144" s="17"/>
      <c r="D144" s="184"/>
      <c r="E144" s="197"/>
      <c r="F144" s="19"/>
      <c r="G144" s="20"/>
    </row>
    <row r="145" spans="1:7">
      <c r="A145" s="211" t="s">
        <v>491</v>
      </c>
      <c r="B145" s="216" t="str">
        <f>_xlfn.CONCAT(B136,A145)</f>
        <v>3B73F99E-H</v>
      </c>
      <c r="C145" s="17"/>
      <c r="D145" s="184"/>
      <c r="E145" s="197"/>
      <c r="F145" s="19"/>
      <c r="G145" s="20"/>
    </row>
    <row r="146" spans="1:7">
      <c r="A146" s="211" t="s">
        <v>492</v>
      </c>
      <c r="B146" s="216" t="str">
        <f>_xlfn.CONCAT(B136,A146)</f>
        <v>3B73F99E-I</v>
      </c>
      <c r="C146" s="17"/>
      <c r="D146" s="184"/>
      <c r="E146" s="197"/>
      <c r="F146" s="19"/>
      <c r="G146" s="20"/>
    </row>
    <row r="147" spans="1:7">
      <c r="A147" s="211" t="s">
        <v>493</v>
      </c>
      <c r="B147" s="216" t="str">
        <f>_xlfn.CONCAT(B136,A147)</f>
        <v>3B73F99E-J</v>
      </c>
      <c r="C147" s="17"/>
      <c r="D147" s="184"/>
      <c r="E147" s="197"/>
      <c r="F147" s="19"/>
      <c r="G147" s="20"/>
    </row>
    <row r="148" spans="1:7">
      <c r="A148" s="211" t="s">
        <v>494</v>
      </c>
      <c r="B148" s="216" t="str">
        <f>_xlfn.CONCAT(B136,A148)</f>
        <v>3B73F99E-K</v>
      </c>
      <c r="C148" s="17"/>
      <c r="D148" s="184"/>
      <c r="E148" s="197"/>
      <c r="F148" s="19"/>
      <c r="G148" s="20"/>
    </row>
    <row r="149" spans="1:7">
      <c r="A149" s="211" t="s">
        <v>495</v>
      </c>
      <c r="B149" s="216" t="str">
        <f>_xlfn.CONCAT(B136,A149)</f>
        <v>3B73F99E-L</v>
      </c>
      <c r="C149" s="17"/>
      <c r="D149" s="184"/>
      <c r="E149" s="197"/>
      <c r="F149" s="19"/>
      <c r="G149" s="20"/>
    </row>
    <row r="150" spans="1:7">
      <c r="A150" s="211" t="s">
        <v>496</v>
      </c>
      <c r="B150" s="216" t="str">
        <f>_xlfn.CONCAT(B136,A150)</f>
        <v>3B73F99E-M</v>
      </c>
      <c r="C150" s="17"/>
      <c r="D150" s="184"/>
      <c r="E150" s="197"/>
      <c r="F150" s="19"/>
      <c r="G150" s="20"/>
    </row>
    <row r="151" spans="1:7">
      <c r="A151" s="211" t="s">
        <v>497</v>
      </c>
      <c r="B151" s="216" t="str">
        <f>_xlfn.CONCAT(B136,A151)</f>
        <v>3B73F99E-N</v>
      </c>
      <c r="C151" s="17"/>
      <c r="D151" s="184"/>
      <c r="E151" s="197"/>
      <c r="F151" s="19"/>
      <c r="G151" s="20"/>
    </row>
    <row r="152" spans="1:7">
      <c r="A152" s="211" t="s">
        <v>498</v>
      </c>
      <c r="B152" s="216" t="str">
        <f>_xlfn.CONCAT(B136,A152)</f>
        <v>3B73F99E-O</v>
      </c>
      <c r="C152" s="17"/>
      <c r="D152" s="184"/>
      <c r="E152" s="197"/>
      <c r="F152" s="19"/>
      <c r="G152" s="20"/>
    </row>
    <row r="153" spans="1:7">
      <c r="A153" s="211" t="s">
        <v>499</v>
      </c>
      <c r="B153" s="216" t="str">
        <f>_xlfn.CONCAT(B136,A153)</f>
        <v>3B73F99E-P</v>
      </c>
      <c r="C153" s="17"/>
      <c r="D153" s="184"/>
      <c r="E153" s="197"/>
      <c r="F153" s="19"/>
      <c r="G153" s="20"/>
    </row>
    <row r="154" spans="1:7">
      <c r="A154" s="211" t="s">
        <v>500</v>
      </c>
      <c r="B154" s="216" t="str">
        <f>_xlfn.CONCAT(B136,A154)</f>
        <v>3B73F99E-Q</v>
      </c>
      <c r="C154" s="17"/>
      <c r="D154" s="184"/>
      <c r="E154" s="197"/>
      <c r="F154" s="19"/>
      <c r="G154" s="20"/>
    </row>
    <row r="155" spans="1:7">
      <c r="A155" s="211" t="s">
        <v>501</v>
      </c>
      <c r="B155" s="216" t="str">
        <f>_xlfn.CONCAT(B136,A155)</f>
        <v>3B73F99E-R</v>
      </c>
      <c r="C155" s="17"/>
      <c r="D155" s="184"/>
      <c r="E155" s="197"/>
      <c r="F155" s="19"/>
      <c r="G155" s="20"/>
    </row>
    <row r="156" spans="1:7">
      <c r="A156" s="211" t="s">
        <v>502</v>
      </c>
      <c r="B156" s="216" t="str">
        <f>_xlfn.CONCAT(B136,A156)</f>
        <v>3B73F99E-S</v>
      </c>
      <c r="C156" s="17"/>
      <c r="D156" s="184"/>
      <c r="E156" s="197"/>
      <c r="F156" s="19"/>
      <c r="G156" s="20"/>
    </row>
    <row r="157" spans="1:7">
      <c r="A157" s="211" t="s">
        <v>503</v>
      </c>
      <c r="B157" s="216" t="str">
        <f>_xlfn.CONCAT(B136,A157)</f>
        <v>3B73F99E-T</v>
      </c>
      <c r="C157" s="17"/>
      <c r="D157" s="184"/>
      <c r="E157" s="197"/>
      <c r="F157" s="19"/>
      <c r="G157" s="20"/>
    </row>
    <row r="158" spans="1:7" ht="14.25" thickBot="1">
      <c r="A158" s="211" t="s">
        <v>504</v>
      </c>
      <c r="B158" s="216" t="str">
        <f>_xlfn.CONCAT(B136,A158)</f>
        <v>3B73F99E-U</v>
      </c>
      <c r="C158" s="17"/>
      <c r="D158" s="184"/>
      <c r="E158" s="197"/>
      <c r="F158" s="19"/>
      <c r="G158" s="20"/>
    </row>
    <row r="159" spans="1:7" ht="14.25" thickBot="1">
      <c r="A159" s="211" t="s">
        <v>505</v>
      </c>
      <c r="B159" s="216" t="str">
        <f>_xlfn.CONCAT(B136,A159)</f>
        <v>3B73F99E-V</v>
      </c>
      <c r="C159" s="17" t="s">
        <v>17</v>
      </c>
      <c r="D159" s="192" t="s">
        <v>17</v>
      </c>
      <c r="E159" s="18"/>
      <c r="F159" s="22" t="s">
        <v>18</v>
      </c>
      <c r="G159" s="23">
        <f>SUM(G138:G158)</f>
        <v>21900</v>
      </c>
    </row>
    <row r="160" spans="1:7" ht="15.75" thickBot="1">
      <c r="A160" s="211" t="s">
        <v>506</v>
      </c>
      <c r="B160" s="216" t="str">
        <f>_xlfn.CONCAT(B136,A160)</f>
        <v>3B73F99E-W</v>
      </c>
      <c r="C160" s="10" t="s">
        <v>19</v>
      </c>
      <c r="D160" s="190"/>
      <c r="E160" s="11"/>
      <c r="F160" s="12"/>
      <c r="G160" s="13"/>
    </row>
    <row r="161" spans="1:9" ht="14.25" thickBot="1">
      <c r="A161" s="211" t="s">
        <v>507</v>
      </c>
      <c r="B161" s="216" t="str">
        <f>_xlfn.CONCAT(B136,A161)</f>
        <v>3B73F99E-X</v>
      </c>
      <c r="C161" s="14" t="s">
        <v>1</v>
      </c>
      <c r="D161" s="15"/>
      <c r="E161" s="15" t="s">
        <v>20</v>
      </c>
      <c r="F161" s="16" t="s">
        <v>21</v>
      </c>
      <c r="G161" s="15" t="s">
        <v>5</v>
      </c>
      <c r="H161" s="215"/>
    </row>
    <row r="162" spans="1:9">
      <c r="A162" s="211" t="s">
        <v>508</v>
      </c>
      <c r="B162" s="216" t="str">
        <f>_xlfn.CONCAT(B136,A162)</f>
        <v>3B73F99E-Y</v>
      </c>
      <c r="C162" s="24" t="s">
        <v>22</v>
      </c>
      <c r="D162" s="184"/>
      <c r="E162" s="25">
        <f>_xlfn.XLOOKUP(C162,'H-MO'!B$7:B$30,'H-MO'!D$7:D$30,,0,1)</f>
        <v>2436.5624999999995</v>
      </c>
      <c r="F162" s="19">
        <v>7</v>
      </c>
      <c r="G162" s="33">
        <f t="shared" ref="G162:G167" si="3">+E162*F162</f>
        <v>17055.937499999996</v>
      </c>
    </row>
    <row r="163" spans="1:9">
      <c r="A163" s="211" t="s">
        <v>509</v>
      </c>
      <c r="B163" s="216" t="str">
        <f>_xlfn.CONCAT(B136,A163)</f>
        <v>3B73F99E-Z</v>
      </c>
      <c r="C163" s="24" t="s">
        <v>23</v>
      </c>
      <c r="D163" s="184"/>
      <c r="E163" s="25">
        <f>_xlfn.XLOOKUP(C163,'H-MO'!B$7:B$30,'H-MO'!D$7:D$30,,0,1)</f>
        <v>1461.9374999999998</v>
      </c>
      <c r="F163" s="19">
        <v>2</v>
      </c>
      <c r="G163" s="33">
        <f t="shared" si="3"/>
        <v>2923.8749999999995</v>
      </c>
    </row>
    <row r="164" spans="1:9">
      <c r="A164" s="211" t="s">
        <v>510</v>
      </c>
      <c r="B164" s="216" t="str">
        <f>_xlfn.CONCAT(B136,A164)</f>
        <v>3B73F99E-aa</v>
      </c>
      <c r="C164" s="24" t="s">
        <v>24</v>
      </c>
      <c r="D164" s="185"/>
      <c r="E164" s="25">
        <f>_xlfn.XLOOKUP(C164,'H-MO'!B$7:B$30,'H-MO'!D$7:D$30,,0,1)</f>
        <v>29238.749999999996</v>
      </c>
      <c r="F164" s="28">
        <v>0.1</v>
      </c>
      <c r="G164" s="33">
        <f t="shared" si="3"/>
        <v>2923.875</v>
      </c>
    </row>
    <row r="165" spans="1:9">
      <c r="A165" s="211" t="s">
        <v>511</v>
      </c>
      <c r="B165" s="216" t="str">
        <f>_xlfn.CONCAT(B136,A165)</f>
        <v>3B73F99E-ab</v>
      </c>
      <c r="C165" s="24" t="s">
        <v>25</v>
      </c>
      <c r="D165" s="185"/>
      <c r="E165" s="25">
        <f>_xlfn.XLOOKUP(C165,'H-MO'!B$7:B$30,'H-MO'!D$7:D$30,,0,1)</f>
        <v>2761.4374999999995</v>
      </c>
      <c r="F165" s="28">
        <v>0.1</v>
      </c>
      <c r="G165" s="33">
        <f t="shared" si="3"/>
        <v>276.14374999999995</v>
      </c>
    </row>
    <row r="166" spans="1:9">
      <c r="A166" s="211" t="s">
        <v>512</v>
      </c>
      <c r="B166" s="216" t="str">
        <f>_xlfn.CONCAT(B136,A166)</f>
        <v>3B73F99E-ac</v>
      </c>
      <c r="C166" s="24"/>
      <c r="D166" s="185"/>
      <c r="E166" s="29"/>
      <c r="F166" s="28"/>
      <c r="G166" s="33">
        <f t="shared" si="3"/>
        <v>0</v>
      </c>
    </row>
    <row r="167" spans="1:9" ht="14.25" thickBot="1">
      <c r="A167" s="211" t="s">
        <v>513</v>
      </c>
      <c r="B167" s="216" t="str">
        <f>_xlfn.CONCAT(B136,A167)</f>
        <v>3B73F99E-ad</v>
      </c>
      <c r="C167" s="24"/>
      <c r="D167" s="185"/>
      <c r="E167" s="29"/>
      <c r="F167" s="28"/>
      <c r="G167" s="33">
        <f t="shared" si="3"/>
        <v>0</v>
      </c>
    </row>
    <row r="168" spans="1:9" ht="14.25" thickBot="1">
      <c r="A168" s="211" t="s">
        <v>514</v>
      </c>
      <c r="B168" s="216" t="str">
        <f>_xlfn.CONCAT(B136,A168)</f>
        <v>3B73F99E-ae</v>
      </c>
      <c r="C168" s="17"/>
      <c r="D168" s="192"/>
      <c r="E168" s="18"/>
      <c r="F168" s="22" t="s">
        <v>26</v>
      </c>
      <c r="G168" s="23">
        <f>SUM(G162:G167)</f>
        <v>23179.831249999996</v>
      </c>
    </row>
    <row r="169" spans="1:9" ht="15.75" thickBot="1">
      <c r="A169" s="211" t="s">
        <v>515</v>
      </c>
      <c r="B169" s="216" t="str">
        <f>_xlfn.CONCAT(B136,A169)</f>
        <v>3B73F99E-af</v>
      </c>
      <c r="C169" s="10" t="s">
        <v>27</v>
      </c>
      <c r="D169" s="190"/>
      <c r="E169" s="11"/>
      <c r="F169" s="12"/>
      <c r="G169" s="13"/>
    </row>
    <row r="170" spans="1:9" ht="14.25" thickBot="1">
      <c r="A170" s="211" t="s">
        <v>516</v>
      </c>
      <c r="B170" s="216" t="str">
        <f>_xlfn.CONCAT(B136,A170)</f>
        <v>3B73F99E-ag</v>
      </c>
      <c r="C170" s="14" t="s">
        <v>1</v>
      </c>
      <c r="D170" s="15" t="s">
        <v>28</v>
      </c>
      <c r="E170" s="15" t="s">
        <v>20</v>
      </c>
      <c r="F170" s="16" t="s">
        <v>21</v>
      </c>
      <c r="G170" s="15" t="s">
        <v>5</v>
      </c>
      <c r="H170" s="215"/>
    </row>
    <row r="171" spans="1:9">
      <c r="A171" s="211" t="s">
        <v>517</v>
      </c>
      <c r="B171" s="216" t="str">
        <f>_xlfn.CONCAT(B136,A171)</f>
        <v>3B73F99E-ah</v>
      </c>
      <c r="C171" s="30" t="s">
        <v>29</v>
      </c>
      <c r="D171" s="186">
        <f>'H-MO'!$N$77</f>
        <v>725918.52892505517</v>
      </c>
      <c r="E171" s="31">
        <f>+D171/8</f>
        <v>90739.816115631897</v>
      </c>
      <c r="F171" s="32">
        <v>3.5</v>
      </c>
      <c r="G171" s="33">
        <f>+E171*F171</f>
        <v>317589.35640471161</v>
      </c>
      <c r="I171" s="229"/>
    </row>
    <row r="172" spans="1:9">
      <c r="A172" s="211" t="s">
        <v>518</v>
      </c>
      <c r="B172" s="216" t="str">
        <f>_xlfn.CONCAT(B136,A172)</f>
        <v>3B73F99E-ai</v>
      </c>
      <c r="C172" s="34" t="s">
        <v>30</v>
      </c>
      <c r="D172" s="187">
        <f>'H-MO'!$N$86</f>
        <v>685561.39085756091</v>
      </c>
      <c r="E172" s="29">
        <f>+D172/8</f>
        <v>85695.173857195114</v>
      </c>
      <c r="F172" s="28"/>
      <c r="G172" s="33">
        <f>+E172*F172</f>
        <v>0</v>
      </c>
    </row>
    <row r="173" spans="1:9" ht="14.25" thickBot="1">
      <c r="A173" s="211" t="s">
        <v>519</v>
      </c>
      <c r="B173" s="216" t="str">
        <f>_xlfn.CONCAT(B136,A173)</f>
        <v>3B73F99E-aj</v>
      </c>
      <c r="C173" s="34"/>
      <c r="D173" s="187"/>
      <c r="E173" s="29"/>
      <c r="F173" s="28"/>
      <c r="G173" s="33">
        <f>+E173*F173</f>
        <v>0</v>
      </c>
    </row>
    <row r="174" spans="1:9" ht="14.25" thickBot="1">
      <c r="A174" s="211" t="s">
        <v>520</v>
      </c>
      <c r="B174" s="216" t="str">
        <f>_xlfn.CONCAT(B136,A174)</f>
        <v>3B73F99E-ak</v>
      </c>
      <c r="C174" s="34"/>
      <c r="D174" s="185"/>
      <c r="E174" s="26"/>
      <c r="F174" s="36" t="s">
        <v>31</v>
      </c>
      <c r="G174" s="23">
        <f>SUM(G171:G173)</f>
        <v>317589.35640471161</v>
      </c>
    </row>
    <row r="175" spans="1:9" ht="14.25" thickBot="1">
      <c r="A175" s="211" t="s">
        <v>521</v>
      </c>
      <c r="B175" s="216" t="str">
        <f>_xlfn.CONCAT(B136,A175)</f>
        <v>3B73F99E-al</v>
      </c>
      <c r="C175" s="37"/>
      <c r="E175" s="38"/>
      <c r="F175" s="22"/>
      <c r="G175" s="39"/>
    </row>
    <row r="176" spans="1:9" ht="16.5" thickBot="1">
      <c r="A176" s="211" t="s">
        <v>522</v>
      </c>
      <c r="B176" s="216" t="str">
        <f>_xlfn.CONCAT(B136,A176)</f>
        <v>3B73F99E-am</v>
      </c>
      <c r="C176" s="40"/>
      <c r="D176" s="193"/>
      <c r="E176" s="41"/>
      <c r="F176" s="42"/>
      <c r="G176" s="43">
        <f>+G159+G168+G174</f>
        <v>362669.1876547116</v>
      </c>
    </row>
    <row r="177" spans="1:8" ht="21.75" thickBot="1">
      <c r="B177" s="212" t="s">
        <v>550</v>
      </c>
      <c r="C177" s="2"/>
      <c r="D177" s="183"/>
      <c r="F177" s="4"/>
      <c r="G177" s="5"/>
    </row>
    <row r="178" spans="1:8" s="45" customFormat="1" ht="34.5" customHeight="1">
      <c r="A178" s="213"/>
      <c r="B178" s="214">
        <v>5</v>
      </c>
      <c r="C178" s="242" t="str">
        <f>_xlfn.XLOOKUP(B178,Cantidades!$A$10:$A$314,Cantidades!$C$10:$C$314,,0,1)</f>
        <v>Retiro de acometida 4(3#500(F)+1#500(N)+1#1/0(T)) x 10m</v>
      </c>
      <c r="D178" s="243"/>
      <c r="E178" s="243"/>
      <c r="F178" s="243"/>
      <c r="G178" s="244"/>
      <c r="H178" s="211"/>
    </row>
    <row r="179" spans="1:8" ht="19.5" thickBot="1">
      <c r="A179" s="215"/>
      <c r="B179" s="216" t="s">
        <v>550</v>
      </c>
      <c r="C179" s="177"/>
      <c r="D179" s="189"/>
      <c r="E179" s="178"/>
      <c r="F179" s="179" t="s">
        <v>636</v>
      </c>
      <c r="G179" s="209" t="str">
        <f>B180</f>
        <v>3B73F99E+10-</v>
      </c>
    </row>
    <row r="180" spans="1:8" ht="15.75" thickBot="1">
      <c r="B180" s="212" t="str">
        <f>_xlfn.XLOOKUP(C178,Cantidades!$C$1:$C$314,Cantidades!$B$1:$B$314,"",0,1)</f>
        <v>3B73F99E+10-</v>
      </c>
      <c r="C180" s="10" t="s">
        <v>0</v>
      </c>
      <c r="D180" s="190"/>
      <c r="E180" s="11"/>
      <c r="F180" s="12"/>
      <c r="G180" s="13"/>
    </row>
    <row r="181" spans="1:8" ht="14.25" thickBot="1">
      <c r="A181" s="215"/>
      <c r="B181" s="216" t="s">
        <v>550</v>
      </c>
      <c r="C181" s="14" t="s">
        <v>1</v>
      </c>
      <c r="D181" s="15" t="s">
        <v>2</v>
      </c>
      <c r="E181" s="15" t="s">
        <v>3</v>
      </c>
      <c r="F181" s="16" t="s">
        <v>4</v>
      </c>
      <c r="G181" s="15" t="s">
        <v>5</v>
      </c>
    </row>
    <row r="182" spans="1:8">
      <c r="A182" s="211" t="s">
        <v>484</v>
      </c>
      <c r="B182" s="216" t="str">
        <f>_xlfn.CONCAT(B180,A182)</f>
        <v>3B73F99E+10-A</v>
      </c>
      <c r="C182" s="17" t="str">
        <f>_xlfn.XLOOKUP(H182,'Materiales unitario'!$A$1:$A$2500,'Materiales unitario'!B$1:B$2500,,0,1)</f>
        <v>Insumos menores</v>
      </c>
      <c r="D182" s="191" t="str">
        <f>_xlfn.XLOOKUP(H182,'Materiales unitario'!A$1:A$2500,'Materiales unitario'!C$1:C$2500,,0,1)</f>
        <v>un</v>
      </c>
      <c r="E182" s="196">
        <f>_xlfn.XLOOKUP(H182,'Materiales unitario'!$A$1:$A$2500,'Materiales unitario'!D$1:D$2500,,0,1)</f>
        <v>7300</v>
      </c>
      <c r="F182" s="19">
        <v>30</v>
      </c>
      <c r="G182" s="20">
        <f>+E182*F182</f>
        <v>219000</v>
      </c>
      <c r="H182" s="211" t="s">
        <v>532</v>
      </c>
    </row>
    <row r="183" spans="1:8">
      <c r="A183" s="211" t="s">
        <v>485</v>
      </c>
      <c r="B183" s="216" t="str">
        <f>_xlfn.CONCAT(B180,A183)</f>
        <v>3B73F99E+10-B</v>
      </c>
      <c r="C183" s="17"/>
      <c r="D183" s="184"/>
      <c r="E183" s="197"/>
      <c r="F183" s="19"/>
      <c r="G183" s="20"/>
    </row>
    <row r="184" spans="1:8">
      <c r="A184" s="211" t="s">
        <v>486</v>
      </c>
      <c r="B184" s="216" t="str">
        <f>_xlfn.CONCAT(B180,A184)</f>
        <v>3B73F99E+10-C</v>
      </c>
      <c r="C184" s="17"/>
      <c r="D184" s="184"/>
      <c r="E184" s="197"/>
      <c r="F184" s="19"/>
      <c r="G184" s="20"/>
    </row>
    <row r="185" spans="1:8">
      <c r="A185" s="211" t="s">
        <v>487</v>
      </c>
      <c r="B185" s="216" t="str">
        <f>_xlfn.CONCAT(B180,A185)</f>
        <v>3B73F99E+10-D</v>
      </c>
      <c r="C185" s="17"/>
      <c r="D185" s="184"/>
      <c r="E185" s="197"/>
      <c r="F185" s="19"/>
      <c r="G185" s="20"/>
    </row>
    <row r="186" spans="1:8">
      <c r="A186" s="211" t="s">
        <v>488</v>
      </c>
      <c r="B186" s="216" t="str">
        <f>_xlfn.CONCAT(B180,A186)</f>
        <v>3B73F99E+10-E</v>
      </c>
      <c r="C186" s="17"/>
      <c r="D186" s="184"/>
      <c r="E186" s="197"/>
      <c r="F186" s="19"/>
      <c r="G186" s="20"/>
    </row>
    <row r="187" spans="1:8">
      <c r="A187" s="211" t="s">
        <v>489</v>
      </c>
      <c r="B187" s="216" t="str">
        <f>_xlfn.CONCAT(B180,A187)</f>
        <v>3B73F99E+10-F</v>
      </c>
      <c r="C187" s="17"/>
      <c r="D187" s="184"/>
      <c r="E187" s="197"/>
      <c r="F187" s="19"/>
      <c r="G187" s="20"/>
    </row>
    <row r="188" spans="1:8">
      <c r="A188" s="211" t="s">
        <v>490</v>
      </c>
      <c r="B188" s="216" t="str">
        <f>_xlfn.CONCAT(B180,A188)</f>
        <v>3B73F99E+10-G</v>
      </c>
      <c r="C188" s="17"/>
      <c r="D188" s="184"/>
      <c r="E188" s="197"/>
      <c r="F188" s="19"/>
      <c r="G188" s="20"/>
    </row>
    <row r="189" spans="1:8">
      <c r="A189" s="211" t="s">
        <v>491</v>
      </c>
      <c r="B189" s="216" t="str">
        <f>_xlfn.CONCAT(B180,A189)</f>
        <v>3B73F99E+10-H</v>
      </c>
      <c r="C189" s="17"/>
      <c r="D189" s="184"/>
      <c r="E189" s="197"/>
      <c r="F189" s="19"/>
      <c r="G189" s="20"/>
    </row>
    <row r="190" spans="1:8">
      <c r="A190" s="211" t="s">
        <v>492</v>
      </c>
      <c r="B190" s="216" t="str">
        <f>_xlfn.CONCAT(B180,A190)</f>
        <v>3B73F99E+10-I</v>
      </c>
      <c r="C190" s="17"/>
      <c r="D190" s="184"/>
      <c r="E190" s="197"/>
      <c r="F190" s="19"/>
      <c r="G190" s="20"/>
    </row>
    <row r="191" spans="1:8">
      <c r="A191" s="211" t="s">
        <v>493</v>
      </c>
      <c r="B191" s="216" t="str">
        <f>_xlfn.CONCAT(B180,A191)</f>
        <v>3B73F99E+10-J</v>
      </c>
      <c r="C191" s="17"/>
      <c r="D191" s="184"/>
      <c r="E191" s="197"/>
      <c r="F191" s="19"/>
      <c r="G191" s="20"/>
    </row>
    <row r="192" spans="1:8">
      <c r="A192" s="211" t="s">
        <v>494</v>
      </c>
      <c r="B192" s="216" t="str">
        <f>_xlfn.CONCAT(B180,A192)</f>
        <v>3B73F99E+10-K</v>
      </c>
      <c r="C192" s="17"/>
      <c r="D192" s="184"/>
      <c r="E192" s="197"/>
      <c r="F192" s="19"/>
      <c r="G192" s="20"/>
    </row>
    <row r="193" spans="1:8">
      <c r="A193" s="211" t="s">
        <v>495</v>
      </c>
      <c r="B193" s="216" t="str">
        <f>_xlfn.CONCAT(B180,A193)</f>
        <v>3B73F99E+10-L</v>
      </c>
      <c r="C193" s="17"/>
      <c r="D193" s="184"/>
      <c r="E193" s="197"/>
      <c r="F193" s="19"/>
      <c r="G193" s="20"/>
    </row>
    <row r="194" spans="1:8">
      <c r="A194" s="211" t="s">
        <v>496</v>
      </c>
      <c r="B194" s="216" t="str">
        <f>_xlfn.CONCAT(B180,A194)</f>
        <v>3B73F99E+10-M</v>
      </c>
      <c r="C194" s="17"/>
      <c r="D194" s="184"/>
      <c r="E194" s="197"/>
      <c r="F194" s="19"/>
      <c r="G194" s="20"/>
    </row>
    <row r="195" spans="1:8">
      <c r="A195" s="211" t="s">
        <v>497</v>
      </c>
      <c r="B195" s="216" t="str">
        <f>_xlfn.CONCAT(B180,A195)</f>
        <v>3B73F99E+10-N</v>
      </c>
      <c r="C195" s="17"/>
      <c r="D195" s="184"/>
      <c r="E195" s="197"/>
      <c r="F195" s="19"/>
      <c r="G195" s="20"/>
    </row>
    <row r="196" spans="1:8">
      <c r="A196" s="211" t="s">
        <v>498</v>
      </c>
      <c r="B196" s="216" t="str">
        <f>_xlfn.CONCAT(B180,A196)</f>
        <v>3B73F99E+10-O</v>
      </c>
      <c r="C196" s="17"/>
      <c r="D196" s="184"/>
      <c r="E196" s="197"/>
      <c r="F196" s="19"/>
      <c r="G196" s="20"/>
    </row>
    <row r="197" spans="1:8">
      <c r="A197" s="211" t="s">
        <v>499</v>
      </c>
      <c r="B197" s="216" t="str">
        <f>_xlfn.CONCAT(B180,A197)</f>
        <v>3B73F99E+10-P</v>
      </c>
      <c r="C197" s="17"/>
      <c r="D197" s="184"/>
      <c r="E197" s="197"/>
      <c r="F197" s="19"/>
      <c r="G197" s="20"/>
    </row>
    <row r="198" spans="1:8">
      <c r="A198" s="211" t="s">
        <v>500</v>
      </c>
      <c r="B198" s="216" t="str">
        <f>_xlfn.CONCAT(B180,A198)</f>
        <v>3B73F99E+10-Q</v>
      </c>
      <c r="C198" s="17"/>
      <c r="D198" s="184"/>
      <c r="E198" s="197"/>
      <c r="F198" s="19"/>
      <c r="G198" s="20"/>
    </row>
    <row r="199" spans="1:8">
      <c r="A199" s="211" t="s">
        <v>501</v>
      </c>
      <c r="B199" s="216" t="str">
        <f>_xlfn.CONCAT(B180,A199)</f>
        <v>3B73F99E+10-R</v>
      </c>
      <c r="C199" s="17"/>
      <c r="D199" s="184"/>
      <c r="E199" s="197"/>
      <c r="F199" s="19"/>
      <c r="G199" s="20"/>
    </row>
    <row r="200" spans="1:8">
      <c r="A200" s="211" t="s">
        <v>502</v>
      </c>
      <c r="B200" s="216" t="str">
        <f>_xlfn.CONCAT(B180,A200)</f>
        <v>3B73F99E+10-S</v>
      </c>
      <c r="C200" s="17"/>
      <c r="D200" s="184"/>
      <c r="E200" s="197"/>
      <c r="F200" s="19"/>
      <c r="G200" s="20"/>
    </row>
    <row r="201" spans="1:8">
      <c r="A201" s="211" t="s">
        <v>503</v>
      </c>
      <c r="B201" s="216" t="str">
        <f>_xlfn.CONCAT(B180,A201)</f>
        <v>3B73F99E+10-T</v>
      </c>
      <c r="C201" s="17"/>
      <c r="D201" s="184"/>
      <c r="E201" s="197"/>
      <c r="F201" s="19"/>
      <c r="G201" s="20"/>
    </row>
    <row r="202" spans="1:8" ht="14.25" thickBot="1">
      <c r="A202" s="211" t="s">
        <v>504</v>
      </c>
      <c r="B202" s="216" t="str">
        <f>_xlfn.CONCAT(B180,A202)</f>
        <v>3B73F99E+10-U</v>
      </c>
      <c r="C202" s="17"/>
      <c r="D202" s="184"/>
      <c r="E202" s="197"/>
      <c r="F202" s="19"/>
      <c r="G202" s="20"/>
    </row>
    <row r="203" spans="1:8" ht="14.25" thickBot="1">
      <c r="A203" s="211" t="s">
        <v>505</v>
      </c>
      <c r="B203" s="216" t="str">
        <f>_xlfn.CONCAT(B180,A203)</f>
        <v>3B73F99E+10-V</v>
      </c>
      <c r="C203" s="17" t="s">
        <v>17</v>
      </c>
      <c r="D203" s="192" t="s">
        <v>17</v>
      </c>
      <c r="E203" s="18"/>
      <c r="F203" s="22" t="s">
        <v>18</v>
      </c>
      <c r="G203" s="23">
        <f>SUM(G182:G202)</f>
        <v>219000</v>
      </c>
    </row>
    <row r="204" spans="1:8" ht="15.75" thickBot="1">
      <c r="A204" s="211" t="s">
        <v>506</v>
      </c>
      <c r="B204" s="216" t="str">
        <f>_xlfn.CONCAT(B180,A204)</f>
        <v>3B73F99E+10-W</v>
      </c>
      <c r="C204" s="10" t="s">
        <v>19</v>
      </c>
      <c r="D204" s="190"/>
      <c r="E204" s="11"/>
      <c r="F204" s="12"/>
      <c r="G204" s="13"/>
    </row>
    <row r="205" spans="1:8" ht="14.25" thickBot="1">
      <c r="A205" s="211" t="s">
        <v>507</v>
      </c>
      <c r="B205" s="216" t="str">
        <f>_xlfn.CONCAT(B180,A205)</f>
        <v>3B73F99E+10-X</v>
      </c>
      <c r="C205" s="14" t="s">
        <v>1</v>
      </c>
      <c r="D205" s="15"/>
      <c r="E205" s="15" t="s">
        <v>20</v>
      </c>
      <c r="F205" s="16" t="s">
        <v>21</v>
      </c>
      <c r="G205" s="15" t="s">
        <v>5</v>
      </c>
      <c r="H205" s="215"/>
    </row>
    <row r="206" spans="1:8">
      <c r="A206" s="211" t="s">
        <v>508</v>
      </c>
      <c r="B206" s="216" t="str">
        <f>_xlfn.CONCAT(B180,A206)</f>
        <v>3B73F99E+10-Y</v>
      </c>
      <c r="C206" s="24" t="s">
        <v>22</v>
      </c>
      <c r="D206" s="184"/>
      <c r="E206" s="25">
        <f>_xlfn.XLOOKUP(C206,'H-MO'!B$7:B$30,'H-MO'!D$7:D$30,,0,1)</f>
        <v>2436.5624999999995</v>
      </c>
      <c r="F206" s="19">
        <v>70</v>
      </c>
      <c r="G206" s="33">
        <f t="shared" ref="G206:G211" si="4">+E206*F206</f>
        <v>170559.37499999997</v>
      </c>
    </row>
    <row r="207" spans="1:8">
      <c r="A207" s="211" t="s">
        <v>509</v>
      </c>
      <c r="B207" s="216" t="str">
        <f>_xlfn.CONCAT(B180,A207)</f>
        <v>3B73F99E+10-Z</v>
      </c>
      <c r="C207" s="24" t="s">
        <v>23</v>
      </c>
      <c r="D207" s="184"/>
      <c r="E207" s="25">
        <f>_xlfn.XLOOKUP(C207,'H-MO'!B$7:B$30,'H-MO'!D$7:D$30,,0,1)</f>
        <v>1461.9374999999998</v>
      </c>
      <c r="F207" s="19">
        <v>20</v>
      </c>
      <c r="G207" s="33">
        <f t="shared" si="4"/>
        <v>29238.749999999996</v>
      </c>
    </row>
    <row r="208" spans="1:8">
      <c r="A208" s="211" t="s">
        <v>510</v>
      </c>
      <c r="B208" s="216" t="str">
        <f>_xlfn.CONCAT(B180,A208)</f>
        <v>3B73F99E+10-aa</v>
      </c>
      <c r="C208" s="24" t="s">
        <v>24</v>
      </c>
      <c r="D208" s="185"/>
      <c r="E208" s="25">
        <f>_xlfn.XLOOKUP(C208,'H-MO'!B$7:B$30,'H-MO'!D$7:D$30,,0,1)</f>
        <v>29238.749999999996</v>
      </c>
      <c r="F208" s="28">
        <v>1</v>
      </c>
      <c r="G208" s="33">
        <f t="shared" si="4"/>
        <v>29238.749999999996</v>
      </c>
    </row>
    <row r="209" spans="1:8">
      <c r="A209" s="211" t="s">
        <v>511</v>
      </c>
      <c r="B209" s="216" t="str">
        <f>_xlfn.CONCAT(B180,A209)</f>
        <v>3B73F99E+10-ab</v>
      </c>
      <c r="C209" s="24" t="s">
        <v>25</v>
      </c>
      <c r="D209" s="185"/>
      <c r="E209" s="25">
        <f>_xlfn.XLOOKUP(C209,'H-MO'!B$7:B$30,'H-MO'!D$7:D$30,,0,1)</f>
        <v>2761.4374999999995</v>
      </c>
      <c r="F209" s="28">
        <v>1</v>
      </c>
      <c r="G209" s="33">
        <f t="shared" si="4"/>
        <v>2761.4374999999995</v>
      </c>
    </row>
    <row r="210" spans="1:8">
      <c r="A210" s="211" t="s">
        <v>512</v>
      </c>
      <c r="B210" s="216" t="str">
        <f>_xlfn.CONCAT(B180,A210)</f>
        <v>3B73F99E+10-ac</v>
      </c>
      <c r="C210" s="24"/>
      <c r="D210" s="185"/>
      <c r="E210" s="29"/>
      <c r="F210" s="28"/>
      <c r="G210" s="33">
        <f t="shared" si="4"/>
        <v>0</v>
      </c>
    </row>
    <row r="211" spans="1:8" ht="14.25" thickBot="1">
      <c r="A211" s="211" t="s">
        <v>513</v>
      </c>
      <c r="B211" s="216" t="str">
        <f>_xlfn.CONCAT(B180,A211)</f>
        <v>3B73F99E+10-ad</v>
      </c>
      <c r="C211" s="24"/>
      <c r="D211" s="185"/>
      <c r="E211" s="29"/>
      <c r="F211" s="28"/>
      <c r="G211" s="33">
        <f t="shared" si="4"/>
        <v>0</v>
      </c>
    </row>
    <row r="212" spans="1:8" ht="14.25" thickBot="1">
      <c r="A212" s="211" t="s">
        <v>514</v>
      </c>
      <c r="B212" s="216" t="str">
        <f>_xlfn.CONCAT(B180,A212)</f>
        <v>3B73F99E+10-ae</v>
      </c>
      <c r="C212" s="17"/>
      <c r="D212" s="192"/>
      <c r="E212" s="18"/>
      <c r="F212" s="22" t="s">
        <v>26</v>
      </c>
      <c r="G212" s="23">
        <f>SUM(G206:G211)</f>
        <v>231798.31249999997</v>
      </c>
    </row>
    <row r="213" spans="1:8" ht="15.75" thickBot="1">
      <c r="A213" s="211" t="s">
        <v>515</v>
      </c>
      <c r="B213" s="216" t="str">
        <f>_xlfn.CONCAT(B180,A213)</f>
        <v>3B73F99E+10-af</v>
      </c>
      <c r="C213" s="10" t="s">
        <v>27</v>
      </c>
      <c r="D213" s="190"/>
      <c r="E213" s="11"/>
      <c r="F213" s="12"/>
      <c r="G213" s="13"/>
    </row>
    <row r="214" spans="1:8" ht="14.25" thickBot="1">
      <c r="A214" s="211" t="s">
        <v>516</v>
      </c>
      <c r="B214" s="216" t="str">
        <f>_xlfn.CONCAT(B180,A214)</f>
        <v>3B73F99E+10-ag</v>
      </c>
      <c r="C214" s="14" t="s">
        <v>1</v>
      </c>
      <c r="D214" s="15" t="s">
        <v>28</v>
      </c>
      <c r="E214" s="15" t="s">
        <v>20</v>
      </c>
      <c r="F214" s="16" t="s">
        <v>21</v>
      </c>
      <c r="G214" s="15" t="s">
        <v>5</v>
      </c>
      <c r="H214" s="215"/>
    </row>
    <row r="215" spans="1:8">
      <c r="A215" s="211" t="s">
        <v>517</v>
      </c>
      <c r="B215" s="216" t="str">
        <f>_xlfn.CONCAT(B180,A215)</f>
        <v>3B73F99E+10-ah</v>
      </c>
      <c r="C215" s="30" t="s">
        <v>29</v>
      </c>
      <c r="D215" s="186">
        <f>'H-MO'!$N$77</f>
        <v>725918.52892505517</v>
      </c>
      <c r="E215" s="31">
        <f>+D215/8</f>
        <v>90739.816115631897</v>
      </c>
      <c r="F215" s="32">
        <v>35</v>
      </c>
      <c r="G215" s="33">
        <f>+E215*F215</f>
        <v>3175893.5640471163</v>
      </c>
    </row>
    <row r="216" spans="1:8">
      <c r="A216" s="211" t="s">
        <v>518</v>
      </c>
      <c r="B216" s="216" t="str">
        <f>_xlfn.CONCAT(B180,A216)</f>
        <v>3B73F99E+10-ai</v>
      </c>
      <c r="C216" s="34" t="s">
        <v>30</v>
      </c>
      <c r="D216" s="187">
        <f>'H-MO'!$N$86</f>
        <v>685561.39085756091</v>
      </c>
      <c r="E216" s="29">
        <f>+D216/8</f>
        <v>85695.173857195114</v>
      </c>
      <c r="F216" s="28"/>
      <c r="G216" s="33">
        <f>+E216*F216</f>
        <v>0</v>
      </c>
    </row>
    <row r="217" spans="1:8" ht="14.25" thickBot="1">
      <c r="A217" s="211" t="s">
        <v>519</v>
      </c>
      <c r="B217" s="216" t="str">
        <f>_xlfn.CONCAT(B180,A217)</f>
        <v>3B73F99E+10-aj</v>
      </c>
      <c r="C217" s="34"/>
      <c r="D217" s="187"/>
      <c r="E217" s="29"/>
      <c r="F217" s="28"/>
      <c r="G217" s="33">
        <f>+E217*F217</f>
        <v>0</v>
      </c>
    </row>
    <row r="218" spans="1:8" ht="14.25" thickBot="1">
      <c r="A218" s="211" t="s">
        <v>520</v>
      </c>
      <c r="B218" s="216" t="str">
        <f>_xlfn.CONCAT(B180,A218)</f>
        <v>3B73F99E+10-ak</v>
      </c>
      <c r="C218" s="34"/>
      <c r="D218" s="185"/>
      <c r="E218" s="26"/>
      <c r="F218" s="36" t="s">
        <v>31</v>
      </c>
      <c r="G218" s="23">
        <f>SUM(G215:G217)</f>
        <v>3175893.5640471163</v>
      </c>
    </row>
    <row r="219" spans="1:8" ht="14.25" thickBot="1">
      <c r="A219" s="211" t="s">
        <v>521</v>
      </c>
      <c r="B219" s="216" t="str">
        <f>_xlfn.CONCAT(B180,A219)</f>
        <v>3B73F99E+10-al</v>
      </c>
      <c r="C219" s="37"/>
      <c r="E219" s="38"/>
      <c r="F219" s="22"/>
      <c r="G219" s="39"/>
    </row>
    <row r="220" spans="1:8" ht="16.5" thickBot="1">
      <c r="A220" s="211" t="s">
        <v>522</v>
      </c>
      <c r="B220" s="216" t="str">
        <f>_xlfn.CONCAT(B180,A220)</f>
        <v>3B73F99E+10-am</v>
      </c>
      <c r="C220" s="40"/>
      <c r="D220" s="193"/>
      <c r="E220" s="41"/>
      <c r="F220" s="42"/>
      <c r="G220" s="43">
        <f>+G203+G212+G218</f>
        <v>3626691.8765471163</v>
      </c>
    </row>
    <row r="221" spans="1:8" ht="21.75" thickBot="1">
      <c r="B221" s="212" t="s">
        <v>550</v>
      </c>
      <c r="C221" s="2"/>
      <c r="D221" s="183"/>
      <c r="F221" s="4"/>
      <c r="G221" s="5"/>
    </row>
    <row r="222" spans="1:8" s="45" customFormat="1" ht="34.5" customHeight="1">
      <c r="A222" s="213"/>
      <c r="B222" s="214">
        <v>6</v>
      </c>
      <c r="C222" s="242" t="str">
        <f>_xlfn.XLOOKUP(B222,Cantidades!$A$10:$A$314,Cantidades!$C$10:$C$314,,0,1)</f>
        <v>Retiro de acometida 3#10(F)+1#10(N)+1#10(T)</v>
      </c>
      <c r="D222" s="243"/>
      <c r="E222" s="243"/>
      <c r="F222" s="243"/>
      <c r="G222" s="244"/>
      <c r="H222" s="213"/>
    </row>
    <row r="223" spans="1:8" s="47" customFormat="1" ht="24.95" customHeight="1" thickBot="1">
      <c r="A223" s="215"/>
      <c r="B223" s="216" t="s">
        <v>550</v>
      </c>
      <c r="C223" s="177"/>
      <c r="D223" s="189"/>
      <c r="E223" s="178"/>
      <c r="F223" s="179" t="s">
        <v>636</v>
      </c>
      <c r="G223" s="209" t="str">
        <f>B224</f>
        <v>1AADBAF6-</v>
      </c>
      <c r="H223" s="215"/>
    </row>
    <row r="224" spans="1:8" ht="28.5" customHeight="1" thickBot="1">
      <c r="B224" s="212" t="str">
        <f>_xlfn.XLOOKUP(C222,Cantidades!$C$1:$C$314,Cantidades!$B$1:$B$314,"",0,1)</f>
        <v>1AADBAF6-</v>
      </c>
      <c r="C224" s="10" t="s">
        <v>0</v>
      </c>
      <c r="D224" s="190"/>
      <c r="E224" s="11"/>
      <c r="F224" s="12"/>
      <c r="G224" s="13"/>
    </row>
    <row r="225" spans="1:8" s="47" customFormat="1" ht="23.25" customHeight="1" thickBot="1">
      <c r="A225" s="215"/>
      <c r="B225" s="216" t="s">
        <v>550</v>
      </c>
      <c r="C225" s="14" t="s">
        <v>1</v>
      </c>
      <c r="D225" s="15" t="s">
        <v>2</v>
      </c>
      <c r="E225" s="15" t="s">
        <v>3</v>
      </c>
      <c r="F225" s="16" t="s">
        <v>4</v>
      </c>
      <c r="G225" s="15" t="s">
        <v>5</v>
      </c>
      <c r="H225" s="215"/>
    </row>
    <row r="226" spans="1:8" ht="15">
      <c r="A226" s="211" t="s">
        <v>484</v>
      </c>
      <c r="B226" s="216" t="str">
        <f>_xlfn.CONCAT(B224,A226)</f>
        <v>1AADBAF6-A</v>
      </c>
      <c r="C226" s="17" t="str">
        <f>_xlfn.XLOOKUP(H226,'Materiales unitario'!$A$1:$A$2500,'Materiales unitario'!B$1:B$2500,,0,1)</f>
        <v>Insumos menores</v>
      </c>
      <c r="D226" s="191" t="str">
        <f>_xlfn.XLOOKUP(H226,'Materiales unitario'!A$1:A$2500,'Materiales unitario'!C$1:C$2500,,0,1)</f>
        <v>un</v>
      </c>
      <c r="E226" s="196">
        <f>_xlfn.XLOOKUP(H226,'Materiales unitario'!$A$1:$A$2500,'Materiales unitario'!D$1:D$2500,,0,1)</f>
        <v>7300</v>
      </c>
      <c r="F226" s="19">
        <v>0.12</v>
      </c>
      <c r="G226" s="20">
        <f>+E226*F226</f>
        <v>876</v>
      </c>
      <c r="H226" s="217" t="s">
        <v>532</v>
      </c>
    </row>
    <row r="227" spans="1:8">
      <c r="A227" s="211" t="s">
        <v>485</v>
      </c>
      <c r="B227" s="216" t="str">
        <f>_xlfn.CONCAT(B224,A227)</f>
        <v>1AADBAF6-B</v>
      </c>
      <c r="C227" s="17"/>
      <c r="D227" s="184"/>
      <c r="E227" s="197"/>
      <c r="F227" s="19"/>
      <c r="G227" s="20"/>
    </row>
    <row r="228" spans="1:8">
      <c r="A228" s="211" t="s">
        <v>486</v>
      </c>
      <c r="B228" s="216" t="str">
        <f>_xlfn.CONCAT(B224,A228)</f>
        <v>1AADBAF6-C</v>
      </c>
      <c r="C228" s="17"/>
      <c r="D228" s="184"/>
      <c r="E228" s="197"/>
      <c r="F228" s="19"/>
      <c r="G228" s="20"/>
    </row>
    <row r="229" spans="1:8">
      <c r="A229" s="211" t="s">
        <v>487</v>
      </c>
      <c r="B229" s="216" t="str">
        <f>_xlfn.CONCAT(B224,A229)</f>
        <v>1AADBAF6-D</v>
      </c>
      <c r="C229" s="17"/>
      <c r="D229" s="184"/>
      <c r="E229" s="197"/>
      <c r="F229" s="19"/>
      <c r="G229" s="20"/>
    </row>
    <row r="230" spans="1:8">
      <c r="A230" s="211" t="s">
        <v>488</v>
      </c>
      <c r="B230" s="216" t="str">
        <f>_xlfn.CONCAT(B224,A230)</f>
        <v>1AADBAF6-E</v>
      </c>
      <c r="C230" s="17"/>
      <c r="D230" s="184"/>
      <c r="E230" s="197"/>
      <c r="F230" s="19"/>
      <c r="G230" s="20"/>
    </row>
    <row r="231" spans="1:8">
      <c r="A231" s="211" t="s">
        <v>489</v>
      </c>
      <c r="B231" s="216" t="str">
        <f>_xlfn.CONCAT(B224,A231)</f>
        <v>1AADBAF6-F</v>
      </c>
      <c r="C231" s="17"/>
      <c r="D231" s="184"/>
      <c r="E231" s="197"/>
      <c r="F231" s="19"/>
      <c r="G231" s="20"/>
    </row>
    <row r="232" spans="1:8">
      <c r="A232" s="211" t="s">
        <v>490</v>
      </c>
      <c r="B232" s="216" t="str">
        <f>_xlfn.CONCAT(B224,A232)</f>
        <v>1AADBAF6-G</v>
      </c>
      <c r="C232" s="17"/>
      <c r="D232" s="184"/>
      <c r="E232" s="197"/>
      <c r="F232" s="19"/>
      <c r="G232" s="20"/>
    </row>
    <row r="233" spans="1:8">
      <c r="A233" s="211" t="s">
        <v>491</v>
      </c>
      <c r="B233" s="216" t="str">
        <f>_xlfn.CONCAT(B224,A233)</f>
        <v>1AADBAF6-H</v>
      </c>
      <c r="C233" s="17"/>
      <c r="D233" s="184"/>
      <c r="E233" s="197"/>
      <c r="F233" s="19"/>
      <c r="G233" s="20"/>
    </row>
    <row r="234" spans="1:8">
      <c r="A234" s="211" t="s">
        <v>492</v>
      </c>
      <c r="B234" s="216" t="str">
        <f>_xlfn.CONCAT(B224,A234)</f>
        <v>1AADBAF6-I</v>
      </c>
      <c r="C234" s="17"/>
      <c r="D234" s="184"/>
      <c r="E234" s="197"/>
      <c r="F234" s="19"/>
      <c r="G234" s="20"/>
    </row>
    <row r="235" spans="1:8">
      <c r="A235" s="211" t="s">
        <v>493</v>
      </c>
      <c r="B235" s="216" t="str">
        <f>_xlfn.CONCAT(B224,A235)</f>
        <v>1AADBAF6-J</v>
      </c>
      <c r="C235" s="17"/>
      <c r="D235" s="184"/>
      <c r="E235" s="197"/>
      <c r="F235" s="19"/>
      <c r="G235" s="20"/>
    </row>
    <row r="236" spans="1:8">
      <c r="A236" s="211" t="s">
        <v>494</v>
      </c>
      <c r="B236" s="216" t="str">
        <f>_xlfn.CONCAT(B224,A236)</f>
        <v>1AADBAF6-K</v>
      </c>
      <c r="C236" s="17"/>
      <c r="D236" s="184"/>
      <c r="E236" s="197"/>
      <c r="F236" s="19"/>
      <c r="G236" s="20"/>
    </row>
    <row r="237" spans="1:8">
      <c r="A237" s="211" t="s">
        <v>495</v>
      </c>
      <c r="B237" s="216" t="str">
        <f>_xlfn.CONCAT(B224,A237)</f>
        <v>1AADBAF6-L</v>
      </c>
      <c r="C237" s="17"/>
      <c r="D237" s="184"/>
      <c r="E237" s="197"/>
      <c r="F237" s="19"/>
      <c r="G237" s="20"/>
    </row>
    <row r="238" spans="1:8">
      <c r="A238" s="211" t="s">
        <v>496</v>
      </c>
      <c r="B238" s="216" t="str">
        <f>_xlfn.CONCAT(B224,A238)</f>
        <v>1AADBAF6-M</v>
      </c>
      <c r="C238" s="17"/>
      <c r="D238" s="184"/>
      <c r="E238" s="197"/>
      <c r="F238" s="19"/>
      <c r="G238" s="20"/>
    </row>
    <row r="239" spans="1:8">
      <c r="A239" s="211" t="s">
        <v>497</v>
      </c>
      <c r="B239" s="216" t="str">
        <f>_xlfn.CONCAT(B224,A239)</f>
        <v>1AADBAF6-N</v>
      </c>
      <c r="C239" s="17"/>
      <c r="D239" s="184"/>
      <c r="E239" s="197"/>
      <c r="F239" s="19"/>
      <c r="G239" s="20"/>
    </row>
    <row r="240" spans="1:8">
      <c r="A240" s="211" t="s">
        <v>498</v>
      </c>
      <c r="B240" s="216" t="str">
        <f>_xlfn.CONCAT(B224,A240)</f>
        <v>1AADBAF6-O</v>
      </c>
      <c r="C240" s="17"/>
      <c r="D240" s="184"/>
      <c r="E240" s="197"/>
      <c r="F240" s="19"/>
      <c r="G240" s="20"/>
    </row>
    <row r="241" spans="1:8">
      <c r="A241" s="211" t="s">
        <v>499</v>
      </c>
      <c r="B241" s="216" t="str">
        <f>_xlfn.CONCAT(B224,A241)</f>
        <v>1AADBAF6-P</v>
      </c>
      <c r="C241" s="17"/>
      <c r="D241" s="184"/>
      <c r="E241" s="197"/>
      <c r="F241" s="19"/>
      <c r="G241" s="20"/>
    </row>
    <row r="242" spans="1:8">
      <c r="A242" s="211" t="s">
        <v>500</v>
      </c>
      <c r="B242" s="216" t="str">
        <f>_xlfn.CONCAT(B224,A242)</f>
        <v>1AADBAF6-Q</v>
      </c>
      <c r="C242" s="17"/>
      <c r="D242" s="184"/>
      <c r="E242" s="197"/>
      <c r="F242" s="19"/>
      <c r="G242" s="20"/>
    </row>
    <row r="243" spans="1:8">
      <c r="A243" s="211" t="s">
        <v>501</v>
      </c>
      <c r="B243" s="216" t="str">
        <f>_xlfn.CONCAT(B224,A243)</f>
        <v>1AADBAF6-R</v>
      </c>
      <c r="C243" s="17"/>
      <c r="D243" s="184"/>
      <c r="E243" s="197"/>
      <c r="F243" s="19"/>
      <c r="G243" s="20"/>
    </row>
    <row r="244" spans="1:8">
      <c r="A244" s="211" t="s">
        <v>502</v>
      </c>
      <c r="B244" s="216" t="str">
        <f>_xlfn.CONCAT(B224,A244)</f>
        <v>1AADBAF6-S</v>
      </c>
      <c r="C244" s="17"/>
      <c r="D244" s="184"/>
      <c r="E244" s="197"/>
      <c r="F244" s="19"/>
      <c r="G244" s="20"/>
    </row>
    <row r="245" spans="1:8">
      <c r="A245" s="211" t="s">
        <v>503</v>
      </c>
      <c r="B245" s="216" t="str">
        <f>_xlfn.CONCAT(B224,A245)</f>
        <v>1AADBAF6-T</v>
      </c>
      <c r="C245" s="17"/>
      <c r="D245" s="184"/>
      <c r="E245" s="197"/>
      <c r="F245" s="19"/>
      <c r="G245" s="20"/>
    </row>
    <row r="246" spans="1:8" ht="14.25" thickBot="1">
      <c r="A246" s="211" t="s">
        <v>504</v>
      </c>
      <c r="B246" s="216" t="str">
        <f>_xlfn.CONCAT(B224,A246)</f>
        <v>1AADBAF6-U</v>
      </c>
      <c r="C246" s="17"/>
      <c r="D246" s="184"/>
      <c r="E246" s="197"/>
      <c r="F246" s="19"/>
      <c r="G246" s="20"/>
    </row>
    <row r="247" spans="1:8" ht="16.5" customHeight="1" thickBot="1">
      <c r="A247" s="211" t="s">
        <v>505</v>
      </c>
      <c r="B247" s="216" t="str">
        <f>_xlfn.CONCAT(B224,A247)</f>
        <v>1AADBAF6-V</v>
      </c>
      <c r="C247" s="17" t="s">
        <v>17</v>
      </c>
      <c r="D247" s="192" t="s">
        <v>17</v>
      </c>
      <c r="E247" s="18"/>
      <c r="F247" s="22" t="s">
        <v>18</v>
      </c>
      <c r="G247" s="23">
        <f>SUM(G226:G246)</f>
        <v>876</v>
      </c>
    </row>
    <row r="248" spans="1:8" ht="28.5" customHeight="1" thickBot="1">
      <c r="A248" s="211" t="s">
        <v>506</v>
      </c>
      <c r="B248" s="216" t="str">
        <f>_xlfn.CONCAT(B224,A248)</f>
        <v>1AADBAF6-W</v>
      </c>
      <c r="C248" s="10" t="s">
        <v>19</v>
      </c>
      <c r="D248" s="190"/>
      <c r="E248" s="11"/>
      <c r="F248" s="12"/>
      <c r="G248" s="13"/>
    </row>
    <row r="249" spans="1:8" s="47" customFormat="1" ht="23.25" customHeight="1" thickBot="1">
      <c r="A249" s="211" t="s">
        <v>507</v>
      </c>
      <c r="B249" s="216" t="str">
        <f>_xlfn.CONCAT(B224,A249)</f>
        <v>1AADBAF6-X</v>
      </c>
      <c r="C249" s="14" t="s">
        <v>1</v>
      </c>
      <c r="D249" s="15"/>
      <c r="E249" s="15" t="s">
        <v>20</v>
      </c>
      <c r="F249" s="16" t="s">
        <v>21</v>
      </c>
      <c r="G249" s="15" t="s">
        <v>5</v>
      </c>
      <c r="H249" s="215"/>
    </row>
    <row r="250" spans="1:8">
      <c r="A250" s="211" t="s">
        <v>508</v>
      </c>
      <c r="B250" s="216" t="str">
        <f>_xlfn.CONCAT(B224,A250)</f>
        <v>1AADBAF6-Y</v>
      </c>
      <c r="C250" s="24" t="s">
        <v>22</v>
      </c>
      <c r="D250" s="184"/>
      <c r="E250" s="25">
        <f>_xlfn.XLOOKUP(C250,'H-MO'!B$7:B$30,'H-MO'!D$7:D$30,,0,1)</f>
        <v>2436.5624999999995</v>
      </c>
      <c r="F250" s="19">
        <v>8.5000000000000006E-2</v>
      </c>
      <c r="G250" s="33">
        <f t="shared" ref="G250:G255" si="5">+E250*F250</f>
        <v>207.10781249999997</v>
      </c>
    </row>
    <row r="251" spans="1:8">
      <c r="A251" s="211" t="s">
        <v>509</v>
      </c>
      <c r="B251" s="216" t="str">
        <f>_xlfn.CONCAT(B224,A251)</f>
        <v>1AADBAF6-Z</v>
      </c>
      <c r="C251" s="24" t="s">
        <v>23</v>
      </c>
      <c r="D251" s="184"/>
      <c r="E251" s="25">
        <f>_xlfn.XLOOKUP(C251,'H-MO'!B$7:B$30,'H-MO'!D$7:D$30,,0,1)</f>
        <v>1461.9374999999998</v>
      </c>
      <c r="F251" s="19">
        <v>0.156</v>
      </c>
      <c r="G251" s="33">
        <f t="shared" si="5"/>
        <v>228.06224999999998</v>
      </c>
    </row>
    <row r="252" spans="1:8">
      <c r="A252" s="211" t="s">
        <v>510</v>
      </c>
      <c r="B252" s="216" t="str">
        <f>_xlfn.CONCAT(B224,A252)</f>
        <v>1AADBAF6-aa</v>
      </c>
      <c r="C252" s="24" t="s">
        <v>24</v>
      </c>
      <c r="D252" s="185"/>
      <c r="E252" s="25">
        <f>_xlfn.XLOOKUP(C252,'H-MO'!B$7:B$30,'H-MO'!D$7:D$30,,0,1)</f>
        <v>29238.749999999996</v>
      </c>
      <c r="F252" s="28">
        <v>4.3835362318840583E-3</v>
      </c>
      <c r="G252" s="33">
        <f t="shared" si="5"/>
        <v>128.16911999999999</v>
      </c>
    </row>
    <row r="253" spans="1:8">
      <c r="A253" s="211" t="s">
        <v>511</v>
      </c>
      <c r="B253" s="216" t="str">
        <f>_xlfn.CONCAT(B224,A253)</f>
        <v>1AADBAF6-ab</v>
      </c>
      <c r="C253" s="24" t="s">
        <v>25</v>
      </c>
      <c r="D253" s="185"/>
      <c r="E253" s="25">
        <f>_xlfn.XLOOKUP(C253,'H-MO'!B$7:B$30,'H-MO'!D$7:D$30,,0,1)</f>
        <v>2761.4374999999995</v>
      </c>
      <c r="F253" s="28">
        <v>9.2827826086956527E-2</v>
      </c>
      <c r="G253" s="33">
        <f t="shared" si="5"/>
        <v>256.33823999999998</v>
      </c>
    </row>
    <row r="254" spans="1:8">
      <c r="A254" s="211" t="s">
        <v>512</v>
      </c>
      <c r="B254" s="216" t="str">
        <f>_xlfn.CONCAT(B224,A254)</f>
        <v>1AADBAF6-ac</v>
      </c>
      <c r="C254" s="24"/>
      <c r="D254" s="185"/>
      <c r="E254" s="29"/>
      <c r="F254" s="28"/>
      <c r="G254" s="33">
        <f t="shared" si="5"/>
        <v>0</v>
      </c>
    </row>
    <row r="255" spans="1:8" ht="14.25" thickBot="1">
      <c r="A255" s="211" t="s">
        <v>513</v>
      </c>
      <c r="B255" s="216" t="str">
        <f>_xlfn.CONCAT(B224,A255)</f>
        <v>1AADBAF6-ad</v>
      </c>
      <c r="C255" s="24"/>
      <c r="D255" s="185"/>
      <c r="E255" s="29"/>
      <c r="F255" s="28"/>
      <c r="G255" s="33">
        <f t="shared" si="5"/>
        <v>0</v>
      </c>
    </row>
    <row r="256" spans="1:8" ht="16.5" customHeight="1" thickBot="1">
      <c r="A256" s="211" t="s">
        <v>514</v>
      </c>
      <c r="B256" s="216" t="str">
        <f>_xlfn.CONCAT(B224,A256)</f>
        <v>1AADBAF6-ae</v>
      </c>
      <c r="C256" s="17"/>
      <c r="D256" s="192"/>
      <c r="E256" s="18"/>
      <c r="F256" s="22" t="s">
        <v>26</v>
      </c>
      <c r="G256" s="23">
        <f>SUM(G250:G255)</f>
        <v>819.67742249999992</v>
      </c>
    </row>
    <row r="257" spans="1:8" ht="28.5" customHeight="1" thickBot="1">
      <c r="A257" s="211" t="s">
        <v>515</v>
      </c>
      <c r="B257" s="216" t="str">
        <f>_xlfn.CONCAT(B224,A257)</f>
        <v>1AADBAF6-af</v>
      </c>
      <c r="C257" s="10" t="s">
        <v>27</v>
      </c>
      <c r="D257" s="190"/>
      <c r="E257" s="11"/>
      <c r="F257" s="12"/>
      <c r="G257" s="13"/>
    </row>
    <row r="258" spans="1:8" s="47" customFormat="1" ht="23.25" customHeight="1" thickBot="1">
      <c r="A258" s="211" t="s">
        <v>516</v>
      </c>
      <c r="B258" s="216" t="str">
        <f>_xlfn.CONCAT(B224,A258)</f>
        <v>1AADBAF6-ag</v>
      </c>
      <c r="C258" s="14" t="s">
        <v>1</v>
      </c>
      <c r="D258" s="15" t="s">
        <v>28</v>
      </c>
      <c r="E258" s="15" t="s">
        <v>20</v>
      </c>
      <c r="F258" s="16" t="s">
        <v>21</v>
      </c>
      <c r="G258" s="15" t="s">
        <v>5</v>
      </c>
      <c r="H258" s="215"/>
    </row>
    <row r="259" spans="1:8">
      <c r="A259" s="211" t="s">
        <v>517</v>
      </c>
      <c r="B259" s="216" t="str">
        <f>_xlfn.CONCAT(B224,A259)</f>
        <v>1AADBAF6-ah</v>
      </c>
      <c r="C259" s="30" t="s">
        <v>29</v>
      </c>
      <c r="D259" s="186">
        <f>'H-MO'!$N$77</f>
        <v>725918.52892505517</v>
      </c>
      <c r="E259" s="31">
        <f>+D259/8</f>
        <v>90739.816115631897</v>
      </c>
      <c r="F259" s="32">
        <v>0.1</v>
      </c>
      <c r="G259" s="33">
        <f>+E259*F259</f>
        <v>9073.9816115631893</v>
      </c>
    </row>
    <row r="260" spans="1:8">
      <c r="A260" s="211" t="s">
        <v>518</v>
      </c>
      <c r="B260" s="216" t="str">
        <f>_xlfn.CONCAT(B224,A260)</f>
        <v>1AADBAF6-ai</v>
      </c>
      <c r="C260" s="34" t="s">
        <v>30</v>
      </c>
      <c r="D260" s="187">
        <f>'H-MO'!$N$86</f>
        <v>685561.39085756091</v>
      </c>
      <c r="E260" s="29">
        <f>+D260/8</f>
        <v>85695.173857195114</v>
      </c>
      <c r="F260" s="28">
        <v>1.4999999999999999E-2</v>
      </c>
      <c r="G260" s="33">
        <f>+E260*F260</f>
        <v>1285.4276078579267</v>
      </c>
    </row>
    <row r="261" spans="1:8" ht="14.25" thickBot="1">
      <c r="A261" s="211" t="s">
        <v>519</v>
      </c>
      <c r="B261" s="216" t="str">
        <f>_xlfn.CONCAT(B224,A261)</f>
        <v>1AADBAF6-aj</v>
      </c>
      <c r="C261" s="34"/>
      <c r="D261" s="187"/>
      <c r="E261" s="29"/>
      <c r="F261" s="28"/>
      <c r="G261" s="33">
        <f>+E261*F261</f>
        <v>0</v>
      </c>
    </row>
    <row r="262" spans="1:8" ht="17.25" customHeight="1" thickBot="1">
      <c r="A262" s="211" t="s">
        <v>520</v>
      </c>
      <c r="B262" s="216" t="str">
        <f>_xlfn.CONCAT(B224,A262)</f>
        <v>1AADBAF6-ak</v>
      </c>
      <c r="C262" s="34"/>
      <c r="D262" s="185"/>
      <c r="E262" s="26"/>
      <c r="F262" s="36" t="s">
        <v>31</v>
      </c>
      <c r="G262" s="23">
        <f>SUM(G259:G261)</f>
        <v>10359.409219421115</v>
      </c>
    </row>
    <row r="263" spans="1:8" ht="14.25" thickBot="1">
      <c r="A263" s="211" t="s">
        <v>521</v>
      </c>
      <c r="B263" s="216" t="str">
        <f>_xlfn.CONCAT(B224,A263)</f>
        <v>1AADBAF6-al</v>
      </c>
      <c r="C263" s="37"/>
      <c r="E263" s="38"/>
      <c r="F263" s="22"/>
      <c r="G263" s="39"/>
    </row>
    <row r="264" spans="1:8" ht="23.25" customHeight="1" thickBot="1">
      <c r="A264" s="211" t="s">
        <v>522</v>
      </c>
      <c r="B264" s="216" t="str">
        <f>_xlfn.CONCAT(B224,A264)</f>
        <v>1AADBAF6-am</v>
      </c>
      <c r="C264" s="40"/>
      <c r="D264" s="193"/>
      <c r="E264" s="41"/>
      <c r="F264" s="42"/>
      <c r="G264" s="43">
        <f>+G247+G256+G262</f>
        <v>12055.086641921116</v>
      </c>
    </row>
    <row r="265" spans="1:8" ht="21.75" thickBot="1">
      <c r="B265" s="212" t="s">
        <v>550</v>
      </c>
      <c r="C265" s="2"/>
      <c r="D265" s="183"/>
      <c r="F265" s="4"/>
      <c r="G265" s="5"/>
    </row>
    <row r="266" spans="1:8" s="45" customFormat="1" ht="34.5" customHeight="1">
      <c r="A266" s="213"/>
      <c r="B266" s="214">
        <v>7</v>
      </c>
      <c r="C266" s="242" t="str">
        <f>_xlfn.XLOOKUP(B266,Cantidades!$A$10:$A$314,Cantidades!$C$10:$C$314,,0,1)</f>
        <v>Retiro cajas de paso en tanque de agua potable.</v>
      </c>
      <c r="D266" s="243"/>
      <c r="E266" s="243"/>
      <c r="F266" s="243"/>
      <c r="G266" s="244"/>
      <c r="H266" s="213"/>
    </row>
    <row r="267" spans="1:8" s="47" customFormat="1" ht="24.95" customHeight="1" thickBot="1">
      <c r="A267" s="215"/>
      <c r="B267" s="216" t="s">
        <v>550</v>
      </c>
      <c r="C267" s="177"/>
      <c r="D267" s="189"/>
      <c r="E267" s="178"/>
      <c r="F267" s="179" t="s">
        <v>636</v>
      </c>
      <c r="G267" s="209" t="str">
        <f>B268</f>
        <v>AE6EC23-</v>
      </c>
      <c r="H267" s="215"/>
    </row>
    <row r="268" spans="1:8" ht="28.5" customHeight="1" thickBot="1">
      <c r="B268" s="212" t="str">
        <f>_xlfn.XLOOKUP(C266,Cantidades!$C$1:$C$314,Cantidades!$B$1:$B$314,"",0,1)</f>
        <v>AE6EC23-</v>
      </c>
      <c r="C268" s="10" t="s">
        <v>0</v>
      </c>
      <c r="D268" s="190"/>
      <c r="E268" s="11"/>
      <c r="F268" s="12"/>
      <c r="G268" s="13"/>
    </row>
    <row r="269" spans="1:8" s="47" customFormat="1" ht="23.25" customHeight="1" thickBot="1">
      <c r="A269" s="215"/>
      <c r="B269" s="216" t="s">
        <v>550</v>
      </c>
      <c r="C269" s="14" t="s">
        <v>1</v>
      </c>
      <c r="D269" s="15" t="s">
        <v>2</v>
      </c>
      <c r="E269" s="15" t="s">
        <v>3</v>
      </c>
      <c r="F269" s="16" t="s">
        <v>4</v>
      </c>
      <c r="G269" s="15" t="s">
        <v>5</v>
      </c>
      <c r="H269" s="215"/>
    </row>
    <row r="270" spans="1:8" ht="15">
      <c r="A270" s="211" t="s">
        <v>484</v>
      </c>
      <c r="B270" s="216" t="str">
        <f>_xlfn.CONCAT(B268,A270)</f>
        <v>AE6EC23-A</v>
      </c>
      <c r="C270" s="17" t="str">
        <f>_xlfn.XLOOKUP(H270,'Materiales unitario'!$A$1:$A$2500,'Materiales unitario'!B$1:B$2500,,0,1)</f>
        <v>Insumos menores</v>
      </c>
      <c r="D270" s="191" t="str">
        <f>_xlfn.XLOOKUP(H270,'Materiales unitario'!A$1:A$2500,'Materiales unitario'!C$1:C$2500,,0,1)</f>
        <v>un</v>
      </c>
      <c r="E270" s="196">
        <f>_xlfn.XLOOKUP(H270,'Materiales unitario'!$A$1:$A$2500,'Materiales unitario'!D$1:D$2500,,0,1)</f>
        <v>7300</v>
      </c>
      <c r="F270" s="19">
        <v>0.26</v>
      </c>
      <c r="G270" s="20">
        <f>+E270*F270</f>
        <v>1898</v>
      </c>
      <c r="H270" s="217" t="s">
        <v>532</v>
      </c>
    </row>
    <row r="271" spans="1:8">
      <c r="A271" s="211" t="s">
        <v>485</v>
      </c>
      <c r="B271" s="216" t="str">
        <f>_xlfn.CONCAT(B268,A271)</f>
        <v>AE6EC23-B</v>
      </c>
      <c r="C271" s="17"/>
      <c r="D271" s="184"/>
      <c r="E271" s="197"/>
      <c r="F271" s="19"/>
      <c r="G271" s="20"/>
    </row>
    <row r="272" spans="1:8">
      <c r="A272" s="211" t="s">
        <v>486</v>
      </c>
      <c r="B272" s="216" t="str">
        <f>_xlfn.CONCAT(B268,A272)</f>
        <v>AE6EC23-C</v>
      </c>
      <c r="C272" s="17"/>
      <c r="D272" s="184"/>
      <c r="E272" s="197"/>
      <c r="F272" s="19"/>
      <c r="G272" s="20"/>
    </row>
    <row r="273" spans="1:7">
      <c r="A273" s="211" t="s">
        <v>487</v>
      </c>
      <c r="B273" s="216" t="str">
        <f>_xlfn.CONCAT(B268,A273)</f>
        <v>AE6EC23-D</v>
      </c>
      <c r="C273" s="17"/>
      <c r="D273" s="184"/>
      <c r="E273" s="197"/>
      <c r="F273" s="19"/>
      <c r="G273" s="20"/>
    </row>
    <row r="274" spans="1:7">
      <c r="A274" s="211" t="s">
        <v>488</v>
      </c>
      <c r="B274" s="216" t="str">
        <f>_xlfn.CONCAT(B268,A274)</f>
        <v>AE6EC23-E</v>
      </c>
      <c r="C274" s="17"/>
      <c r="D274" s="184"/>
      <c r="E274" s="197"/>
      <c r="F274" s="19"/>
      <c r="G274" s="20"/>
    </row>
    <row r="275" spans="1:7">
      <c r="A275" s="211" t="s">
        <v>489</v>
      </c>
      <c r="B275" s="216" t="str">
        <f>_xlfn.CONCAT(B268,A275)</f>
        <v>AE6EC23-F</v>
      </c>
      <c r="C275" s="17"/>
      <c r="D275" s="184"/>
      <c r="E275" s="197"/>
      <c r="F275" s="19"/>
      <c r="G275" s="20"/>
    </row>
    <row r="276" spans="1:7">
      <c r="A276" s="211" t="s">
        <v>490</v>
      </c>
      <c r="B276" s="216" t="str">
        <f>_xlfn.CONCAT(B268,A276)</f>
        <v>AE6EC23-G</v>
      </c>
      <c r="C276" s="17"/>
      <c r="D276" s="184"/>
      <c r="E276" s="197"/>
      <c r="F276" s="19"/>
      <c r="G276" s="20"/>
    </row>
    <row r="277" spans="1:7">
      <c r="A277" s="211" t="s">
        <v>491</v>
      </c>
      <c r="B277" s="216" t="str">
        <f>_xlfn.CONCAT(B268,A277)</f>
        <v>AE6EC23-H</v>
      </c>
      <c r="C277" s="17"/>
      <c r="D277" s="184"/>
      <c r="E277" s="197"/>
      <c r="F277" s="19"/>
      <c r="G277" s="20"/>
    </row>
    <row r="278" spans="1:7">
      <c r="A278" s="211" t="s">
        <v>492</v>
      </c>
      <c r="B278" s="216" t="str">
        <f>_xlfn.CONCAT(B268,A278)</f>
        <v>AE6EC23-I</v>
      </c>
      <c r="C278" s="17"/>
      <c r="D278" s="184"/>
      <c r="E278" s="197"/>
      <c r="F278" s="19"/>
      <c r="G278" s="20"/>
    </row>
    <row r="279" spans="1:7">
      <c r="A279" s="211" t="s">
        <v>493</v>
      </c>
      <c r="B279" s="216" t="str">
        <f>_xlfn.CONCAT(B268,A279)</f>
        <v>AE6EC23-J</v>
      </c>
      <c r="C279" s="17"/>
      <c r="D279" s="184"/>
      <c r="E279" s="197"/>
      <c r="F279" s="19"/>
      <c r="G279" s="20"/>
    </row>
    <row r="280" spans="1:7">
      <c r="A280" s="211" t="s">
        <v>494</v>
      </c>
      <c r="B280" s="216" t="str">
        <f>_xlfn.CONCAT(B268,A280)</f>
        <v>AE6EC23-K</v>
      </c>
      <c r="C280" s="17"/>
      <c r="D280" s="184"/>
      <c r="E280" s="197"/>
      <c r="F280" s="19"/>
      <c r="G280" s="20"/>
    </row>
    <row r="281" spans="1:7">
      <c r="A281" s="211" t="s">
        <v>495</v>
      </c>
      <c r="B281" s="216" t="str">
        <f>_xlfn.CONCAT(B268,A281)</f>
        <v>AE6EC23-L</v>
      </c>
      <c r="C281" s="17"/>
      <c r="D281" s="184"/>
      <c r="E281" s="197"/>
      <c r="F281" s="19"/>
      <c r="G281" s="20"/>
    </row>
    <row r="282" spans="1:7">
      <c r="A282" s="211" t="s">
        <v>496</v>
      </c>
      <c r="B282" s="216" t="str">
        <f>_xlfn.CONCAT(B268,A282)</f>
        <v>AE6EC23-M</v>
      </c>
      <c r="C282" s="17"/>
      <c r="D282" s="184"/>
      <c r="E282" s="197"/>
      <c r="F282" s="19"/>
      <c r="G282" s="20"/>
    </row>
    <row r="283" spans="1:7">
      <c r="A283" s="211" t="s">
        <v>497</v>
      </c>
      <c r="B283" s="216" t="str">
        <f>_xlfn.CONCAT(B268,A283)</f>
        <v>AE6EC23-N</v>
      </c>
      <c r="C283" s="17"/>
      <c r="D283" s="184"/>
      <c r="E283" s="197"/>
      <c r="F283" s="19"/>
      <c r="G283" s="20"/>
    </row>
    <row r="284" spans="1:7">
      <c r="A284" s="211" t="s">
        <v>498</v>
      </c>
      <c r="B284" s="216" t="str">
        <f>_xlfn.CONCAT(B268,A284)</f>
        <v>AE6EC23-O</v>
      </c>
      <c r="C284" s="17"/>
      <c r="D284" s="184"/>
      <c r="E284" s="197"/>
      <c r="F284" s="19"/>
      <c r="G284" s="20"/>
    </row>
    <row r="285" spans="1:7">
      <c r="A285" s="211" t="s">
        <v>499</v>
      </c>
      <c r="B285" s="216" t="str">
        <f>_xlfn.CONCAT(B268,A285)</f>
        <v>AE6EC23-P</v>
      </c>
      <c r="C285" s="17"/>
      <c r="D285" s="184"/>
      <c r="E285" s="197"/>
      <c r="F285" s="19"/>
      <c r="G285" s="20"/>
    </row>
    <row r="286" spans="1:7">
      <c r="A286" s="211" t="s">
        <v>500</v>
      </c>
      <c r="B286" s="216" t="str">
        <f>_xlfn.CONCAT(B268,A286)</f>
        <v>AE6EC23-Q</v>
      </c>
      <c r="C286" s="17"/>
      <c r="D286" s="184"/>
      <c r="E286" s="197"/>
      <c r="F286" s="19"/>
      <c r="G286" s="20"/>
    </row>
    <row r="287" spans="1:7">
      <c r="A287" s="211" t="s">
        <v>501</v>
      </c>
      <c r="B287" s="216" t="str">
        <f>_xlfn.CONCAT(B268,A287)</f>
        <v>AE6EC23-R</v>
      </c>
      <c r="C287" s="17"/>
      <c r="D287" s="184"/>
      <c r="E287" s="197"/>
      <c r="F287" s="19"/>
      <c r="G287" s="20"/>
    </row>
    <row r="288" spans="1:7">
      <c r="A288" s="211" t="s">
        <v>502</v>
      </c>
      <c r="B288" s="216" t="str">
        <f>_xlfn.CONCAT(B268,A288)</f>
        <v>AE6EC23-S</v>
      </c>
      <c r="C288" s="17"/>
      <c r="D288" s="184"/>
      <c r="E288" s="197"/>
      <c r="F288" s="19"/>
      <c r="G288" s="20"/>
    </row>
    <row r="289" spans="1:8">
      <c r="A289" s="211" t="s">
        <v>503</v>
      </c>
      <c r="B289" s="216" t="str">
        <f>_xlfn.CONCAT(B268,A289)</f>
        <v>AE6EC23-T</v>
      </c>
      <c r="C289" s="17"/>
      <c r="D289" s="184"/>
      <c r="E289" s="197"/>
      <c r="F289" s="19"/>
      <c r="G289" s="20"/>
    </row>
    <row r="290" spans="1:8" ht="14.25" thickBot="1">
      <c r="A290" s="211" t="s">
        <v>504</v>
      </c>
      <c r="B290" s="216" t="str">
        <f>_xlfn.CONCAT(B268,A290)</f>
        <v>AE6EC23-U</v>
      </c>
      <c r="C290" s="17"/>
      <c r="D290" s="184"/>
      <c r="E290" s="197"/>
      <c r="F290" s="19"/>
      <c r="G290" s="20"/>
    </row>
    <row r="291" spans="1:8" ht="16.5" customHeight="1" thickBot="1">
      <c r="A291" s="211" t="s">
        <v>505</v>
      </c>
      <c r="B291" s="216" t="str">
        <f>_xlfn.CONCAT(B268,A291)</f>
        <v>AE6EC23-V</v>
      </c>
      <c r="C291" s="17" t="s">
        <v>17</v>
      </c>
      <c r="D291" s="192" t="s">
        <v>17</v>
      </c>
      <c r="E291" s="18"/>
      <c r="F291" s="22" t="s">
        <v>18</v>
      </c>
      <c r="G291" s="23">
        <f>SUM(G270:G290)</f>
        <v>1898</v>
      </c>
    </row>
    <row r="292" spans="1:8" ht="28.5" customHeight="1" thickBot="1">
      <c r="A292" s="211" t="s">
        <v>506</v>
      </c>
      <c r="B292" s="216" t="str">
        <f>_xlfn.CONCAT(B268,A292)</f>
        <v>AE6EC23-W</v>
      </c>
      <c r="C292" s="10" t="s">
        <v>19</v>
      </c>
      <c r="D292" s="190"/>
      <c r="E292" s="11"/>
      <c r="F292" s="12"/>
      <c r="G292" s="13"/>
    </row>
    <row r="293" spans="1:8" s="47" customFormat="1" ht="23.25" customHeight="1" thickBot="1">
      <c r="A293" s="211" t="s">
        <v>507</v>
      </c>
      <c r="B293" s="216" t="str">
        <f>_xlfn.CONCAT(B268,A293)</f>
        <v>AE6EC23-X</v>
      </c>
      <c r="C293" s="14" t="s">
        <v>1</v>
      </c>
      <c r="D293" s="15"/>
      <c r="E293" s="15" t="s">
        <v>20</v>
      </c>
      <c r="F293" s="16" t="s">
        <v>21</v>
      </c>
      <c r="G293" s="15" t="s">
        <v>5</v>
      </c>
      <c r="H293" s="215"/>
    </row>
    <row r="294" spans="1:8">
      <c r="A294" s="211" t="s">
        <v>508</v>
      </c>
      <c r="B294" s="216" t="str">
        <f>_xlfn.CONCAT(B268,A294)</f>
        <v>AE6EC23-Y</v>
      </c>
      <c r="C294" s="24" t="s">
        <v>22</v>
      </c>
      <c r="D294" s="184"/>
      <c r="E294" s="25">
        <f>_xlfn.XLOOKUP(C294,'H-MO'!B$7:B$30,'H-MO'!D$7:D$30,,0,1)</f>
        <v>2436.5624999999995</v>
      </c>
      <c r="F294" s="19">
        <v>8.3626666666666669E-2</v>
      </c>
      <c r="G294" s="33">
        <f t="shared" ref="G294:G299" si="6">+E294*F294</f>
        <v>203.76159999999996</v>
      </c>
    </row>
    <row r="295" spans="1:8">
      <c r="A295" s="211" t="s">
        <v>509</v>
      </c>
      <c r="B295" s="216" t="str">
        <f>_xlfn.CONCAT(B268,A295)</f>
        <v>AE6EC23-Z</v>
      </c>
      <c r="C295" s="24" t="s">
        <v>23</v>
      </c>
      <c r="D295" s="184"/>
      <c r="E295" s="25">
        <f>_xlfn.XLOOKUP(C295,'H-MO'!B$7:B$30,'H-MO'!D$7:D$30,,0,1)</f>
        <v>1461.9374999999998</v>
      </c>
      <c r="F295" s="19">
        <v>0.20906666666666668</v>
      </c>
      <c r="G295" s="33">
        <f t="shared" si="6"/>
        <v>305.64239999999995</v>
      </c>
    </row>
    <row r="296" spans="1:8">
      <c r="A296" s="211" t="s">
        <v>510</v>
      </c>
      <c r="B296" s="216" t="str">
        <f>_xlfn.CONCAT(B268,A296)</f>
        <v>AE6EC23-aa</v>
      </c>
      <c r="C296" s="24" t="s">
        <v>24</v>
      </c>
      <c r="D296" s="185"/>
      <c r="E296" s="25">
        <f>_xlfn.XLOOKUP(C296,'H-MO'!B$7:B$30,'H-MO'!D$7:D$30,,0,1)</f>
        <v>29238.749999999996</v>
      </c>
      <c r="F296" s="28">
        <v>3.4844444444444445E-3</v>
      </c>
      <c r="G296" s="33">
        <f t="shared" si="6"/>
        <v>101.88079999999999</v>
      </c>
    </row>
    <row r="297" spans="1:8">
      <c r="A297" s="211" t="s">
        <v>511</v>
      </c>
      <c r="B297" s="216" t="str">
        <f>_xlfn.CONCAT(B268,A297)</f>
        <v>AE6EC23-ab</v>
      </c>
      <c r="C297" s="24" t="s">
        <v>25</v>
      </c>
      <c r="D297" s="185"/>
      <c r="E297" s="25">
        <f>_xlfn.XLOOKUP(C297,'H-MO'!B$7:B$30,'H-MO'!D$7:D$30,,0,1)</f>
        <v>2761.4374999999995</v>
      </c>
      <c r="F297" s="28">
        <v>7.3788235294117641E-2</v>
      </c>
      <c r="G297" s="33">
        <f t="shared" si="6"/>
        <v>203.76159999999996</v>
      </c>
    </row>
    <row r="298" spans="1:8">
      <c r="A298" s="211" t="s">
        <v>512</v>
      </c>
      <c r="B298" s="216" t="str">
        <f>_xlfn.CONCAT(B268,A298)</f>
        <v>AE6EC23-ac</v>
      </c>
      <c r="C298" s="24"/>
      <c r="D298" s="185"/>
      <c r="E298" s="29"/>
      <c r="F298" s="28"/>
      <c r="G298" s="33">
        <f t="shared" si="6"/>
        <v>0</v>
      </c>
    </row>
    <row r="299" spans="1:8" ht="14.25" thickBot="1">
      <c r="A299" s="211" t="s">
        <v>513</v>
      </c>
      <c r="B299" s="216" t="str">
        <f>_xlfn.CONCAT(B268,A299)</f>
        <v>AE6EC23-ad</v>
      </c>
      <c r="C299" s="24"/>
      <c r="D299" s="185"/>
      <c r="E299" s="29"/>
      <c r="F299" s="28"/>
      <c r="G299" s="33">
        <f t="shared" si="6"/>
        <v>0</v>
      </c>
    </row>
    <row r="300" spans="1:8" ht="16.5" customHeight="1" thickBot="1">
      <c r="A300" s="211" t="s">
        <v>514</v>
      </c>
      <c r="B300" s="216" t="str">
        <f>_xlfn.CONCAT(B268,A300)</f>
        <v>AE6EC23-ae</v>
      </c>
      <c r="C300" s="17"/>
      <c r="D300" s="192"/>
      <c r="E300" s="18"/>
      <c r="F300" s="22" t="s">
        <v>26</v>
      </c>
      <c r="G300" s="23">
        <f>SUM(G294:G299)</f>
        <v>815.04639999999984</v>
      </c>
    </row>
    <row r="301" spans="1:8" ht="28.5" customHeight="1" thickBot="1">
      <c r="A301" s="211" t="s">
        <v>515</v>
      </c>
      <c r="B301" s="216" t="str">
        <f>_xlfn.CONCAT(B268,A301)</f>
        <v>AE6EC23-af</v>
      </c>
      <c r="C301" s="10" t="s">
        <v>27</v>
      </c>
      <c r="D301" s="190"/>
      <c r="E301" s="11"/>
      <c r="F301" s="12"/>
      <c r="G301" s="13"/>
    </row>
    <row r="302" spans="1:8" s="47" customFormat="1" ht="23.25" customHeight="1" thickBot="1">
      <c r="A302" s="211" t="s">
        <v>516</v>
      </c>
      <c r="B302" s="216" t="str">
        <f>_xlfn.CONCAT(B268,A302)</f>
        <v>AE6EC23-ag</v>
      </c>
      <c r="C302" s="14" t="s">
        <v>1</v>
      </c>
      <c r="D302" s="15" t="s">
        <v>28</v>
      </c>
      <c r="E302" s="15" t="s">
        <v>20</v>
      </c>
      <c r="F302" s="16" t="s">
        <v>21</v>
      </c>
      <c r="G302" s="15" t="s">
        <v>5</v>
      </c>
      <c r="H302" s="215"/>
    </row>
    <row r="303" spans="1:8">
      <c r="A303" s="211" t="s">
        <v>517</v>
      </c>
      <c r="B303" s="216" t="str">
        <f>_xlfn.CONCAT(B268,A303)</f>
        <v>AE6EC23-ah</v>
      </c>
      <c r="C303" s="30" t="s">
        <v>29</v>
      </c>
      <c r="D303" s="186">
        <f>'H-MO'!$N$77</f>
        <v>725918.52892505517</v>
      </c>
      <c r="E303" s="31">
        <f>+D303/8</f>
        <v>90739.816115631897</v>
      </c>
      <c r="F303" s="32">
        <v>0.3</v>
      </c>
      <c r="G303" s="33">
        <f>+E303*F303</f>
        <v>27221.94483468957</v>
      </c>
    </row>
    <row r="304" spans="1:8">
      <c r="A304" s="211" t="s">
        <v>518</v>
      </c>
      <c r="B304" s="216" t="str">
        <f>_xlfn.CONCAT(B268,A304)</f>
        <v>AE6EC23-ai</v>
      </c>
      <c r="C304" s="34" t="s">
        <v>30</v>
      </c>
      <c r="D304" s="187">
        <f>'H-MO'!$N$86</f>
        <v>685561.39085756091</v>
      </c>
      <c r="E304" s="29">
        <f>+D304/8</f>
        <v>85695.173857195114</v>
      </c>
      <c r="F304" s="28">
        <v>0</v>
      </c>
      <c r="G304" s="33">
        <f>+E304*F304</f>
        <v>0</v>
      </c>
    </row>
    <row r="305" spans="1:8" ht="14.25" thickBot="1">
      <c r="A305" s="211" t="s">
        <v>519</v>
      </c>
      <c r="B305" s="216" t="str">
        <f>_xlfn.CONCAT(B268,A305)</f>
        <v>AE6EC23-aj</v>
      </c>
      <c r="C305" s="34"/>
      <c r="D305" s="187"/>
      <c r="E305" s="29"/>
      <c r="F305" s="28"/>
      <c r="G305" s="33">
        <f>+E305*F305</f>
        <v>0</v>
      </c>
    </row>
    <row r="306" spans="1:8" ht="17.25" customHeight="1" thickBot="1">
      <c r="A306" s="211" t="s">
        <v>520</v>
      </c>
      <c r="B306" s="216" t="str">
        <f>_xlfn.CONCAT(B268,A306)</f>
        <v>AE6EC23-ak</v>
      </c>
      <c r="C306" s="34"/>
      <c r="D306" s="185"/>
      <c r="E306" s="26"/>
      <c r="F306" s="36" t="s">
        <v>31</v>
      </c>
      <c r="G306" s="23">
        <f>SUM(G303:G305)</f>
        <v>27221.94483468957</v>
      </c>
    </row>
    <row r="307" spans="1:8" ht="14.25" thickBot="1">
      <c r="A307" s="211" t="s">
        <v>521</v>
      </c>
      <c r="B307" s="216" t="str">
        <f>_xlfn.CONCAT(B268,A307)</f>
        <v>AE6EC23-al</v>
      </c>
      <c r="C307" s="37"/>
      <c r="E307" s="38"/>
      <c r="F307" s="22"/>
      <c r="G307" s="39"/>
    </row>
    <row r="308" spans="1:8" ht="23.25" customHeight="1" thickBot="1">
      <c r="A308" s="211" t="s">
        <v>522</v>
      </c>
      <c r="B308" s="216" t="str">
        <f>_xlfn.CONCAT(B268,A308)</f>
        <v>AE6EC23-am</v>
      </c>
      <c r="C308" s="40"/>
      <c r="D308" s="193"/>
      <c r="E308" s="41"/>
      <c r="F308" s="42"/>
      <c r="G308" s="43">
        <f>+G291+G300+G306</f>
        <v>29934.991234689569</v>
      </c>
    </row>
    <row r="309" spans="1:8" ht="21.75" thickBot="1">
      <c r="B309" s="212" t="s">
        <v>550</v>
      </c>
      <c r="C309" s="2"/>
      <c r="D309" s="183"/>
      <c r="F309" s="4"/>
      <c r="G309" s="5"/>
    </row>
    <row r="310" spans="1:8" s="45" customFormat="1" ht="34.5" customHeight="1">
      <c r="A310" s="213"/>
      <c r="B310" s="214">
        <v>8</v>
      </c>
      <c r="C310" s="242" t="str">
        <f>_xlfn.XLOOKUP(B310,Cantidades!$A$10:$A$314,Cantidades!$C$10:$C$314,,0,1)</f>
        <v>Retiro de tablero trifásico 12 circuitos.</v>
      </c>
      <c r="D310" s="243"/>
      <c r="E310" s="243"/>
      <c r="F310" s="243"/>
      <c r="G310" s="244"/>
      <c r="H310" s="213"/>
    </row>
    <row r="311" spans="1:8" s="47" customFormat="1" ht="24.95" customHeight="1" thickBot="1">
      <c r="A311" s="215"/>
      <c r="B311" s="216" t="s">
        <v>550</v>
      </c>
      <c r="C311" s="177"/>
      <c r="D311" s="189"/>
      <c r="E311" s="178"/>
      <c r="F311" s="179" t="s">
        <v>636</v>
      </c>
      <c r="G311" s="209" t="str">
        <f>B312</f>
        <v>2F32F435-</v>
      </c>
      <c r="H311" s="215"/>
    </row>
    <row r="312" spans="1:8" ht="28.5" customHeight="1" thickBot="1">
      <c r="B312" s="212" t="str">
        <f>_xlfn.XLOOKUP(C310,Cantidades!$C$1:$C$314,Cantidades!$B$1:$B$314,"",0,1)</f>
        <v>2F32F435-</v>
      </c>
      <c r="C312" s="10" t="s">
        <v>0</v>
      </c>
      <c r="D312" s="190"/>
      <c r="E312" s="11"/>
      <c r="F312" s="12"/>
      <c r="G312" s="13"/>
    </row>
    <row r="313" spans="1:8" s="47" customFormat="1" ht="23.25" customHeight="1" thickBot="1">
      <c r="A313" s="215"/>
      <c r="B313" s="216" t="s">
        <v>550</v>
      </c>
      <c r="C313" s="14" t="s">
        <v>1</v>
      </c>
      <c r="D313" s="15" t="s">
        <v>2</v>
      </c>
      <c r="E313" s="15" t="s">
        <v>3</v>
      </c>
      <c r="F313" s="16" t="s">
        <v>4</v>
      </c>
      <c r="G313" s="15" t="s">
        <v>5</v>
      </c>
      <c r="H313" s="215"/>
    </row>
    <row r="314" spans="1:8" ht="15">
      <c r="A314" s="211" t="s">
        <v>484</v>
      </c>
      <c r="B314" s="216" t="str">
        <f>_xlfn.CONCAT(B312,A314)</f>
        <v>2F32F435-A</v>
      </c>
      <c r="C314" s="17" t="str">
        <f>_xlfn.XLOOKUP(H314,'Materiales unitario'!$A$1:$A$2500,'Materiales unitario'!B$1:B$2500,,0,1)</f>
        <v>Insumos menores</v>
      </c>
      <c r="D314" s="191" t="str">
        <f>_xlfn.XLOOKUP(H314,'Materiales unitario'!A$1:A$2500,'Materiales unitario'!C$1:C$2500,,0,1)</f>
        <v>un</v>
      </c>
      <c r="E314" s="196">
        <f>_xlfn.XLOOKUP(H314,'Materiales unitario'!$A$1:$A$2500,'Materiales unitario'!D$1:D$2500,,0,1)</f>
        <v>7300</v>
      </c>
      <c r="F314" s="19">
        <v>1.1000000000000001</v>
      </c>
      <c r="G314" s="20">
        <f>+E314*F314</f>
        <v>8030.0000000000009</v>
      </c>
      <c r="H314" s="217" t="s">
        <v>532</v>
      </c>
    </row>
    <row r="315" spans="1:8">
      <c r="A315" s="211" t="s">
        <v>485</v>
      </c>
      <c r="B315" s="216" t="str">
        <f>_xlfn.CONCAT(B312,A315)</f>
        <v>2F32F435-B</v>
      </c>
      <c r="C315" s="17"/>
      <c r="D315" s="184"/>
      <c r="E315" s="197"/>
      <c r="F315" s="19"/>
      <c r="G315" s="20"/>
    </row>
    <row r="316" spans="1:8">
      <c r="A316" s="211" t="s">
        <v>486</v>
      </c>
      <c r="B316" s="216" t="str">
        <f>_xlfn.CONCAT(B312,A316)</f>
        <v>2F32F435-C</v>
      </c>
      <c r="C316" s="17"/>
      <c r="D316" s="184"/>
      <c r="E316" s="197"/>
      <c r="F316" s="19"/>
      <c r="G316" s="20"/>
    </row>
    <row r="317" spans="1:8">
      <c r="A317" s="211" t="s">
        <v>487</v>
      </c>
      <c r="B317" s="216" t="str">
        <f>_xlfn.CONCAT(B312,A317)</f>
        <v>2F32F435-D</v>
      </c>
      <c r="C317" s="17"/>
      <c r="D317" s="184"/>
      <c r="E317" s="197"/>
      <c r="F317" s="19"/>
      <c r="G317" s="20"/>
    </row>
    <row r="318" spans="1:8">
      <c r="A318" s="211" t="s">
        <v>488</v>
      </c>
      <c r="B318" s="216" t="str">
        <f>_xlfn.CONCAT(B312,A318)</f>
        <v>2F32F435-E</v>
      </c>
      <c r="C318" s="17"/>
      <c r="D318" s="184"/>
      <c r="E318" s="197"/>
      <c r="F318" s="19"/>
      <c r="G318" s="20"/>
    </row>
    <row r="319" spans="1:8">
      <c r="A319" s="211" t="s">
        <v>489</v>
      </c>
      <c r="B319" s="216" t="str">
        <f>_xlfn.CONCAT(B312,A319)</f>
        <v>2F32F435-F</v>
      </c>
      <c r="C319" s="17"/>
      <c r="D319" s="184"/>
      <c r="E319" s="197"/>
      <c r="F319" s="19"/>
      <c r="G319" s="20"/>
    </row>
    <row r="320" spans="1:8">
      <c r="A320" s="211" t="s">
        <v>490</v>
      </c>
      <c r="B320" s="216" t="str">
        <f>_xlfn.CONCAT(B312,A320)</f>
        <v>2F32F435-G</v>
      </c>
      <c r="C320" s="17"/>
      <c r="D320" s="184"/>
      <c r="E320" s="197"/>
      <c r="F320" s="19"/>
      <c r="G320" s="20"/>
    </row>
    <row r="321" spans="1:7">
      <c r="A321" s="211" t="s">
        <v>491</v>
      </c>
      <c r="B321" s="216" t="str">
        <f>_xlfn.CONCAT(B312,A321)</f>
        <v>2F32F435-H</v>
      </c>
      <c r="C321" s="17"/>
      <c r="D321" s="184"/>
      <c r="E321" s="197"/>
      <c r="F321" s="19"/>
      <c r="G321" s="20"/>
    </row>
    <row r="322" spans="1:7">
      <c r="A322" s="211" t="s">
        <v>492</v>
      </c>
      <c r="B322" s="216" t="str">
        <f>_xlfn.CONCAT(B312,A322)</f>
        <v>2F32F435-I</v>
      </c>
      <c r="C322" s="17"/>
      <c r="D322" s="184"/>
      <c r="E322" s="197"/>
      <c r="F322" s="19"/>
      <c r="G322" s="20"/>
    </row>
    <row r="323" spans="1:7">
      <c r="A323" s="211" t="s">
        <v>493</v>
      </c>
      <c r="B323" s="216" t="str">
        <f>_xlfn.CONCAT(B312,A323)</f>
        <v>2F32F435-J</v>
      </c>
      <c r="C323" s="17"/>
      <c r="D323" s="184"/>
      <c r="E323" s="197"/>
      <c r="F323" s="19"/>
      <c r="G323" s="20"/>
    </row>
    <row r="324" spans="1:7">
      <c r="A324" s="211" t="s">
        <v>494</v>
      </c>
      <c r="B324" s="216" t="str">
        <f>_xlfn.CONCAT(B312,A324)</f>
        <v>2F32F435-K</v>
      </c>
      <c r="C324" s="17"/>
      <c r="D324" s="184"/>
      <c r="E324" s="197"/>
      <c r="F324" s="19"/>
      <c r="G324" s="20"/>
    </row>
    <row r="325" spans="1:7">
      <c r="A325" s="211" t="s">
        <v>495</v>
      </c>
      <c r="B325" s="216" t="str">
        <f>_xlfn.CONCAT(B312,A325)</f>
        <v>2F32F435-L</v>
      </c>
      <c r="C325" s="17"/>
      <c r="D325" s="184"/>
      <c r="E325" s="197"/>
      <c r="F325" s="19"/>
      <c r="G325" s="20"/>
    </row>
    <row r="326" spans="1:7">
      <c r="A326" s="211" t="s">
        <v>496</v>
      </c>
      <c r="B326" s="216" t="str">
        <f>_xlfn.CONCAT(B312,A326)</f>
        <v>2F32F435-M</v>
      </c>
      <c r="C326" s="17"/>
      <c r="D326" s="184"/>
      <c r="E326" s="197"/>
      <c r="F326" s="19"/>
      <c r="G326" s="20"/>
    </row>
    <row r="327" spans="1:7">
      <c r="A327" s="211" t="s">
        <v>497</v>
      </c>
      <c r="B327" s="216" t="str">
        <f>_xlfn.CONCAT(B312,A327)</f>
        <v>2F32F435-N</v>
      </c>
      <c r="C327" s="17"/>
      <c r="D327" s="184"/>
      <c r="E327" s="197"/>
      <c r="F327" s="19"/>
      <c r="G327" s="20"/>
    </row>
    <row r="328" spans="1:7">
      <c r="A328" s="211" t="s">
        <v>498</v>
      </c>
      <c r="B328" s="216" t="str">
        <f>_xlfn.CONCAT(B312,A328)</f>
        <v>2F32F435-O</v>
      </c>
      <c r="C328" s="17"/>
      <c r="D328" s="184"/>
      <c r="E328" s="197"/>
      <c r="F328" s="19"/>
      <c r="G328" s="20"/>
    </row>
    <row r="329" spans="1:7">
      <c r="A329" s="211" t="s">
        <v>499</v>
      </c>
      <c r="B329" s="216" t="str">
        <f>_xlfn.CONCAT(B312,A329)</f>
        <v>2F32F435-P</v>
      </c>
      <c r="C329" s="17"/>
      <c r="D329" s="184"/>
      <c r="E329" s="197"/>
      <c r="F329" s="19"/>
      <c r="G329" s="20"/>
    </row>
    <row r="330" spans="1:7">
      <c r="A330" s="211" t="s">
        <v>500</v>
      </c>
      <c r="B330" s="216" t="str">
        <f>_xlfn.CONCAT(B312,A330)</f>
        <v>2F32F435-Q</v>
      </c>
      <c r="C330" s="17"/>
      <c r="D330" s="184"/>
      <c r="E330" s="197"/>
      <c r="F330" s="19"/>
      <c r="G330" s="20"/>
    </row>
    <row r="331" spans="1:7">
      <c r="A331" s="211" t="s">
        <v>501</v>
      </c>
      <c r="B331" s="216" t="str">
        <f>_xlfn.CONCAT(B312,A331)</f>
        <v>2F32F435-R</v>
      </c>
      <c r="C331" s="17"/>
      <c r="D331" s="184"/>
      <c r="E331" s="197"/>
      <c r="F331" s="19"/>
      <c r="G331" s="20"/>
    </row>
    <row r="332" spans="1:7">
      <c r="A332" s="211" t="s">
        <v>502</v>
      </c>
      <c r="B332" s="216" t="str">
        <f>_xlfn.CONCAT(B312,A332)</f>
        <v>2F32F435-S</v>
      </c>
      <c r="C332" s="17"/>
      <c r="D332" s="184"/>
      <c r="E332" s="197"/>
      <c r="F332" s="19"/>
      <c r="G332" s="20"/>
    </row>
    <row r="333" spans="1:7">
      <c r="A333" s="211" t="s">
        <v>503</v>
      </c>
      <c r="B333" s="216" t="str">
        <f>_xlfn.CONCAT(B312,A333)</f>
        <v>2F32F435-T</v>
      </c>
      <c r="C333" s="17"/>
      <c r="D333" s="184"/>
      <c r="E333" s="197"/>
      <c r="F333" s="19"/>
      <c r="G333" s="20"/>
    </row>
    <row r="334" spans="1:7" ht="14.25" thickBot="1">
      <c r="A334" s="211" t="s">
        <v>504</v>
      </c>
      <c r="B334" s="216" t="str">
        <f>_xlfn.CONCAT(B312,A334)</f>
        <v>2F32F435-U</v>
      </c>
      <c r="C334" s="17"/>
      <c r="D334" s="184"/>
      <c r="E334" s="197"/>
      <c r="F334" s="19"/>
      <c r="G334" s="20"/>
    </row>
    <row r="335" spans="1:7" ht="16.5" customHeight="1" thickBot="1">
      <c r="A335" s="211" t="s">
        <v>505</v>
      </c>
      <c r="B335" s="216" t="str">
        <f>_xlfn.CONCAT(B312,A335)</f>
        <v>2F32F435-V</v>
      </c>
      <c r="C335" s="17" t="s">
        <v>17</v>
      </c>
      <c r="D335" s="192" t="s">
        <v>17</v>
      </c>
      <c r="E335" s="18"/>
      <c r="F335" s="22" t="s">
        <v>18</v>
      </c>
      <c r="G335" s="23">
        <f>SUM(G314:G334)</f>
        <v>8030.0000000000009</v>
      </c>
    </row>
    <row r="336" spans="1:7" ht="28.5" customHeight="1" thickBot="1">
      <c r="A336" s="211" t="s">
        <v>506</v>
      </c>
      <c r="B336" s="216" t="str">
        <f>_xlfn.CONCAT(B312,A336)</f>
        <v>2F32F435-W</v>
      </c>
      <c r="C336" s="10" t="s">
        <v>19</v>
      </c>
      <c r="D336" s="190"/>
      <c r="E336" s="11"/>
      <c r="F336" s="12"/>
      <c r="G336" s="13"/>
    </row>
    <row r="337" spans="1:8" s="47" customFormat="1" ht="23.25" customHeight="1" thickBot="1">
      <c r="A337" s="211" t="s">
        <v>507</v>
      </c>
      <c r="B337" s="216" t="str">
        <f>_xlfn.CONCAT(B312,A337)</f>
        <v>2F32F435-X</v>
      </c>
      <c r="C337" s="14" t="s">
        <v>1</v>
      </c>
      <c r="D337" s="15"/>
      <c r="E337" s="15" t="s">
        <v>20</v>
      </c>
      <c r="F337" s="16" t="s">
        <v>21</v>
      </c>
      <c r="G337" s="15" t="s">
        <v>5</v>
      </c>
      <c r="H337" s="215"/>
    </row>
    <row r="338" spans="1:8">
      <c r="A338" s="211" t="s">
        <v>508</v>
      </c>
      <c r="B338" s="216" t="str">
        <f>_xlfn.CONCAT(B312,A338)</f>
        <v>2F32F435-Y</v>
      </c>
      <c r="C338" s="24" t="s">
        <v>22</v>
      </c>
      <c r="D338" s="184"/>
      <c r="E338" s="25">
        <f>_xlfn.XLOOKUP(C338,'H-MO'!B$7:B$30,'H-MO'!D$7:D$30,,0,1)</f>
        <v>2436.5624999999995</v>
      </c>
      <c r="F338" s="19">
        <v>0.11255652173913044</v>
      </c>
      <c r="G338" s="33">
        <f t="shared" ref="G338:G343" si="7">+E338*F338</f>
        <v>274.25099999999998</v>
      </c>
    </row>
    <row r="339" spans="1:8">
      <c r="A339" s="211" t="s">
        <v>509</v>
      </c>
      <c r="B339" s="216" t="str">
        <f>_xlfn.CONCAT(B312,A339)</f>
        <v>2F32F435-Z</v>
      </c>
      <c r="C339" s="24" t="s">
        <v>23</v>
      </c>
      <c r="D339" s="184"/>
      <c r="E339" s="25">
        <f>_xlfn.XLOOKUP(C339,'H-MO'!B$7:B$30,'H-MO'!D$7:D$30,,0,1)</f>
        <v>1461.9374999999998</v>
      </c>
      <c r="F339" s="19">
        <v>0.28139130434782611</v>
      </c>
      <c r="G339" s="33">
        <f t="shared" si="7"/>
        <v>411.37649999999996</v>
      </c>
    </row>
    <row r="340" spans="1:8">
      <c r="A340" s="211" t="s">
        <v>510</v>
      </c>
      <c r="B340" s="216" t="str">
        <f>_xlfn.CONCAT(B312,A340)</f>
        <v>2F32F435-aa</v>
      </c>
      <c r="C340" s="24" t="s">
        <v>24</v>
      </c>
      <c r="D340" s="185"/>
      <c r="E340" s="25">
        <f>_xlfn.XLOOKUP(C340,'H-MO'!B$7:B$30,'H-MO'!D$7:D$30,,0,1)</f>
        <v>29238.749999999996</v>
      </c>
      <c r="F340" s="28">
        <v>4.6898550724637682E-3</v>
      </c>
      <c r="G340" s="33">
        <f t="shared" si="7"/>
        <v>137.12549999999999</v>
      </c>
    </row>
    <row r="341" spans="1:8">
      <c r="A341" s="211" t="s">
        <v>511</v>
      </c>
      <c r="B341" s="216" t="str">
        <f>_xlfn.CONCAT(B312,A341)</f>
        <v>2F32F435-ab</v>
      </c>
      <c r="C341" s="24" t="s">
        <v>25</v>
      </c>
      <c r="D341" s="185"/>
      <c r="E341" s="25">
        <f>_xlfn.XLOOKUP(C341,'H-MO'!B$7:B$30,'H-MO'!D$7:D$30,,0,1)</f>
        <v>2761.4374999999995</v>
      </c>
      <c r="F341" s="28">
        <v>9.9314578005115103E-2</v>
      </c>
      <c r="G341" s="33">
        <f t="shared" si="7"/>
        <v>274.25099999999998</v>
      </c>
    </row>
    <row r="342" spans="1:8">
      <c r="A342" s="211" t="s">
        <v>512</v>
      </c>
      <c r="B342" s="216" t="str">
        <f>_xlfn.CONCAT(B312,A342)</f>
        <v>2F32F435-ac</v>
      </c>
      <c r="C342" s="24"/>
      <c r="D342" s="185"/>
      <c r="E342" s="29"/>
      <c r="F342" s="28"/>
      <c r="G342" s="33">
        <f t="shared" si="7"/>
        <v>0</v>
      </c>
    </row>
    <row r="343" spans="1:8" ht="14.25" thickBot="1">
      <c r="A343" s="211" t="s">
        <v>513</v>
      </c>
      <c r="B343" s="216" t="str">
        <f>_xlfn.CONCAT(B312,A343)</f>
        <v>2F32F435-ad</v>
      </c>
      <c r="C343" s="24"/>
      <c r="D343" s="185"/>
      <c r="E343" s="29"/>
      <c r="F343" s="28"/>
      <c r="G343" s="33">
        <f t="shared" si="7"/>
        <v>0</v>
      </c>
    </row>
    <row r="344" spans="1:8" ht="16.5" customHeight="1" thickBot="1">
      <c r="A344" s="211" t="s">
        <v>514</v>
      </c>
      <c r="B344" s="216" t="str">
        <f>_xlfn.CONCAT(B312,A344)</f>
        <v>2F32F435-ae</v>
      </c>
      <c r="C344" s="17"/>
      <c r="D344" s="192"/>
      <c r="E344" s="18"/>
      <c r="F344" s="22" t="s">
        <v>26</v>
      </c>
      <c r="G344" s="23">
        <f>SUM(G338:G343)</f>
        <v>1097.0039999999999</v>
      </c>
    </row>
    <row r="345" spans="1:8" ht="28.5" customHeight="1" thickBot="1">
      <c r="A345" s="211" t="s">
        <v>515</v>
      </c>
      <c r="B345" s="216" t="str">
        <f>_xlfn.CONCAT(B312,A345)</f>
        <v>2F32F435-af</v>
      </c>
      <c r="C345" s="10" t="s">
        <v>27</v>
      </c>
      <c r="D345" s="190"/>
      <c r="E345" s="11"/>
      <c r="F345" s="12"/>
      <c r="G345" s="13"/>
    </row>
    <row r="346" spans="1:8" s="47" customFormat="1" ht="23.25" customHeight="1" thickBot="1">
      <c r="A346" s="211" t="s">
        <v>516</v>
      </c>
      <c r="B346" s="216" t="str">
        <f>_xlfn.CONCAT(B312,A346)</f>
        <v>2F32F435-ag</v>
      </c>
      <c r="C346" s="14" t="s">
        <v>1</v>
      </c>
      <c r="D346" s="15" t="s">
        <v>28</v>
      </c>
      <c r="E346" s="15" t="s">
        <v>20</v>
      </c>
      <c r="F346" s="16" t="s">
        <v>21</v>
      </c>
      <c r="G346" s="15" t="s">
        <v>5</v>
      </c>
      <c r="H346" s="215"/>
    </row>
    <row r="347" spans="1:8">
      <c r="A347" s="211" t="s">
        <v>517</v>
      </c>
      <c r="B347" s="216" t="str">
        <f>_xlfn.CONCAT(B312,A347)</f>
        <v>2F32F435-ah</v>
      </c>
      <c r="C347" s="30" t="s">
        <v>29</v>
      </c>
      <c r="D347" s="186">
        <f>'H-MO'!$N$77</f>
        <v>725918.52892505517</v>
      </c>
      <c r="E347" s="31">
        <f>+D347/8</f>
        <v>90739.816115631897</v>
      </c>
      <c r="F347" s="32">
        <v>0.45</v>
      </c>
      <c r="G347" s="33">
        <f>+E347*F347</f>
        <v>40832.917252034356</v>
      </c>
    </row>
    <row r="348" spans="1:8">
      <c r="A348" s="211" t="s">
        <v>518</v>
      </c>
      <c r="B348" s="216" t="str">
        <f>_xlfn.CONCAT(B312,A348)</f>
        <v>2F32F435-ai</v>
      </c>
      <c r="C348" s="34" t="s">
        <v>30</v>
      </c>
      <c r="D348" s="187">
        <f>'H-MO'!$N$86</f>
        <v>685561.39085756091</v>
      </c>
      <c r="E348" s="29">
        <f>+D348/8</f>
        <v>85695.173857195114</v>
      </c>
      <c r="F348" s="28">
        <v>0.36</v>
      </c>
      <c r="G348" s="33">
        <f>+E348*F348</f>
        <v>30850.262588590238</v>
      </c>
    </row>
    <row r="349" spans="1:8" ht="14.25" thickBot="1">
      <c r="A349" s="211" t="s">
        <v>519</v>
      </c>
      <c r="B349" s="216" t="str">
        <f>_xlfn.CONCAT(B312,A349)</f>
        <v>2F32F435-aj</v>
      </c>
      <c r="C349" s="34"/>
      <c r="D349" s="187"/>
      <c r="E349" s="29"/>
      <c r="F349" s="28"/>
      <c r="G349" s="33">
        <f>+E349*F349</f>
        <v>0</v>
      </c>
    </row>
    <row r="350" spans="1:8" ht="17.25" customHeight="1" thickBot="1">
      <c r="A350" s="211" t="s">
        <v>520</v>
      </c>
      <c r="B350" s="216" t="str">
        <f>_xlfn.CONCAT(B312,A350)</f>
        <v>2F32F435-ak</v>
      </c>
      <c r="C350" s="34"/>
      <c r="D350" s="185"/>
      <c r="E350" s="26"/>
      <c r="F350" s="36" t="s">
        <v>31</v>
      </c>
      <c r="G350" s="23">
        <f>SUM(G347:G349)</f>
        <v>71683.179840624594</v>
      </c>
    </row>
    <row r="351" spans="1:8" ht="14.25" thickBot="1">
      <c r="A351" s="211" t="s">
        <v>521</v>
      </c>
      <c r="B351" s="216" t="str">
        <f>_xlfn.CONCAT(B312,A351)</f>
        <v>2F32F435-al</v>
      </c>
      <c r="C351" s="37"/>
      <c r="E351" s="38"/>
      <c r="F351" s="22"/>
      <c r="G351" s="39"/>
    </row>
    <row r="352" spans="1:8" ht="23.25" customHeight="1" thickBot="1">
      <c r="A352" s="211" t="s">
        <v>522</v>
      </c>
      <c r="B352" s="216" t="str">
        <f>_xlfn.CONCAT(B312,A352)</f>
        <v>2F32F435-am</v>
      </c>
      <c r="C352" s="40"/>
      <c r="D352" s="193"/>
      <c r="E352" s="41"/>
      <c r="F352" s="42"/>
      <c r="G352" s="43">
        <f>+G335+G344+G350</f>
        <v>80810.183840624595</v>
      </c>
    </row>
    <row r="353" spans="1:8" ht="21">
      <c r="B353" s="212" t="s">
        <v>550</v>
      </c>
      <c r="C353" s="2"/>
      <c r="D353" s="183"/>
      <c r="F353" s="4"/>
      <c r="G353" s="5"/>
    </row>
    <row r="354" spans="1:8" s="45" customFormat="1" ht="34.5" customHeight="1">
      <c r="A354" s="213"/>
      <c r="B354" s="214"/>
      <c r="C354" s="245"/>
      <c r="D354" s="245"/>
      <c r="E354" s="245"/>
      <c r="F354" s="245"/>
      <c r="G354" s="245"/>
      <c r="H354" s="213"/>
    </row>
    <row r="398" spans="1:8" s="45" customFormat="1" ht="34.5" customHeight="1">
      <c r="A398" s="213"/>
      <c r="B398" s="214">
        <v>10</v>
      </c>
      <c r="C398" s="242" t="str">
        <f>_xlfn.XLOOKUP(B398,Cantidades!$A$10:$A$314,Cantidades!$C$10:$C$314,,0,1)</f>
        <v>Retiro de salidas de tomacorrientes e iluminación existentes</v>
      </c>
      <c r="D398" s="243"/>
      <c r="E398" s="243"/>
      <c r="F398" s="243"/>
      <c r="G398" s="244"/>
      <c r="H398" s="213"/>
    </row>
    <row r="399" spans="1:8" s="47" customFormat="1" ht="24.95" customHeight="1" thickBot="1">
      <c r="A399" s="215"/>
      <c r="B399" s="216" t="s">
        <v>550</v>
      </c>
      <c r="C399" s="177"/>
      <c r="D399" s="189"/>
      <c r="E399" s="178"/>
      <c r="F399" s="179" t="s">
        <v>636</v>
      </c>
      <c r="G399" s="209" t="str">
        <f>B400</f>
        <v>1564C36B-</v>
      </c>
      <c r="H399" s="215"/>
    </row>
    <row r="400" spans="1:8" ht="28.5" customHeight="1" thickBot="1">
      <c r="B400" s="212" t="str">
        <f>_xlfn.XLOOKUP(C398,Cantidades!$C$1:$C$314,Cantidades!$B$1:$B$314,"",0,1)</f>
        <v>1564C36B-</v>
      </c>
      <c r="C400" s="10" t="s">
        <v>0</v>
      </c>
      <c r="D400" s="190"/>
      <c r="E400" s="11"/>
      <c r="F400" s="12"/>
      <c r="G400" s="13"/>
    </row>
    <row r="401" spans="1:8" s="47" customFormat="1" ht="23.25" customHeight="1" thickBot="1">
      <c r="A401" s="215"/>
      <c r="B401" s="216" t="s">
        <v>550</v>
      </c>
      <c r="C401" s="14" t="s">
        <v>1</v>
      </c>
      <c r="D401" s="15" t="s">
        <v>2</v>
      </c>
      <c r="E401" s="15" t="s">
        <v>3</v>
      </c>
      <c r="F401" s="16" t="s">
        <v>4</v>
      </c>
      <c r="G401" s="15" t="s">
        <v>5</v>
      </c>
      <c r="H401" s="215"/>
    </row>
    <row r="402" spans="1:8" ht="15">
      <c r="A402" s="211" t="s">
        <v>484</v>
      </c>
      <c r="B402" s="216" t="str">
        <f>_xlfn.CONCAT(B400,A402)</f>
        <v>1564C36B-A</v>
      </c>
      <c r="C402" s="17" t="str">
        <f>_xlfn.XLOOKUP(H402,'Materiales unitario'!$A$1:$A$2500,'Materiales unitario'!B$1:B$2500,,0,1)</f>
        <v>Insumos menores</v>
      </c>
      <c r="D402" s="191" t="str">
        <f>_xlfn.XLOOKUP(H402,'Materiales unitario'!A$1:A$2500,'Materiales unitario'!C$1:C$2500,,0,1)</f>
        <v>un</v>
      </c>
      <c r="E402" s="196">
        <f>_xlfn.XLOOKUP(H402,'Materiales unitario'!$A$1:$A$2500,'Materiales unitario'!D$1:D$2500,,0,1)</f>
        <v>7300</v>
      </c>
      <c r="F402" s="19">
        <v>0.2</v>
      </c>
      <c r="G402" s="20">
        <f>+E402*F402</f>
        <v>1460</v>
      </c>
      <c r="H402" s="217" t="s">
        <v>532</v>
      </c>
    </row>
    <row r="403" spans="1:8">
      <c r="A403" s="211" t="s">
        <v>485</v>
      </c>
      <c r="B403" s="216" t="str">
        <f>_xlfn.CONCAT(B400,A403)</f>
        <v>1564C36B-B</v>
      </c>
      <c r="C403" s="17"/>
      <c r="D403" s="184"/>
      <c r="E403" s="197"/>
      <c r="F403" s="19"/>
      <c r="G403" s="20"/>
    </row>
    <row r="404" spans="1:8">
      <c r="A404" s="211" t="s">
        <v>486</v>
      </c>
      <c r="B404" s="216" t="str">
        <f>_xlfn.CONCAT(B400,A404)</f>
        <v>1564C36B-C</v>
      </c>
      <c r="C404" s="17"/>
      <c r="D404" s="184"/>
      <c r="E404" s="197"/>
      <c r="F404" s="19"/>
      <c r="G404" s="20"/>
    </row>
    <row r="405" spans="1:8">
      <c r="A405" s="211" t="s">
        <v>487</v>
      </c>
      <c r="B405" s="216" t="str">
        <f>_xlfn.CONCAT(B400,A405)</f>
        <v>1564C36B-D</v>
      </c>
      <c r="C405" s="17"/>
      <c r="D405" s="184"/>
      <c r="E405" s="197"/>
      <c r="F405" s="19"/>
      <c r="G405" s="20"/>
    </row>
    <row r="406" spans="1:8">
      <c r="A406" s="211" t="s">
        <v>488</v>
      </c>
      <c r="B406" s="216" t="str">
        <f>_xlfn.CONCAT(B400,A406)</f>
        <v>1564C36B-E</v>
      </c>
      <c r="C406" s="17"/>
      <c r="D406" s="184"/>
      <c r="E406" s="197"/>
      <c r="F406" s="19"/>
      <c r="G406" s="20"/>
    </row>
    <row r="407" spans="1:8">
      <c r="A407" s="211" t="s">
        <v>489</v>
      </c>
      <c r="B407" s="216" t="str">
        <f>_xlfn.CONCAT(B400,A407)</f>
        <v>1564C36B-F</v>
      </c>
      <c r="C407" s="17"/>
      <c r="D407" s="184"/>
      <c r="E407" s="197"/>
      <c r="F407" s="19"/>
      <c r="G407" s="20"/>
    </row>
    <row r="408" spans="1:8">
      <c r="A408" s="211" t="s">
        <v>490</v>
      </c>
      <c r="B408" s="216" t="str">
        <f>_xlfn.CONCAT(B400,A408)</f>
        <v>1564C36B-G</v>
      </c>
      <c r="C408" s="17"/>
      <c r="D408" s="184"/>
      <c r="E408" s="197"/>
      <c r="F408" s="19"/>
      <c r="G408" s="20"/>
    </row>
    <row r="409" spans="1:8">
      <c r="A409" s="211" t="s">
        <v>491</v>
      </c>
      <c r="B409" s="216" t="str">
        <f>_xlfn.CONCAT(B400,A409)</f>
        <v>1564C36B-H</v>
      </c>
      <c r="C409" s="17"/>
      <c r="D409" s="184"/>
      <c r="E409" s="197"/>
      <c r="F409" s="19"/>
      <c r="G409" s="20"/>
    </row>
    <row r="410" spans="1:8">
      <c r="A410" s="211" t="s">
        <v>492</v>
      </c>
      <c r="B410" s="216" t="str">
        <f>_xlfn.CONCAT(B400,A410)</f>
        <v>1564C36B-I</v>
      </c>
      <c r="C410" s="17"/>
      <c r="D410" s="184"/>
      <c r="E410" s="197"/>
      <c r="F410" s="19"/>
      <c r="G410" s="20"/>
    </row>
    <row r="411" spans="1:8">
      <c r="A411" s="211" t="s">
        <v>493</v>
      </c>
      <c r="B411" s="216" t="str">
        <f>_xlfn.CONCAT(B400,A411)</f>
        <v>1564C36B-J</v>
      </c>
      <c r="C411" s="17"/>
      <c r="D411" s="184"/>
      <c r="E411" s="197"/>
      <c r="F411" s="19"/>
      <c r="G411" s="20"/>
    </row>
    <row r="412" spans="1:8">
      <c r="A412" s="211" t="s">
        <v>494</v>
      </c>
      <c r="B412" s="216" t="str">
        <f>_xlfn.CONCAT(B400,A412)</f>
        <v>1564C36B-K</v>
      </c>
      <c r="C412" s="17"/>
      <c r="D412" s="184"/>
      <c r="E412" s="197"/>
      <c r="F412" s="19"/>
      <c r="G412" s="20"/>
    </row>
    <row r="413" spans="1:8">
      <c r="A413" s="211" t="s">
        <v>495</v>
      </c>
      <c r="B413" s="216" t="str">
        <f>_xlfn.CONCAT(B400,A413)</f>
        <v>1564C36B-L</v>
      </c>
      <c r="C413" s="17"/>
      <c r="D413" s="184"/>
      <c r="E413" s="197"/>
      <c r="F413" s="19"/>
      <c r="G413" s="20"/>
    </row>
    <row r="414" spans="1:8">
      <c r="A414" s="211" t="s">
        <v>496</v>
      </c>
      <c r="B414" s="216" t="str">
        <f>_xlfn.CONCAT(B400,A414)</f>
        <v>1564C36B-M</v>
      </c>
      <c r="C414" s="17"/>
      <c r="D414" s="184"/>
      <c r="E414" s="197"/>
      <c r="F414" s="19"/>
      <c r="G414" s="20"/>
    </row>
    <row r="415" spans="1:8">
      <c r="A415" s="211" t="s">
        <v>497</v>
      </c>
      <c r="B415" s="216" t="str">
        <f>_xlfn.CONCAT(B400,A415)</f>
        <v>1564C36B-N</v>
      </c>
      <c r="C415" s="17"/>
      <c r="D415" s="184"/>
      <c r="E415" s="197"/>
      <c r="F415" s="19"/>
      <c r="G415" s="20"/>
    </row>
    <row r="416" spans="1:8">
      <c r="A416" s="211" t="s">
        <v>498</v>
      </c>
      <c r="B416" s="216" t="str">
        <f>_xlfn.CONCAT(B400,A416)</f>
        <v>1564C36B-O</v>
      </c>
      <c r="C416" s="17"/>
      <c r="D416" s="184"/>
      <c r="E416" s="197"/>
      <c r="F416" s="19"/>
      <c r="G416" s="20"/>
    </row>
    <row r="417" spans="1:8">
      <c r="A417" s="211" t="s">
        <v>499</v>
      </c>
      <c r="B417" s="216" t="str">
        <f>_xlfn.CONCAT(B400,A417)</f>
        <v>1564C36B-P</v>
      </c>
      <c r="C417" s="17"/>
      <c r="D417" s="184"/>
      <c r="E417" s="197"/>
      <c r="F417" s="19"/>
      <c r="G417" s="20"/>
    </row>
    <row r="418" spans="1:8">
      <c r="A418" s="211" t="s">
        <v>500</v>
      </c>
      <c r="B418" s="216" t="str">
        <f>_xlfn.CONCAT(B400,A418)</f>
        <v>1564C36B-Q</v>
      </c>
      <c r="C418" s="17"/>
      <c r="D418" s="184"/>
      <c r="E418" s="197"/>
      <c r="F418" s="19"/>
      <c r="G418" s="20"/>
    </row>
    <row r="419" spans="1:8">
      <c r="A419" s="211" t="s">
        <v>501</v>
      </c>
      <c r="B419" s="216" t="str">
        <f>_xlfn.CONCAT(B400,A419)</f>
        <v>1564C36B-R</v>
      </c>
      <c r="C419" s="17"/>
      <c r="D419" s="184"/>
      <c r="E419" s="197"/>
      <c r="F419" s="19"/>
      <c r="G419" s="20"/>
    </row>
    <row r="420" spans="1:8">
      <c r="A420" s="211" t="s">
        <v>502</v>
      </c>
      <c r="B420" s="216" t="str">
        <f>_xlfn.CONCAT(B400,A420)</f>
        <v>1564C36B-S</v>
      </c>
      <c r="C420" s="17"/>
      <c r="D420" s="184"/>
      <c r="E420" s="197"/>
      <c r="F420" s="19"/>
      <c r="G420" s="20"/>
    </row>
    <row r="421" spans="1:8">
      <c r="A421" s="211" t="s">
        <v>503</v>
      </c>
      <c r="B421" s="216" t="str">
        <f>_xlfn.CONCAT(B400,A421)</f>
        <v>1564C36B-T</v>
      </c>
      <c r="C421" s="17"/>
      <c r="D421" s="184"/>
      <c r="E421" s="197"/>
      <c r="F421" s="19"/>
      <c r="G421" s="20"/>
    </row>
    <row r="422" spans="1:8" ht="14.25" thickBot="1">
      <c r="A422" s="211" t="s">
        <v>504</v>
      </c>
      <c r="B422" s="216" t="str">
        <f>_xlfn.CONCAT(B400,A422)</f>
        <v>1564C36B-U</v>
      </c>
      <c r="C422" s="17"/>
      <c r="D422" s="184"/>
      <c r="E422" s="197"/>
      <c r="F422" s="19"/>
      <c r="G422" s="20"/>
    </row>
    <row r="423" spans="1:8" ht="16.5" customHeight="1" thickBot="1">
      <c r="A423" s="211" t="s">
        <v>505</v>
      </c>
      <c r="B423" s="216" t="str">
        <f>_xlfn.CONCAT(B400,A423)</f>
        <v>1564C36B-V</v>
      </c>
      <c r="C423" s="17" t="s">
        <v>17</v>
      </c>
      <c r="D423" s="192" t="s">
        <v>17</v>
      </c>
      <c r="E423" s="18"/>
      <c r="F423" s="22" t="s">
        <v>18</v>
      </c>
      <c r="G423" s="23">
        <f>SUM(G402:G422)</f>
        <v>1460</v>
      </c>
    </row>
    <row r="424" spans="1:8" ht="28.5" customHeight="1" thickBot="1">
      <c r="A424" s="211" t="s">
        <v>506</v>
      </c>
      <c r="B424" s="216" t="str">
        <f>_xlfn.CONCAT(B400,A424)</f>
        <v>1564C36B-W</v>
      </c>
      <c r="C424" s="10" t="s">
        <v>19</v>
      </c>
      <c r="D424" s="190"/>
      <c r="E424" s="11"/>
      <c r="F424" s="12"/>
      <c r="G424" s="13"/>
    </row>
    <row r="425" spans="1:8" s="47" customFormat="1" ht="23.25" customHeight="1" thickBot="1">
      <c r="A425" s="211" t="s">
        <v>507</v>
      </c>
      <c r="B425" s="216" t="str">
        <f>_xlfn.CONCAT(B400,A425)</f>
        <v>1564C36B-X</v>
      </c>
      <c r="C425" s="14" t="s">
        <v>1</v>
      </c>
      <c r="D425" s="15"/>
      <c r="E425" s="15" t="s">
        <v>20</v>
      </c>
      <c r="F425" s="16" t="s">
        <v>21</v>
      </c>
      <c r="G425" s="15" t="s">
        <v>5</v>
      </c>
      <c r="H425" s="215"/>
    </row>
    <row r="426" spans="1:8">
      <c r="A426" s="211" t="s">
        <v>508</v>
      </c>
      <c r="B426" s="216" t="str">
        <f>_xlfn.CONCAT(B400,A426)</f>
        <v>1564C36B-Y</v>
      </c>
      <c r="C426" s="24" t="s">
        <v>22</v>
      </c>
      <c r="D426" s="184"/>
      <c r="E426" s="25">
        <f>_xlfn.XLOOKUP(C426,'H-MO'!B$7:B$30,'H-MO'!D$7:D$30,,0,1)</f>
        <v>2436.5624999999995</v>
      </c>
      <c r="F426" s="19">
        <v>0.11255652173913044</v>
      </c>
      <c r="G426" s="33">
        <f t="shared" ref="G426:G431" si="8">+E426*F426</f>
        <v>274.25099999999998</v>
      </c>
    </row>
    <row r="427" spans="1:8">
      <c r="A427" s="211" t="s">
        <v>509</v>
      </c>
      <c r="B427" s="216" t="str">
        <f>_xlfn.CONCAT(B400,A427)</f>
        <v>1564C36B-Z</v>
      </c>
      <c r="C427" s="24" t="s">
        <v>23</v>
      </c>
      <c r="D427" s="184"/>
      <c r="E427" s="25">
        <f>_xlfn.XLOOKUP(C427,'H-MO'!B$7:B$30,'H-MO'!D$7:D$30,,0,1)</f>
        <v>1461.9374999999998</v>
      </c>
      <c r="F427" s="19">
        <v>0.28139130434782611</v>
      </c>
      <c r="G427" s="33">
        <f t="shared" si="8"/>
        <v>411.37649999999996</v>
      </c>
    </row>
    <row r="428" spans="1:8">
      <c r="A428" s="211" t="s">
        <v>510</v>
      </c>
      <c r="B428" s="216" t="str">
        <f>_xlfn.CONCAT(B400,A428)</f>
        <v>1564C36B-aa</v>
      </c>
      <c r="C428" s="24" t="s">
        <v>24</v>
      </c>
      <c r="D428" s="185"/>
      <c r="E428" s="25">
        <f>_xlfn.XLOOKUP(C428,'H-MO'!B$7:B$30,'H-MO'!D$7:D$30,,0,1)</f>
        <v>29238.749999999996</v>
      </c>
      <c r="F428" s="28">
        <v>4.6898550724637682E-3</v>
      </c>
      <c r="G428" s="33">
        <f t="shared" si="8"/>
        <v>137.12549999999999</v>
      </c>
    </row>
    <row r="429" spans="1:8">
      <c r="A429" s="211" t="s">
        <v>511</v>
      </c>
      <c r="B429" s="216" t="str">
        <f>_xlfn.CONCAT(B400,A429)</f>
        <v>1564C36B-ab</v>
      </c>
      <c r="C429" s="24" t="s">
        <v>25</v>
      </c>
      <c r="D429" s="185"/>
      <c r="E429" s="25">
        <f>_xlfn.XLOOKUP(C429,'H-MO'!B$7:B$30,'H-MO'!D$7:D$30,,0,1)</f>
        <v>2761.4374999999995</v>
      </c>
      <c r="F429" s="28">
        <v>9.9314578005115103E-2</v>
      </c>
      <c r="G429" s="33">
        <f t="shared" si="8"/>
        <v>274.25099999999998</v>
      </c>
    </row>
    <row r="430" spans="1:8">
      <c r="A430" s="211" t="s">
        <v>512</v>
      </c>
      <c r="B430" s="216" t="str">
        <f>_xlfn.CONCAT(B400,A430)</f>
        <v>1564C36B-ac</v>
      </c>
      <c r="C430" s="24"/>
      <c r="D430" s="185"/>
      <c r="E430" s="29"/>
      <c r="F430" s="28"/>
      <c r="G430" s="33">
        <f t="shared" si="8"/>
        <v>0</v>
      </c>
    </row>
    <row r="431" spans="1:8" ht="14.25" thickBot="1">
      <c r="A431" s="211" t="s">
        <v>513</v>
      </c>
      <c r="B431" s="216" t="str">
        <f>_xlfn.CONCAT(B400,A431)</f>
        <v>1564C36B-ad</v>
      </c>
      <c r="C431" s="24"/>
      <c r="D431" s="185"/>
      <c r="E431" s="29"/>
      <c r="F431" s="28"/>
      <c r="G431" s="33">
        <f t="shared" si="8"/>
        <v>0</v>
      </c>
    </row>
    <row r="432" spans="1:8" ht="16.5" customHeight="1" thickBot="1">
      <c r="A432" s="211" t="s">
        <v>514</v>
      </c>
      <c r="B432" s="216" t="str">
        <f>_xlfn.CONCAT(B400,A432)</f>
        <v>1564C36B-ae</v>
      </c>
      <c r="C432" s="17"/>
      <c r="D432" s="192"/>
      <c r="E432" s="18"/>
      <c r="F432" s="22" t="s">
        <v>26</v>
      </c>
      <c r="G432" s="23">
        <f>SUM(G426:G431)</f>
        <v>1097.0039999999999</v>
      </c>
    </row>
    <row r="433" spans="1:8" ht="28.5" customHeight="1" thickBot="1">
      <c r="A433" s="211" t="s">
        <v>515</v>
      </c>
      <c r="B433" s="216" t="str">
        <f>_xlfn.CONCAT(B400,A433)</f>
        <v>1564C36B-af</v>
      </c>
      <c r="C433" s="10" t="s">
        <v>27</v>
      </c>
      <c r="D433" s="190"/>
      <c r="E433" s="11"/>
      <c r="F433" s="12"/>
      <c r="G433" s="13"/>
    </row>
    <row r="434" spans="1:8" s="47" customFormat="1" ht="23.25" customHeight="1" thickBot="1">
      <c r="A434" s="211" t="s">
        <v>516</v>
      </c>
      <c r="B434" s="216" t="str">
        <f>_xlfn.CONCAT(B400,A434)</f>
        <v>1564C36B-ag</v>
      </c>
      <c r="C434" s="14" t="s">
        <v>1</v>
      </c>
      <c r="D434" s="15" t="s">
        <v>28</v>
      </c>
      <c r="E434" s="15" t="s">
        <v>20</v>
      </c>
      <c r="F434" s="16" t="s">
        <v>21</v>
      </c>
      <c r="G434" s="15" t="s">
        <v>5</v>
      </c>
      <c r="H434" s="215"/>
    </row>
    <row r="435" spans="1:8">
      <c r="A435" s="211" t="s">
        <v>517</v>
      </c>
      <c r="B435" s="216" t="str">
        <f>_xlfn.CONCAT(B400,A435)</f>
        <v>1564C36B-ah</v>
      </c>
      <c r="C435" s="30" t="s">
        <v>29</v>
      </c>
      <c r="D435" s="186">
        <f>'H-MO'!$N$77</f>
        <v>725918.52892505517</v>
      </c>
      <c r="E435" s="31">
        <f>+D435/8</f>
        <v>90739.816115631897</v>
      </c>
      <c r="F435" s="32">
        <v>0.05</v>
      </c>
      <c r="G435" s="33">
        <f>+E435*F435</f>
        <v>4536.9908057815946</v>
      </c>
    </row>
    <row r="436" spans="1:8">
      <c r="A436" s="211" t="s">
        <v>518</v>
      </c>
      <c r="B436" s="216" t="str">
        <f>_xlfn.CONCAT(B400,A436)</f>
        <v>1564C36B-ai</v>
      </c>
      <c r="C436" s="34" t="s">
        <v>30</v>
      </c>
      <c r="D436" s="187">
        <f>'H-MO'!$N$86</f>
        <v>685561.39085756091</v>
      </c>
      <c r="E436" s="29">
        <f>+D436/8</f>
        <v>85695.173857195114</v>
      </c>
      <c r="F436" s="28"/>
      <c r="G436" s="33">
        <f>+E436*F436</f>
        <v>0</v>
      </c>
    </row>
    <row r="437" spans="1:8" ht="14.25" thickBot="1">
      <c r="A437" s="211" t="s">
        <v>519</v>
      </c>
      <c r="B437" s="216" t="str">
        <f>_xlfn.CONCAT(B400,A437)</f>
        <v>1564C36B-aj</v>
      </c>
      <c r="C437" s="34"/>
      <c r="D437" s="187"/>
      <c r="E437" s="29"/>
      <c r="F437" s="28"/>
      <c r="G437" s="33">
        <f>+E437*F437</f>
        <v>0</v>
      </c>
    </row>
    <row r="438" spans="1:8" ht="17.25" customHeight="1" thickBot="1">
      <c r="A438" s="211" t="s">
        <v>520</v>
      </c>
      <c r="B438" s="216" t="str">
        <f>_xlfn.CONCAT(B400,A438)</f>
        <v>1564C36B-ak</v>
      </c>
      <c r="C438" s="34"/>
      <c r="D438" s="185"/>
      <c r="E438" s="26"/>
      <c r="F438" s="36" t="s">
        <v>31</v>
      </c>
      <c r="G438" s="23">
        <f>SUM(G435:G437)</f>
        <v>4536.9908057815946</v>
      </c>
    </row>
    <row r="439" spans="1:8" ht="14.25" thickBot="1">
      <c r="A439" s="211" t="s">
        <v>521</v>
      </c>
      <c r="B439" s="216" t="str">
        <f>_xlfn.CONCAT(B400,A439)</f>
        <v>1564C36B-al</v>
      </c>
      <c r="C439" s="37"/>
      <c r="E439" s="38"/>
      <c r="F439" s="22"/>
      <c r="G439" s="39"/>
    </row>
    <row r="440" spans="1:8" ht="23.25" customHeight="1" thickBot="1">
      <c r="A440" s="211" t="s">
        <v>522</v>
      </c>
      <c r="B440" s="216" t="str">
        <f>_xlfn.CONCAT(B400,A440)</f>
        <v>1564C36B-am</v>
      </c>
      <c r="C440" s="40"/>
      <c r="D440" s="193"/>
      <c r="E440" s="41"/>
      <c r="F440" s="42"/>
      <c r="G440" s="43">
        <f>+G423+G432+G438</f>
        <v>7093.9948057815946</v>
      </c>
    </row>
    <row r="441" spans="1:8" ht="21.75" thickBot="1">
      <c r="B441" s="212" t="s">
        <v>550</v>
      </c>
      <c r="C441" s="2"/>
      <c r="D441" s="183"/>
      <c r="F441" s="4"/>
      <c r="G441" s="5"/>
    </row>
    <row r="442" spans="1:8" s="45" customFormat="1" ht="34.5" customHeight="1">
      <c r="A442" s="213"/>
      <c r="B442" s="214">
        <v>11</v>
      </c>
      <c r="C442" s="242" t="str">
        <f>_xlfn.XLOOKUP(B442,Cantidades!$A$10:$A$314,Cantidades!$C$10:$C$314,,0,1)</f>
        <v>Suministro e instalación de tablero General de Distribución (TGD) según diagrama unifilar</v>
      </c>
      <c r="D442" s="243"/>
      <c r="E442" s="243"/>
      <c r="F442" s="243"/>
      <c r="G442" s="244"/>
      <c r="H442" s="213"/>
    </row>
    <row r="443" spans="1:8" s="47" customFormat="1" ht="24.95" customHeight="1" thickBot="1">
      <c r="A443" s="215"/>
      <c r="B443" s="216" t="s">
        <v>550</v>
      </c>
      <c r="C443" s="177"/>
      <c r="D443" s="189"/>
      <c r="E443" s="178"/>
      <c r="F443" s="179" t="s">
        <v>636</v>
      </c>
      <c r="G443" s="209" t="str">
        <f>B444</f>
        <v>20F92DB3-</v>
      </c>
      <c r="H443" s="215"/>
    </row>
    <row r="444" spans="1:8" ht="28.5" customHeight="1" thickBot="1">
      <c r="B444" s="212" t="str">
        <f>_xlfn.XLOOKUP(C442,Cantidades!$C$1:$C$314,Cantidades!$B$1:$B$314,"",0,1)</f>
        <v>20F92DB3-</v>
      </c>
      <c r="C444" s="10" t="s">
        <v>0</v>
      </c>
      <c r="D444" s="190"/>
      <c r="E444" s="11"/>
      <c r="F444" s="12"/>
      <c r="G444" s="13"/>
    </row>
    <row r="445" spans="1:8" s="47" customFormat="1" ht="23.25" customHeight="1" thickBot="1">
      <c r="A445" s="215"/>
      <c r="B445" s="216" t="s">
        <v>550</v>
      </c>
      <c r="C445" s="14" t="s">
        <v>1</v>
      </c>
      <c r="D445" s="15" t="s">
        <v>2</v>
      </c>
      <c r="E445" s="15" t="s">
        <v>3</v>
      </c>
      <c r="F445" s="16" t="s">
        <v>4</v>
      </c>
      <c r="G445" s="15" t="s">
        <v>5</v>
      </c>
      <c r="H445" s="215"/>
    </row>
    <row r="446" spans="1:8" ht="15">
      <c r="A446" s="211" t="s">
        <v>484</v>
      </c>
      <c r="B446" s="216" t="str">
        <f>_xlfn.CONCAT(B444,A446)</f>
        <v>20F92DB3-A</v>
      </c>
      <c r="C446" s="17" t="str">
        <f>_xlfn.XLOOKUP(H446,'Materiales unitario'!$A$1:$A$2500,'Materiales unitario'!B$1:B$2500,,0,1)</f>
        <v>Insumos menores</v>
      </c>
      <c r="D446" s="184" t="str">
        <f>_xlfn.XLOOKUP(H446,'Materiales unitario'!A$1:A$2500,'Materiales unitario'!C$1:C$2500,,0,1)</f>
        <v>un</v>
      </c>
      <c r="E446" s="197">
        <f>_xlfn.XLOOKUP(H446,'Materiales unitario'!$A$1:$A$2500,'Materiales unitario'!D$1:D$2500,,0,1)</f>
        <v>7300</v>
      </c>
      <c r="F446" s="19">
        <v>2</v>
      </c>
      <c r="G446" s="20">
        <f>+E446*F446</f>
        <v>14600</v>
      </c>
      <c r="H446" s="217" t="s">
        <v>532</v>
      </c>
    </row>
    <row r="447" spans="1:8" ht="15">
      <c r="A447" s="211" t="s">
        <v>485</v>
      </c>
      <c r="B447" s="216" t="str">
        <f>_xlfn.CONCAT(B444,A447)</f>
        <v>20F92DB3-B</v>
      </c>
      <c r="C447" s="17" t="str">
        <f>_xlfn.XLOOKUP(H447,'Materiales unitario'!$A$1:$A$2500,'Materiales unitario'!B$1:B$2500,,0,1)</f>
        <v>Accesorios de anclaje y fijacion.</v>
      </c>
      <c r="D447" s="184" t="str">
        <f>_xlfn.XLOOKUP(H447,'Materiales unitario'!A$1:A$2500,'Materiales unitario'!C$1:C$2500,,0,1)</f>
        <v>un</v>
      </c>
      <c r="E447" s="197">
        <f>_xlfn.XLOOKUP(H447,'Materiales unitario'!$A$1:$A$2500,'Materiales unitario'!D$1:D$2500,,0,1)</f>
        <v>10000</v>
      </c>
      <c r="F447" s="19">
        <v>1</v>
      </c>
      <c r="G447" s="20">
        <f>+E447*F447</f>
        <v>10000</v>
      </c>
      <c r="H447" s="217" t="s">
        <v>222</v>
      </c>
    </row>
    <row r="448" spans="1:8">
      <c r="A448" s="211" t="s">
        <v>486</v>
      </c>
      <c r="B448" s="216" t="str">
        <f>_xlfn.CONCAT(B444,A448)</f>
        <v>20F92DB3-C</v>
      </c>
      <c r="C448" s="17" t="s">
        <v>553</v>
      </c>
      <c r="D448" s="184" t="s">
        <v>9</v>
      </c>
      <c r="E448" s="197">
        <v>4755890</v>
      </c>
      <c r="F448" s="19">
        <v>1</v>
      </c>
      <c r="G448" s="20">
        <f>+E448*F448</f>
        <v>4755890</v>
      </c>
    </row>
    <row r="449" spans="1:7">
      <c r="A449" s="211" t="s">
        <v>487</v>
      </c>
      <c r="B449" s="216" t="str">
        <f>_xlfn.CONCAT(B444,A449)</f>
        <v>20F92DB3-D</v>
      </c>
      <c r="C449" s="17"/>
      <c r="D449" s="184"/>
      <c r="E449" s="197"/>
      <c r="F449" s="19"/>
      <c r="G449" s="20"/>
    </row>
    <row r="450" spans="1:7">
      <c r="A450" s="211" t="s">
        <v>488</v>
      </c>
      <c r="B450" s="216" t="str">
        <f>_xlfn.CONCAT(B444,A450)</f>
        <v>20F92DB3-E</v>
      </c>
      <c r="C450" s="17"/>
      <c r="D450" s="184"/>
      <c r="E450" s="197"/>
      <c r="F450" s="19"/>
      <c r="G450" s="20"/>
    </row>
    <row r="451" spans="1:7">
      <c r="A451" s="211" t="s">
        <v>489</v>
      </c>
      <c r="B451" s="216" t="str">
        <f>_xlfn.CONCAT(B444,A451)</f>
        <v>20F92DB3-F</v>
      </c>
      <c r="C451" s="17"/>
      <c r="D451" s="184"/>
      <c r="E451" s="197"/>
      <c r="F451" s="19"/>
      <c r="G451" s="20"/>
    </row>
    <row r="452" spans="1:7">
      <c r="A452" s="211" t="s">
        <v>490</v>
      </c>
      <c r="B452" s="216" t="str">
        <f>_xlfn.CONCAT(B444,A452)</f>
        <v>20F92DB3-G</v>
      </c>
      <c r="C452" s="17"/>
      <c r="D452" s="184"/>
      <c r="E452" s="197"/>
      <c r="F452" s="19"/>
      <c r="G452" s="20"/>
    </row>
    <row r="453" spans="1:7">
      <c r="A453" s="211" t="s">
        <v>491</v>
      </c>
      <c r="B453" s="216" t="str">
        <f>_xlfn.CONCAT(B444,A453)</f>
        <v>20F92DB3-H</v>
      </c>
      <c r="C453" s="17"/>
      <c r="D453" s="184"/>
      <c r="E453" s="197"/>
      <c r="F453" s="19"/>
      <c r="G453" s="20"/>
    </row>
    <row r="454" spans="1:7">
      <c r="A454" s="211" t="s">
        <v>492</v>
      </c>
      <c r="B454" s="216" t="str">
        <f>_xlfn.CONCAT(B444,A454)</f>
        <v>20F92DB3-I</v>
      </c>
      <c r="C454" s="17"/>
      <c r="D454" s="184"/>
      <c r="E454" s="197"/>
      <c r="F454" s="19"/>
      <c r="G454" s="20"/>
    </row>
    <row r="455" spans="1:7">
      <c r="A455" s="211" t="s">
        <v>493</v>
      </c>
      <c r="B455" s="216" t="str">
        <f>_xlfn.CONCAT(B444,A455)</f>
        <v>20F92DB3-J</v>
      </c>
      <c r="C455" s="17"/>
      <c r="D455" s="184"/>
      <c r="E455" s="197"/>
      <c r="F455" s="19"/>
      <c r="G455" s="20"/>
    </row>
    <row r="456" spans="1:7">
      <c r="A456" s="211" t="s">
        <v>494</v>
      </c>
      <c r="B456" s="216" t="str">
        <f>_xlfn.CONCAT(B444,A456)</f>
        <v>20F92DB3-K</v>
      </c>
      <c r="C456" s="17"/>
      <c r="D456" s="184"/>
      <c r="E456" s="197"/>
      <c r="F456" s="19"/>
      <c r="G456" s="20"/>
    </row>
    <row r="457" spans="1:7">
      <c r="A457" s="211" t="s">
        <v>495</v>
      </c>
      <c r="B457" s="216" t="str">
        <f>_xlfn.CONCAT(B444,A457)</f>
        <v>20F92DB3-L</v>
      </c>
      <c r="C457" s="17"/>
      <c r="D457" s="184"/>
      <c r="E457" s="197"/>
      <c r="F457" s="19"/>
      <c r="G457" s="20"/>
    </row>
    <row r="458" spans="1:7">
      <c r="A458" s="211" t="s">
        <v>496</v>
      </c>
      <c r="B458" s="216" t="str">
        <f>_xlfn.CONCAT(B444,A458)</f>
        <v>20F92DB3-M</v>
      </c>
      <c r="C458" s="17"/>
      <c r="D458" s="184"/>
      <c r="E458" s="197"/>
      <c r="F458" s="19"/>
      <c r="G458" s="20"/>
    </row>
    <row r="459" spans="1:7">
      <c r="A459" s="211" t="s">
        <v>497</v>
      </c>
      <c r="B459" s="216" t="str">
        <f>_xlfn.CONCAT(B444,A459)</f>
        <v>20F92DB3-N</v>
      </c>
      <c r="C459" s="17"/>
      <c r="D459" s="184"/>
      <c r="E459" s="197"/>
      <c r="F459" s="19"/>
      <c r="G459" s="20"/>
    </row>
    <row r="460" spans="1:7">
      <c r="A460" s="211" t="s">
        <v>498</v>
      </c>
      <c r="B460" s="216" t="str">
        <f>_xlfn.CONCAT(B444,A460)</f>
        <v>20F92DB3-O</v>
      </c>
      <c r="C460" s="17"/>
      <c r="D460" s="184"/>
      <c r="E460" s="197"/>
      <c r="F460" s="19"/>
      <c r="G460" s="20"/>
    </row>
    <row r="461" spans="1:7">
      <c r="A461" s="211" t="s">
        <v>499</v>
      </c>
      <c r="B461" s="216" t="str">
        <f>_xlfn.CONCAT(B444,A461)</f>
        <v>20F92DB3-P</v>
      </c>
      <c r="C461" s="17"/>
      <c r="D461" s="184"/>
      <c r="E461" s="197"/>
      <c r="F461" s="19"/>
      <c r="G461" s="20"/>
    </row>
    <row r="462" spans="1:7">
      <c r="A462" s="211" t="s">
        <v>500</v>
      </c>
      <c r="B462" s="216" t="str">
        <f>_xlfn.CONCAT(B444,A462)</f>
        <v>20F92DB3-Q</v>
      </c>
      <c r="C462" s="17"/>
      <c r="D462" s="184"/>
      <c r="E462" s="197"/>
      <c r="F462" s="19"/>
      <c r="G462" s="20"/>
    </row>
    <row r="463" spans="1:7">
      <c r="A463" s="211" t="s">
        <v>501</v>
      </c>
      <c r="B463" s="216" t="str">
        <f>_xlfn.CONCAT(B444,A463)</f>
        <v>20F92DB3-R</v>
      </c>
      <c r="C463" s="17"/>
      <c r="D463" s="184"/>
      <c r="E463" s="197"/>
      <c r="F463" s="19"/>
      <c r="G463" s="20"/>
    </row>
    <row r="464" spans="1:7">
      <c r="A464" s="211" t="s">
        <v>502</v>
      </c>
      <c r="B464" s="216" t="str">
        <f>_xlfn.CONCAT(B444,A464)</f>
        <v>20F92DB3-S</v>
      </c>
      <c r="C464" s="17"/>
      <c r="D464" s="184"/>
      <c r="E464" s="197"/>
      <c r="F464" s="19"/>
      <c r="G464" s="20"/>
    </row>
    <row r="465" spans="1:8">
      <c r="A465" s="211" t="s">
        <v>503</v>
      </c>
      <c r="B465" s="216" t="str">
        <f>_xlfn.CONCAT(B444,A465)</f>
        <v>20F92DB3-T</v>
      </c>
      <c r="C465" s="17"/>
      <c r="D465" s="184"/>
      <c r="E465" s="197"/>
      <c r="F465" s="19"/>
      <c r="G465" s="20"/>
    </row>
    <row r="466" spans="1:8" ht="14.25" thickBot="1">
      <c r="A466" s="211" t="s">
        <v>504</v>
      </c>
      <c r="B466" s="216" t="str">
        <f>_xlfn.CONCAT(B444,A466)</f>
        <v>20F92DB3-U</v>
      </c>
      <c r="C466" s="17"/>
      <c r="D466" s="184"/>
      <c r="E466" s="197"/>
      <c r="F466" s="19"/>
      <c r="G466" s="20"/>
    </row>
    <row r="467" spans="1:8" ht="16.5" customHeight="1" thickBot="1">
      <c r="A467" s="211" t="s">
        <v>505</v>
      </c>
      <c r="B467" s="216" t="str">
        <f>_xlfn.CONCAT(B444,A467)</f>
        <v>20F92DB3-V</v>
      </c>
      <c r="C467" s="17" t="s">
        <v>17</v>
      </c>
      <c r="D467" s="192" t="s">
        <v>17</v>
      </c>
      <c r="E467" s="18"/>
      <c r="F467" s="22" t="s">
        <v>18</v>
      </c>
      <c r="G467" s="23">
        <f>SUM(G446:G466)</f>
        <v>4780490</v>
      </c>
    </row>
    <row r="468" spans="1:8" ht="28.5" customHeight="1" thickBot="1">
      <c r="A468" s="211" t="s">
        <v>506</v>
      </c>
      <c r="B468" s="216" t="str">
        <f>_xlfn.CONCAT(B444,A468)</f>
        <v>20F92DB3-W</v>
      </c>
      <c r="C468" s="10" t="s">
        <v>19</v>
      </c>
      <c r="D468" s="190"/>
      <c r="E468" s="11"/>
      <c r="F468" s="12"/>
      <c r="G468" s="13"/>
    </row>
    <row r="469" spans="1:8" s="47" customFormat="1" ht="23.25" customHeight="1" thickBot="1">
      <c r="A469" s="211" t="s">
        <v>507</v>
      </c>
      <c r="B469" s="216" t="str">
        <f>_xlfn.CONCAT(B444,A469)</f>
        <v>20F92DB3-X</v>
      </c>
      <c r="C469" s="14" t="s">
        <v>1</v>
      </c>
      <c r="D469" s="15"/>
      <c r="E469" s="15" t="s">
        <v>20</v>
      </c>
      <c r="F469" s="16" t="s">
        <v>21</v>
      </c>
      <c r="G469" s="15" t="s">
        <v>5</v>
      </c>
      <c r="H469" s="215"/>
    </row>
    <row r="470" spans="1:8">
      <c r="A470" s="211" t="s">
        <v>508</v>
      </c>
      <c r="B470" s="216" t="str">
        <f>_xlfn.CONCAT(B444,A470)</f>
        <v>20F92DB3-Y</v>
      </c>
      <c r="C470" s="24" t="s">
        <v>22</v>
      </c>
      <c r="D470" s="184"/>
      <c r="E470" s="25">
        <f>_xlfn.XLOOKUP(C470,'H-MO'!B$7:B$30,'H-MO'!D$7:D$30,,0,1)</f>
        <v>2436.5624999999995</v>
      </c>
      <c r="F470" s="19">
        <v>12</v>
      </c>
      <c r="G470" s="33">
        <f t="shared" ref="G470:G475" si="9">+E470*F470</f>
        <v>29238.749999999993</v>
      </c>
    </row>
    <row r="471" spans="1:8">
      <c r="A471" s="211" t="s">
        <v>509</v>
      </c>
      <c r="B471" s="216" t="str">
        <f>_xlfn.CONCAT(B444,A471)</f>
        <v>20F92DB3-Z</v>
      </c>
      <c r="C471" s="24" t="s">
        <v>23</v>
      </c>
      <c r="D471" s="184"/>
      <c r="E471" s="25">
        <f>_xlfn.XLOOKUP(C471,'H-MO'!B$7:B$30,'H-MO'!D$7:D$30,,0,1)</f>
        <v>1461.9374999999998</v>
      </c>
      <c r="F471" s="19">
        <v>4</v>
      </c>
      <c r="G471" s="33">
        <f t="shared" si="9"/>
        <v>5847.7499999999991</v>
      </c>
    </row>
    <row r="472" spans="1:8">
      <c r="A472" s="211" t="s">
        <v>510</v>
      </c>
      <c r="B472" s="216" t="str">
        <f>_xlfn.CONCAT(B444,A472)</f>
        <v>20F92DB3-aa</v>
      </c>
      <c r="C472" s="24" t="s">
        <v>24</v>
      </c>
      <c r="D472" s="185"/>
      <c r="E472" s="25">
        <f>_xlfn.XLOOKUP(C472,'H-MO'!B$7:B$30,'H-MO'!D$7:D$30,,0,1)</f>
        <v>29238.749999999996</v>
      </c>
      <c r="F472" s="28">
        <v>3</v>
      </c>
      <c r="G472" s="33">
        <f t="shared" si="9"/>
        <v>87716.249999999985</v>
      </c>
    </row>
    <row r="473" spans="1:8">
      <c r="A473" s="211" t="s">
        <v>511</v>
      </c>
      <c r="B473" s="216" t="str">
        <f>_xlfn.CONCAT(B444,A473)</f>
        <v>20F92DB3-ab</v>
      </c>
      <c r="C473" s="24" t="s">
        <v>25</v>
      </c>
      <c r="D473" s="185"/>
      <c r="E473" s="25">
        <f>_xlfn.XLOOKUP(C473,'H-MO'!B$7:B$30,'H-MO'!D$7:D$30,,0,1)</f>
        <v>2761.4374999999995</v>
      </c>
      <c r="F473" s="28">
        <v>5</v>
      </c>
      <c r="G473" s="33">
        <f t="shared" si="9"/>
        <v>13807.187499999998</v>
      </c>
    </row>
    <row r="474" spans="1:8">
      <c r="A474" s="211" t="s">
        <v>512</v>
      </c>
      <c r="B474" s="216" t="str">
        <f>_xlfn.CONCAT(B444,A474)</f>
        <v>20F92DB3-ac</v>
      </c>
      <c r="C474" s="24"/>
      <c r="D474" s="185"/>
      <c r="E474" s="29"/>
      <c r="F474" s="28"/>
      <c r="G474" s="33">
        <f t="shared" si="9"/>
        <v>0</v>
      </c>
    </row>
    <row r="475" spans="1:8" ht="14.25" thickBot="1">
      <c r="A475" s="211" t="s">
        <v>513</v>
      </c>
      <c r="B475" s="216" t="str">
        <f>_xlfn.CONCAT(B444,A475)</f>
        <v>20F92DB3-ad</v>
      </c>
      <c r="C475" s="24"/>
      <c r="D475" s="185"/>
      <c r="E475" s="29"/>
      <c r="F475" s="28"/>
      <c r="G475" s="33">
        <f t="shared" si="9"/>
        <v>0</v>
      </c>
    </row>
    <row r="476" spans="1:8" ht="16.5" customHeight="1" thickBot="1">
      <c r="A476" s="211" t="s">
        <v>514</v>
      </c>
      <c r="B476" s="216" t="str">
        <f>_xlfn.CONCAT(B444,A476)</f>
        <v>20F92DB3-ae</v>
      </c>
      <c r="C476" s="17"/>
      <c r="D476" s="192"/>
      <c r="E476" s="18"/>
      <c r="F476" s="22" t="s">
        <v>26</v>
      </c>
      <c r="G476" s="23">
        <f>SUM(G470:G475)</f>
        <v>136609.93749999997</v>
      </c>
    </row>
    <row r="477" spans="1:8" ht="28.5" customHeight="1" thickBot="1">
      <c r="A477" s="211" t="s">
        <v>515</v>
      </c>
      <c r="B477" s="216" t="str">
        <f>_xlfn.CONCAT(B444,A477)</f>
        <v>20F92DB3-af</v>
      </c>
      <c r="C477" s="10" t="s">
        <v>27</v>
      </c>
      <c r="D477" s="190"/>
      <c r="E477" s="11"/>
      <c r="F477" s="12"/>
      <c r="G477" s="13"/>
    </row>
    <row r="478" spans="1:8" s="47" customFormat="1" ht="23.25" customHeight="1" thickBot="1">
      <c r="A478" s="211" t="s">
        <v>516</v>
      </c>
      <c r="B478" s="216" t="str">
        <f>_xlfn.CONCAT(B444,A478)</f>
        <v>20F92DB3-ag</v>
      </c>
      <c r="C478" s="14" t="s">
        <v>1</v>
      </c>
      <c r="D478" s="15" t="s">
        <v>28</v>
      </c>
      <c r="E478" s="15" t="s">
        <v>20</v>
      </c>
      <c r="F478" s="16" t="s">
        <v>21</v>
      </c>
      <c r="G478" s="15" t="s">
        <v>5</v>
      </c>
      <c r="H478" s="215"/>
    </row>
    <row r="479" spans="1:8">
      <c r="A479" s="211" t="s">
        <v>517</v>
      </c>
      <c r="B479" s="216" t="str">
        <f>_xlfn.CONCAT(B444,A479)</f>
        <v>20F92DB3-ah</v>
      </c>
      <c r="C479" s="30" t="s">
        <v>29</v>
      </c>
      <c r="D479" s="186">
        <f>'H-MO'!$N$77</f>
        <v>725918.52892505517</v>
      </c>
      <c r="E479" s="31">
        <f>+D479/8</f>
        <v>90739.816115631897</v>
      </c>
      <c r="F479" s="32">
        <v>6</v>
      </c>
      <c r="G479" s="33">
        <f>+E479*F479</f>
        <v>544438.89669379138</v>
      </c>
    </row>
    <row r="480" spans="1:8">
      <c r="A480" s="211" t="s">
        <v>518</v>
      </c>
      <c r="B480" s="216" t="str">
        <f>_xlfn.CONCAT(B444,A480)</f>
        <v>20F92DB3-ai</v>
      </c>
      <c r="C480" s="34" t="s">
        <v>30</v>
      </c>
      <c r="D480" s="187">
        <f>'H-MO'!$N$86</f>
        <v>685561.39085756091</v>
      </c>
      <c r="E480" s="29">
        <f>+D480/8</f>
        <v>85695.173857195114</v>
      </c>
      <c r="F480" s="28">
        <v>2</v>
      </c>
      <c r="G480" s="33">
        <f>+E480*F480</f>
        <v>171390.34771439023</v>
      </c>
    </row>
    <row r="481" spans="1:8" ht="14.25" thickBot="1">
      <c r="A481" s="211" t="s">
        <v>519</v>
      </c>
      <c r="B481" s="216" t="str">
        <f>_xlfn.CONCAT(B444,A481)</f>
        <v>20F92DB3-aj</v>
      </c>
      <c r="C481" s="34"/>
      <c r="D481" s="187"/>
      <c r="E481" s="29"/>
      <c r="F481" s="28"/>
      <c r="G481" s="33">
        <f>+E481*F481</f>
        <v>0</v>
      </c>
    </row>
    <row r="482" spans="1:8" ht="17.25" customHeight="1" thickBot="1">
      <c r="A482" s="211" t="s">
        <v>520</v>
      </c>
      <c r="B482" s="216" t="str">
        <f>_xlfn.CONCAT(B444,A482)</f>
        <v>20F92DB3-ak</v>
      </c>
      <c r="C482" s="34"/>
      <c r="D482" s="185"/>
      <c r="E482" s="26"/>
      <c r="F482" s="36" t="s">
        <v>31</v>
      </c>
      <c r="G482" s="23">
        <f>SUM(G479:G481)</f>
        <v>715829.24440818164</v>
      </c>
    </row>
    <row r="483" spans="1:8" ht="14.25" thickBot="1">
      <c r="A483" s="211" t="s">
        <v>521</v>
      </c>
      <c r="B483" s="216" t="str">
        <f>_xlfn.CONCAT(B444,A483)</f>
        <v>20F92DB3-al</v>
      </c>
      <c r="C483" s="37"/>
      <c r="E483" s="38"/>
      <c r="F483" s="22"/>
      <c r="G483" s="39"/>
    </row>
    <row r="484" spans="1:8" ht="23.25" customHeight="1" thickBot="1">
      <c r="A484" s="211" t="s">
        <v>522</v>
      </c>
      <c r="B484" s="216" t="str">
        <f>_xlfn.CONCAT(B444,A484)</f>
        <v>20F92DB3-am</v>
      </c>
      <c r="C484" s="40"/>
      <c r="D484" s="193"/>
      <c r="E484" s="41"/>
      <c r="F484" s="42"/>
      <c r="G484" s="43">
        <f>+G467+G476+G482</f>
        <v>5632929.1819081819</v>
      </c>
    </row>
    <row r="485" spans="1:8" ht="21.75" thickBot="1">
      <c r="B485" s="212" t="s">
        <v>550</v>
      </c>
      <c r="C485" s="2"/>
      <c r="D485" s="183"/>
      <c r="F485" s="4"/>
      <c r="G485" s="5"/>
    </row>
    <row r="486" spans="1:8" s="45" customFormat="1" ht="34.5" customHeight="1">
      <c r="A486" s="213"/>
      <c r="B486" s="214">
        <v>12</v>
      </c>
      <c r="C486" s="242" t="str">
        <f ca="1">_xlfn.XLOOKUP(B486,Cantidades!$A$10:$A$314,Cantidades!$C$10:$C$314,,0,1)</f>
        <v>Suministro e instalación de tablero trifásico 18 circuitos con espacio para totalizador TWC</v>
      </c>
      <c r="D486" s="243"/>
      <c r="E486" s="243"/>
      <c r="F486" s="243"/>
      <c r="G486" s="244"/>
      <c r="H486" s="213"/>
    </row>
    <row r="487" spans="1:8" s="47" customFormat="1" ht="24.95" customHeight="1" thickBot="1">
      <c r="A487" s="215"/>
      <c r="B487" s="216" t="s">
        <v>550</v>
      </c>
      <c r="C487" s="177"/>
      <c r="D487" s="189"/>
      <c r="E487" s="178"/>
      <c r="F487" s="179" t="s">
        <v>636</v>
      </c>
      <c r="G487" s="209" t="str">
        <f ca="1">B488</f>
        <v>182BF30B-</v>
      </c>
      <c r="H487" s="215"/>
    </row>
    <row r="488" spans="1:8" ht="28.5" customHeight="1" thickBot="1">
      <c r="B488" s="212" t="str">
        <f ca="1">_xlfn.XLOOKUP(C486,Cantidades!$C$1:$C$314,Cantidades!$B$1:$B$314,"",0,1)</f>
        <v>182BF30B-</v>
      </c>
      <c r="C488" s="10" t="s">
        <v>0</v>
      </c>
      <c r="D488" s="190"/>
      <c r="E488" s="11"/>
      <c r="F488" s="12"/>
      <c r="G488" s="13"/>
    </row>
    <row r="489" spans="1:8" s="47" customFormat="1" ht="23.25" customHeight="1" thickBot="1">
      <c r="A489" s="215"/>
      <c r="B489" s="216" t="s">
        <v>550</v>
      </c>
      <c r="C489" s="14" t="s">
        <v>1</v>
      </c>
      <c r="D489" s="15" t="s">
        <v>2</v>
      </c>
      <c r="E489" s="15" t="s">
        <v>3</v>
      </c>
      <c r="F489" s="16" t="s">
        <v>4</v>
      </c>
      <c r="G489" s="15" t="s">
        <v>5</v>
      </c>
      <c r="H489" s="215"/>
    </row>
    <row r="490" spans="1:8" ht="15">
      <c r="A490" s="211" t="s">
        <v>484</v>
      </c>
      <c r="B490" s="216" t="str">
        <f ca="1">_xlfn.CONCAT(B488,A490)</f>
        <v>182BF30B-A</v>
      </c>
      <c r="C490" s="17" t="str">
        <f>_xlfn.XLOOKUP(H490,'Materiales unitario'!$A$1:$A$2500,'Materiales unitario'!B$1:B$2500,,0,1)</f>
        <v>Tablero TWC-18MB ctos 200A  3F-6H.  CPCH. Espacio para totalizador</v>
      </c>
      <c r="D490" s="184" t="str">
        <f>_xlfn.XLOOKUP(H490,'Materiales unitario'!A$1:A$2500,'Materiales unitario'!C$1:C$2500,,0,1)</f>
        <v>un</v>
      </c>
      <c r="E490" s="197">
        <f>_xlfn.XLOOKUP(H490,'Materiales unitario'!$A$1:$A$2500,'Materiales unitario'!D$1:D$2500,,0,1)</f>
        <v>426100</v>
      </c>
      <c r="F490" s="19">
        <v>1</v>
      </c>
      <c r="G490" s="20">
        <f>+E490*F490</f>
        <v>426100</v>
      </c>
      <c r="H490" s="217" t="s">
        <v>366</v>
      </c>
    </row>
    <row r="491" spans="1:8" ht="15">
      <c r="A491" s="211" t="s">
        <v>485</v>
      </c>
      <c r="B491" s="216" t="str">
        <f ca="1">_xlfn.CONCAT(B488,A491)</f>
        <v>182BF30B-B</v>
      </c>
      <c r="C491" s="17"/>
      <c r="D491" s="184"/>
      <c r="E491" s="197"/>
      <c r="F491" s="19"/>
      <c r="G491" s="20"/>
      <c r="H491" s="217"/>
    </row>
    <row r="492" spans="1:8">
      <c r="A492" s="211" t="s">
        <v>486</v>
      </c>
      <c r="B492" s="216" t="str">
        <f ca="1">_xlfn.CONCAT(B488,A492)</f>
        <v>182BF30B-C</v>
      </c>
      <c r="C492" s="17"/>
      <c r="D492" s="184"/>
      <c r="E492" s="197"/>
      <c r="F492" s="19"/>
      <c r="G492" s="20"/>
    </row>
    <row r="493" spans="1:8">
      <c r="A493" s="211" t="s">
        <v>487</v>
      </c>
      <c r="B493" s="216" t="str">
        <f ca="1">_xlfn.CONCAT(B488,A493)</f>
        <v>182BF30B-D</v>
      </c>
      <c r="C493" s="17"/>
      <c r="D493" s="184"/>
      <c r="E493" s="197"/>
      <c r="F493" s="19"/>
      <c r="G493" s="20"/>
    </row>
    <row r="494" spans="1:8">
      <c r="A494" s="211" t="s">
        <v>488</v>
      </c>
      <c r="B494" s="216" t="str">
        <f ca="1">_xlfn.CONCAT(B488,A494)</f>
        <v>182BF30B-E</v>
      </c>
      <c r="C494" s="17"/>
      <c r="D494" s="184"/>
      <c r="E494" s="197"/>
      <c r="F494" s="19"/>
      <c r="G494" s="20"/>
    </row>
    <row r="495" spans="1:8">
      <c r="A495" s="211" t="s">
        <v>489</v>
      </c>
      <c r="B495" s="216" t="str">
        <f ca="1">_xlfn.CONCAT(B488,A495)</f>
        <v>182BF30B-F</v>
      </c>
      <c r="C495" s="17"/>
      <c r="D495" s="184"/>
      <c r="E495" s="197"/>
      <c r="F495" s="19"/>
      <c r="G495" s="20"/>
    </row>
    <row r="496" spans="1:8">
      <c r="A496" s="211" t="s">
        <v>490</v>
      </c>
      <c r="B496" s="216" t="str">
        <f ca="1">_xlfn.CONCAT(B488,A496)</f>
        <v>182BF30B-G</v>
      </c>
      <c r="C496" s="17"/>
      <c r="D496" s="184"/>
      <c r="E496" s="197"/>
      <c r="F496" s="19"/>
      <c r="G496" s="20"/>
    </row>
    <row r="497" spans="1:7">
      <c r="A497" s="211" t="s">
        <v>491</v>
      </c>
      <c r="B497" s="216" t="str">
        <f ca="1">_xlfn.CONCAT(B488,A497)</f>
        <v>182BF30B-H</v>
      </c>
      <c r="C497" s="17"/>
      <c r="D497" s="184"/>
      <c r="E497" s="197"/>
      <c r="F497" s="19"/>
      <c r="G497" s="20"/>
    </row>
    <row r="498" spans="1:7">
      <c r="A498" s="211" t="s">
        <v>492</v>
      </c>
      <c r="B498" s="216" t="str">
        <f ca="1">_xlfn.CONCAT(B488,A498)</f>
        <v>182BF30B-I</v>
      </c>
      <c r="C498" s="17"/>
      <c r="D498" s="184"/>
      <c r="E498" s="197"/>
      <c r="F498" s="19"/>
      <c r="G498" s="20"/>
    </row>
    <row r="499" spans="1:7">
      <c r="A499" s="211" t="s">
        <v>493</v>
      </c>
      <c r="B499" s="216" t="str">
        <f ca="1">_xlfn.CONCAT(B488,A499)</f>
        <v>182BF30B-J</v>
      </c>
      <c r="C499" s="17"/>
      <c r="D499" s="184"/>
      <c r="E499" s="197"/>
      <c r="F499" s="19"/>
      <c r="G499" s="20"/>
    </row>
    <row r="500" spans="1:7">
      <c r="A500" s="211" t="s">
        <v>494</v>
      </c>
      <c r="B500" s="216" t="str">
        <f ca="1">_xlfn.CONCAT(B488,A500)</f>
        <v>182BF30B-K</v>
      </c>
      <c r="C500" s="17"/>
      <c r="D500" s="184"/>
      <c r="E500" s="197"/>
      <c r="F500" s="19"/>
      <c r="G500" s="20"/>
    </row>
    <row r="501" spans="1:7">
      <c r="A501" s="211" t="s">
        <v>495</v>
      </c>
      <c r="B501" s="216" t="str">
        <f ca="1">_xlfn.CONCAT(B488,A501)</f>
        <v>182BF30B-L</v>
      </c>
      <c r="C501" s="17"/>
      <c r="D501" s="184"/>
      <c r="E501" s="197"/>
      <c r="F501" s="19"/>
      <c r="G501" s="20"/>
    </row>
    <row r="502" spans="1:7">
      <c r="A502" s="211" t="s">
        <v>496</v>
      </c>
      <c r="B502" s="216" t="str">
        <f ca="1">_xlfn.CONCAT(B488,A502)</f>
        <v>182BF30B-M</v>
      </c>
      <c r="C502" s="17"/>
      <c r="D502" s="184"/>
      <c r="E502" s="197"/>
      <c r="F502" s="19"/>
      <c r="G502" s="20"/>
    </row>
    <row r="503" spans="1:7">
      <c r="A503" s="211" t="s">
        <v>497</v>
      </c>
      <c r="B503" s="216" t="str">
        <f ca="1">_xlfn.CONCAT(B488,A503)</f>
        <v>182BF30B-N</v>
      </c>
      <c r="C503" s="17"/>
      <c r="D503" s="184"/>
      <c r="E503" s="197"/>
      <c r="F503" s="19"/>
      <c r="G503" s="20"/>
    </row>
    <row r="504" spans="1:7">
      <c r="A504" s="211" t="s">
        <v>498</v>
      </c>
      <c r="B504" s="216" t="str">
        <f ca="1">_xlfn.CONCAT(B488,A504)</f>
        <v>182BF30B-O</v>
      </c>
      <c r="C504" s="17"/>
      <c r="D504" s="184"/>
      <c r="E504" s="197"/>
      <c r="F504" s="19"/>
      <c r="G504" s="20"/>
    </row>
    <row r="505" spans="1:7">
      <c r="A505" s="211" t="s">
        <v>499</v>
      </c>
      <c r="B505" s="216" t="str">
        <f ca="1">_xlfn.CONCAT(B488,A505)</f>
        <v>182BF30B-P</v>
      </c>
      <c r="C505" s="17"/>
      <c r="D505" s="184"/>
      <c r="E505" s="197"/>
      <c r="F505" s="19"/>
      <c r="G505" s="20"/>
    </row>
    <row r="506" spans="1:7">
      <c r="A506" s="211" t="s">
        <v>500</v>
      </c>
      <c r="B506" s="216" t="str">
        <f ca="1">_xlfn.CONCAT(B488,A506)</f>
        <v>182BF30B-Q</v>
      </c>
      <c r="C506" s="17"/>
      <c r="D506" s="184"/>
      <c r="E506" s="197"/>
      <c r="F506" s="19"/>
      <c r="G506" s="20"/>
    </row>
    <row r="507" spans="1:7">
      <c r="A507" s="211" t="s">
        <v>501</v>
      </c>
      <c r="B507" s="216" t="str">
        <f ca="1">_xlfn.CONCAT(B488,A507)</f>
        <v>182BF30B-R</v>
      </c>
      <c r="C507" s="17"/>
      <c r="D507" s="184"/>
      <c r="E507" s="197"/>
      <c r="F507" s="19"/>
      <c r="G507" s="20"/>
    </row>
    <row r="508" spans="1:7">
      <c r="A508" s="211" t="s">
        <v>502</v>
      </c>
      <c r="B508" s="216" t="str">
        <f ca="1">_xlfn.CONCAT(B488,A508)</f>
        <v>182BF30B-S</v>
      </c>
      <c r="C508" s="17"/>
      <c r="D508" s="184"/>
      <c r="E508" s="197"/>
      <c r="F508" s="19"/>
      <c r="G508" s="20"/>
    </row>
    <row r="509" spans="1:7">
      <c r="A509" s="211" t="s">
        <v>503</v>
      </c>
      <c r="B509" s="216" t="str">
        <f ca="1">_xlfn.CONCAT(B488,A509)</f>
        <v>182BF30B-T</v>
      </c>
      <c r="C509" s="17"/>
      <c r="D509" s="184"/>
      <c r="E509" s="197"/>
      <c r="F509" s="19"/>
      <c r="G509" s="20"/>
    </row>
    <row r="510" spans="1:7" ht="14.25" thickBot="1">
      <c r="A510" s="211" t="s">
        <v>504</v>
      </c>
      <c r="B510" s="216" t="str">
        <f ca="1">_xlfn.CONCAT(B488,A510)</f>
        <v>182BF30B-U</v>
      </c>
      <c r="C510" s="17"/>
      <c r="D510" s="184"/>
      <c r="E510" s="197"/>
      <c r="F510" s="19"/>
      <c r="G510" s="20"/>
    </row>
    <row r="511" spans="1:7" ht="16.5" customHeight="1" thickBot="1">
      <c r="A511" s="211" t="s">
        <v>505</v>
      </c>
      <c r="B511" s="216" t="str">
        <f ca="1">_xlfn.CONCAT(B488,A511)</f>
        <v>182BF30B-V</v>
      </c>
      <c r="C511" s="17" t="s">
        <v>17</v>
      </c>
      <c r="D511" s="192" t="s">
        <v>17</v>
      </c>
      <c r="E511" s="18"/>
      <c r="F511" s="22" t="s">
        <v>18</v>
      </c>
      <c r="G511" s="23">
        <f>SUM(G490:G510)</f>
        <v>426100</v>
      </c>
    </row>
    <row r="512" spans="1:7" ht="28.5" customHeight="1" thickBot="1">
      <c r="A512" s="211" t="s">
        <v>506</v>
      </c>
      <c r="B512" s="216" t="str">
        <f ca="1">_xlfn.CONCAT(B488,A512)</f>
        <v>182BF30B-W</v>
      </c>
      <c r="C512" s="10" t="s">
        <v>19</v>
      </c>
      <c r="D512" s="190"/>
      <c r="E512" s="11"/>
      <c r="F512" s="12"/>
      <c r="G512" s="13"/>
    </row>
    <row r="513" spans="1:8" s="47" customFormat="1" ht="23.25" customHeight="1" thickBot="1">
      <c r="A513" s="211" t="s">
        <v>507</v>
      </c>
      <c r="B513" s="216" t="str">
        <f ca="1">_xlfn.CONCAT(B488,A513)</f>
        <v>182BF30B-X</v>
      </c>
      <c r="C513" s="14" t="s">
        <v>1</v>
      </c>
      <c r="D513" s="15"/>
      <c r="E513" s="15" t="s">
        <v>20</v>
      </c>
      <c r="F513" s="16" t="s">
        <v>21</v>
      </c>
      <c r="G513" s="15" t="s">
        <v>5</v>
      </c>
      <c r="H513" s="215"/>
    </row>
    <row r="514" spans="1:8">
      <c r="A514" s="211" t="s">
        <v>508</v>
      </c>
      <c r="B514" s="216" t="str">
        <f ca="1">_xlfn.CONCAT(B488,A514)</f>
        <v>182BF30B-Y</v>
      </c>
      <c r="C514" s="24" t="s">
        <v>22</v>
      </c>
      <c r="D514" s="184"/>
      <c r="E514" s="25">
        <f>_xlfn.XLOOKUP(C514,'H-MO'!B$7:B$30,'H-MO'!D$7:D$30,,0,1)</f>
        <v>2436.5624999999995</v>
      </c>
      <c r="F514" s="19">
        <v>0.6</v>
      </c>
      <c r="G514" s="33">
        <f t="shared" ref="G514:G519" si="10">+E514*F514</f>
        <v>1461.9374999999998</v>
      </c>
    </row>
    <row r="515" spans="1:8">
      <c r="A515" s="211" t="s">
        <v>509</v>
      </c>
      <c r="B515" s="216" t="str">
        <f ca="1">_xlfn.CONCAT(B488,A515)</f>
        <v>182BF30B-Z</v>
      </c>
      <c r="C515" s="24" t="s">
        <v>23</v>
      </c>
      <c r="D515" s="184"/>
      <c r="E515" s="25">
        <f>_xlfn.XLOOKUP(C515,'H-MO'!B$7:B$30,'H-MO'!D$7:D$30,,0,1)</f>
        <v>1461.9374999999998</v>
      </c>
      <c r="F515" s="19">
        <v>0.1</v>
      </c>
      <c r="G515" s="33">
        <f t="shared" si="10"/>
        <v>146.19374999999999</v>
      </c>
    </row>
    <row r="516" spans="1:8">
      <c r="A516" s="211" t="s">
        <v>510</v>
      </c>
      <c r="B516" s="216" t="str">
        <f ca="1">_xlfn.CONCAT(B488,A516)</f>
        <v>182BF30B-aa</v>
      </c>
      <c r="C516" s="24" t="s">
        <v>24</v>
      </c>
      <c r="D516" s="185"/>
      <c r="E516" s="25">
        <f>_xlfn.XLOOKUP(C516,'H-MO'!B$7:B$30,'H-MO'!D$7:D$30,,0,1)</f>
        <v>29238.749999999996</v>
      </c>
      <c r="F516" s="28">
        <v>0.2</v>
      </c>
      <c r="G516" s="33">
        <f t="shared" si="10"/>
        <v>5847.75</v>
      </c>
    </row>
    <row r="517" spans="1:8">
      <c r="A517" s="211" t="s">
        <v>511</v>
      </c>
      <c r="B517" s="216" t="str">
        <f ca="1">_xlfn.CONCAT(B488,A517)</f>
        <v>182BF30B-ab</v>
      </c>
      <c r="C517" s="24" t="s">
        <v>25</v>
      </c>
      <c r="D517" s="185"/>
      <c r="E517" s="25">
        <f>_xlfn.XLOOKUP(C517,'H-MO'!B$7:B$30,'H-MO'!D$7:D$30,,0,1)</f>
        <v>2761.4374999999995</v>
      </c>
      <c r="F517" s="28">
        <v>0.4</v>
      </c>
      <c r="G517" s="33">
        <f t="shared" si="10"/>
        <v>1104.5749999999998</v>
      </c>
    </row>
    <row r="518" spans="1:8">
      <c r="A518" s="211" t="s">
        <v>512</v>
      </c>
      <c r="B518" s="216" t="str">
        <f ca="1">_xlfn.CONCAT(B488,A518)</f>
        <v>182BF30B-ac</v>
      </c>
      <c r="C518" s="24"/>
      <c r="D518" s="185"/>
      <c r="E518" s="29"/>
      <c r="F518" s="28"/>
      <c r="G518" s="33">
        <f t="shared" si="10"/>
        <v>0</v>
      </c>
    </row>
    <row r="519" spans="1:8" ht="14.25" thickBot="1">
      <c r="A519" s="211" t="s">
        <v>513</v>
      </c>
      <c r="B519" s="216" t="str">
        <f ca="1">_xlfn.CONCAT(B488,A519)</f>
        <v>182BF30B-ad</v>
      </c>
      <c r="C519" s="24"/>
      <c r="D519" s="185"/>
      <c r="E519" s="29"/>
      <c r="F519" s="28"/>
      <c r="G519" s="33">
        <f t="shared" si="10"/>
        <v>0</v>
      </c>
    </row>
    <row r="520" spans="1:8" ht="16.5" customHeight="1" thickBot="1">
      <c r="A520" s="211" t="s">
        <v>514</v>
      </c>
      <c r="B520" s="216" t="str">
        <f ca="1">_xlfn.CONCAT(B488,A520)</f>
        <v>182BF30B-ae</v>
      </c>
      <c r="C520" s="17"/>
      <c r="D520" s="192"/>
      <c r="E520" s="18"/>
      <c r="F520" s="22" t="s">
        <v>26</v>
      </c>
      <c r="G520" s="23">
        <f>SUM(G514:G519)</f>
        <v>8560.4562499999993</v>
      </c>
    </row>
    <row r="521" spans="1:8" ht="28.5" customHeight="1" thickBot="1">
      <c r="A521" s="211" t="s">
        <v>515</v>
      </c>
      <c r="B521" s="216" t="str">
        <f ca="1">_xlfn.CONCAT(B488,A521)</f>
        <v>182BF30B-af</v>
      </c>
      <c r="C521" s="10" t="s">
        <v>27</v>
      </c>
      <c r="D521" s="190"/>
      <c r="E521" s="11"/>
      <c r="F521" s="12"/>
      <c r="G521" s="13"/>
    </row>
    <row r="522" spans="1:8" s="47" customFormat="1" ht="23.25" customHeight="1" thickBot="1">
      <c r="A522" s="211" t="s">
        <v>516</v>
      </c>
      <c r="B522" s="216" t="str">
        <f ca="1">_xlfn.CONCAT(B488,A522)</f>
        <v>182BF30B-ag</v>
      </c>
      <c r="C522" s="14" t="s">
        <v>1</v>
      </c>
      <c r="D522" s="15" t="s">
        <v>28</v>
      </c>
      <c r="E522" s="15" t="s">
        <v>20</v>
      </c>
      <c r="F522" s="16" t="s">
        <v>21</v>
      </c>
      <c r="G522" s="15" t="s">
        <v>5</v>
      </c>
      <c r="H522" s="215"/>
    </row>
    <row r="523" spans="1:8">
      <c r="A523" s="211" t="s">
        <v>517</v>
      </c>
      <c r="B523" s="216" t="str">
        <f ca="1">_xlfn.CONCAT(B488,A523)</f>
        <v>182BF30B-ah</v>
      </c>
      <c r="C523" s="30" t="s">
        <v>29</v>
      </c>
      <c r="D523" s="186">
        <f>'H-MO'!$N$77</f>
        <v>725918.52892505517</v>
      </c>
      <c r="E523" s="31">
        <f>+D523/8</f>
        <v>90739.816115631897</v>
      </c>
      <c r="F523" s="32">
        <v>0.7</v>
      </c>
      <c r="G523" s="33">
        <f>+E523*F523</f>
        <v>63517.871280942323</v>
      </c>
    </row>
    <row r="524" spans="1:8">
      <c r="A524" s="211" t="s">
        <v>518</v>
      </c>
      <c r="B524" s="216" t="str">
        <f ca="1">_xlfn.CONCAT(B488,A524)</f>
        <v>182BF30B-ai</v>
      </c>
      <c r="C524" s="34" t="s">
        <v>30</v>
      </c>
      <c r="D524" s="187">
        <f>'H-MO'!$N$86</f>
        <v>685561.39085756091</v>
      </c>
      <c r="E524" s="29">
        <f>+D524/8</f>
        <v>85695.173857195114</v>
      </c>
      <c r="F524" s="28">
        <v>0.1</v>
      </c>
      <c r="G524" s="33">
        <f>+E524*F524</f>
        <v>8569.5173857195114</v>
      </c>
    </row>
    <row r="525" spans="1:8" ht="14.25" thickBot="1">
      <c r="A525" s="211" t="s">
        <v>519</v>
      </c>
      <c r="B525" s="216" t="str">
        <f ca="1">_xlfn.CONCAT(B488,A525)</f>
        <v>182BF30B-aj</v>
      </c>
      <c r="C525" s="34"/>
      <c r="D525" s="187"/>
      <c r="E525" s="29"/>
      <c r="F525" s="28"/>
      <c r="G525" s="33">
        <f>+E525*F525</f>
        <v>0</v>
      </c>
    </row>
    <row r="526" spans="1:8" ht="17.25" customHeight="1" thickBot="1">
      <c r="A526" s="211" t="s">
        <v>520</v>
      </c>
      <c r="B526" s="216" t="str">
        <f ca="1">_xlfn.CONCAT(B488,A526)</f>
        <v>182BF30B-ak</v>
      </c>
      <c r="C526" s="34"/>
      <c r="D526" s="185"/>
      <c r="E526" s="26"/>
      <c r="F526" s="36" t="s">
        <v>31</v>
      </c>
      <c r="G526" s="23">
        <f>SUM(G523:G525)</f>
        <v>72087.388666661835</v>
      </c>
    </row>
    <row r="527" spans="1:8" ht="14.25" thickBot="1">
      <c r="A527" s="211" t="s">
        <v>521</v>
      </c>
      <c r="B527" s="216" t="str">
        <f ca="1">_xlfn.CONCAT(B488,A527)</f>
        <v>182BF30B-al</v>
      </c>
      <c r="C527" s="37"/>
      <c r="E527" s="38"/>
      <c r="F527" s="22"/>
      <c r="G527" s="39"/>
    </row>
    <row r="528" spans="1:8" ht="23.25" customHeight="1" thickBot="1">
      <c r="A528" s="211" t="s">
        <v>522</v>
      </c>
      <c r="B528" s="216" t="str">
        <f ca="1">_xlfn.CONCAT(B488,A528)</f>
        <v>182BF30B-am</v>
      </c>
      <c r="C528" s="40"/>
      <c r="D528" s="193"/>
      <c r="E528" s="41"/>
      <c r="F528" s="42"/>
      <c r="G528" s="43">
        <f>+G511+G520+G526</f>
        <v>506747.84491666185</v>
      </c>
    </row>
    <row r="529" spans="1:8" ht="21.75" thickBot="1">
      <c r="B529" s="212" t="s">
        <v>550</v>
      </c>
      <c r="C529" s="2"/>
      <c r="D529" s="183"/>
      <c r="F529" s="4"/>
      <c r="G529" s="5"/>
    </row>
    <row r="530" spans="1:8" s="45" customFormat="1" ht="34.5" customHeight="1">
      <c r="A530" s="213"/>
      <c r="B530" s="214">
        <v>13</v>
      </c>
      <c r="C530" s="242" t="str">
        <f ca="1">_xlfn.XLOOKUP(B530,Cantidades!$A$10:$A$314,Cantidades!$C$10:$C$314,,0,1)</f>
        <v>Suministro e instalación de interruptor automático 1x20A enchufable</v>
      </c>
      <c r="D530" s="243"/>
      <c r="E530" s="243"/>
      <c r="F530" s="243"/>
      <c r="G530" s="244"/>
      <c r="H530" s="213"/>
    </row>
    <row r="531" spans="1:8" s="47" customFormat="1" ht="24.95" customHeight="1" thickBot="1">
      <c r="A531" s="215"/>
      <c r="B531" s="216" t="s">
        <v>550</v>
      </c>
      <c r="C531" s="177"/>
      <c r="D531" s="189"/>
      <c r="E531" s="178"/>
      <c r="F531" s="179" t="s">
        <v>636</v>
      </c>
      <c r="G531" s="209" t="str">
        <f ca="1">B532</f>
        <v>12A5B4D1-</v>
      </c>
      <c r="H531" s="215"/>
    </row>
    <row r="532" spans="1:8" ht="28.5" customHeight="1" thickBot="1">
      <c r="B532" s="212" t="str">
        <f ca="1">_xlfn.XLOOKUP(C530,Cantidades!$C$1:$C$314,Cantidades!$B$1:$B$314,"",0,1)</f>
        <v>12A5B4D1-</v>
      </c>
      <c r="C532" s="10" t="s">
        <v>0</v>
      </c>
      <c r="D532" s="190"/>
      <c r="E532" s="11"/>
      <c r="F532" s="12"/>
      <c r="G532" s="13"/>
    </row>
    <row r="533" spans="1:8" s="47" customFormat="1" ht="23.25" customHeight="1" thickBot="1">
      <c r="A533" s="215"/>
      <c r="B533" s="216" t="s">
        <v>550</v>
      </c>
      <c r="C533" s="14" t="s">
        <v>1</v>
      </c>
      <c r="D533" s="15" t="s">
        <v>2</v>
      </c>
      <c r="E533" s="15" t="s">
        <v>3</v>
      </c>
      <c r="F533" s="16" t="s">
        <v>4</v>
      </c>
      <c r="G533" s="15" t="s">
        <v>5</v>
      </c>
      <c r="H533" s="215"/>
    </row>
    <row r="534" spans="1:8" ht="15">
      <c r="A534" s="211" t="s">
        <v>484</v>
      </c>
      <c r="B534" s="216" t="str">
        <f ca="1">_xlfn.CONCAT(B532,A534)</f>
        <v>12A5B4D1-A</v>
      </c>
      <c r="C534" s="17" t="str">
        <f>_xlfn.XLOOKUP(H534,'Materiales unitario'!$A$1:$A$2500,'Materiales unitario'!B$1:B$2500,,0,1)</f>
        <v xml:space="preserve">Automático enchufable.  Safic DSE 1x15 -30A. 10KA </v>
      </c>
      <c r="D534" s="184" t="str">
        <f>_xlfn.XLOOKUP(H534,'Materiales unitario'!A$1:A$2500,'Materiales unitario'!C$1:C$2500,,0,1)</f>
        <v>un</v>
      </c>
      <c r="E534" s="197">
        <f>_xlfn.XLOOKUP(H534,'Materiales unitario'!$A$1:$A$2500,'Materiales unitario'!D$1:D$2500,,0,1)</f>
        <v>15300</v>
      </c>
      <c r="F534" s="19">
        <v>1</v>
      </c>
      <c r="G534" s="20">
        <f>+E534*F534</f>
        <v>15300</v>
      </c>
      <c r="H534" s="217" t="s">
        <v>233</v>
      </c>
    </row>
    <row r="535" spans="1:8" ht="15">
      <c r="A535" s="211" t="s">
        <v>485</v>
      </c>
      <c r="B535" s="216" t="str">
        <f ca="1">_xlfn.CONCAT(B532,A535)</f>
        <v>12A5B4D1-B</v>
      </c>
      <c r="C535" s="17"/>
      <c r="D535" s="184"/>
      <c r="E535" s="197"/>
      <c r="F535" s="19"/>
      <c r="G535" s="20"/>
      <c r="H535" s="217"/>
    </row>
    <row r="536" spans="1:8">
      <c r="A536" s="211" t="s">
        <v>486</v>
      </c>
      <c r="B536" s="216" t="str">
        <f ca="1">_xlfn.CONCAT(B532,A536)</f>
        <v>12A5B4D1-C</v>
      </c>
      <c r="C536" s="17"/>
      <c r="D536" s="184"/>
      <c r="E536" s="197"/>
      <c r="F536" s="19"/>
      <c r="G536" s="20"/>
    </row>
    <row r="537" spans="1:8">
      <c r="A537" s="211" t="s">
        <v>487</v>
      </c>
      <c r="B537" s="216" t="str">
        <f ca="1">_xlfn.CONCAT(B532,A537)</f>
        <v>12A5B4D1-D</v>
      </c>
      <c r="C537" s="17"/>
      <c r="D537" s="184"/>
      <c r="E537" s="197"/>
      <c r="F537" s="19"/>
      <c r="G537" s="20"/>
    </row>
    <row r="538" spans="1:8">
      <c r="A538" s="211" t="s">
        <v>488</v>
      </c>
      <c r="B538" s="216" t="str">
        <f ca="1">_xlfn.CONCAT(B532,A538)</f>
        <v>12A5B4D1-E</v>
      </c>
      <c r="C538" s="17"/>
      <c r="D538" s="184"/>
      <c r="E538" s="197"/>
      <c r="F538" s="19"/>
      <c r="G538" s="20"/>
    </row>
    <row r="539" spans="1:8">
      <c r="A539" s="211" t="s">
        <v>489</v>
      </c>
      <c r="B539" s="216" t="str">
        <f ca="1">_xlfn.CONCAT(B532,A539)</f>
        <v>12A5B4D1-F</v>
      </c>
      <c r="C539" s="17"/>
      <c r="D539" s="184"/>
      <c r="E539" s="197"/>
      <c r="F539" s="19"/>
      <c r="G539" s="20"/>
    </row>
    <row r="540" spans="1:8">
      <c r="A540" s="211" t="s">
        <v>490</v>
      </c>
      <c r="B540" s="216" t="str">
        <f ca="1">_xlfn.CONCAT(B532,A540)</f>
        <v>12A5B4D1-G</v>
      </c>
      <c r="C540" s="17"/>
      <c r="D540" s="184"/>
      <c r="E540" s="197"/>
      <c r="F540" s="19"/>
      <c r="G540" s="20"/>
    </row>
    <row r="541" spans="1:8">
      <c r="A541" s="211" t="s">
        <v>491</v>
      </c>
      <c r="B541" s="216" t="str">
        <f ca="1">_xlfn.CONCAT(B532,A541)</f>
        <v>12A5B4D1-H</v>
      </c>
      <c r="C541" s="17"/>
      <c r="D541" s="184"/>
      <c r="E541" s="197"/>
      <c r="F541" s="19"/>
      <c r="G541" s="20"/>
    </row>
    <row r="542" spans="1:8">
      <c r="A542" s="211" t="s">
        <v>492</v>
      </c>
      <c r="B542" s="216" t="str">
        <f ca="1">_xlfn.CONCAT(B532,A542)</f>
        <v>12A5B4D1-I</v>
      </c>
      <c r="C542" s="17"/>
      <c r="D542" s="184"/>
      <c r="E542" s="197"/>
      <c r="F542" s="19"/>
      <c r="G542" s="20"/>
    </row>
    <row r="543" spans="1:8">
      <c r="A543" s="211" t="s">
        <v>493</v>
      </c>
      <c r="B543" s="216" t="str">
        <f ca="1">_xlfn.CONCAT(B532,A543)</f>
        <v>12A5B4D1-J</v>
      </c>
      <c r="C543" s="17"/>
      <c r="D543" s="184"/>
      <c r="E543" s="197"/>
      <c r="F543" s="19"/>
      <c r="G543" s="20"/>
    </row>
    <row r="544" spans="1:8">
      <c r="A544" s="211" t="s">
        <v>494</v>
      </c>
      <c r="B544" s="216" t="str">
        <f ca="1">_xlfn.CONCAT(B532,A544)</f>
        <v>12A5B4D1-K</v>
      </c>
      <c r="C544" s="17"/>
      <c r="D544" s="184"/>
      <c r="E544" s="197"/>
      <c r="F544" s="19"/>
      <c r="G544" s="20"/>
    </row>
    <row r="545" spans="1:8">
      <c r="A545" s="211" t="s">
        <v>495</v>
      </c>
      <c r="B545" s="216" t="str">
        <f ca="1">_xlfn.CONCAT(B532,A545)</f>
        <v>12A5B4D1-L</v>
      </c>
      <c r="C545" s="17"/>
      <c r="D545" s="184"/>
      <c r="E545" s="197"/>
      <c r="F545" s="19"/>
      <c r="G545" s="20"/>
    </row>
    <row r="546" spans="1:8">
      <c r="A546" s="211" t="s">
        <v>496</v>
      </c>
      <c r="B546" s="216" t="str">
        <f ca="1">_xlfn.CONCAT(B532,A546)</f>
        <v>12A5B4D1-M</v>
      </c>
      <c r="C546" s="17"/>
      <c r="D546" s="184"/>
      <c r="E546" s="197"/>
      <c r="F546" s="19"/>
      <c r="G546" s="20"/>
    </row>
    <row r="547" spans="1:8">
      <c r="A547" s="211" t="s">
        <v>497</v>
      </c>
      <c r="B547" s="216" t="str">
        <f ca="1">_xlfn.CONCAT(B532,A547)</f>
        <v>12A5B4D1-N</v>
      </c>
      <c r="C547" s="17"/>
      <c r="D547" s="184"/>
      <c r="E547" s="197"/>
      <c r="F547" s="19"/>
      <c r="G547" s="20"/>
    </row>
    <row r="548" spans="1:8">
      <c r="A548" s="211" t="s">
        <v>498</v>
      </c>
      <c r="B548" s="216" t="str">
        <f ca="1">_xlfn.CONCAT(B532,A548)</f>
        <v>12A5B4D1-O</v>
      </c>
      <c r="C548" s="17"/>
      <c r="D548" s="184"/>
      <c r="E548" s="197"/>
      <c r="F548" s="19"/>
      <c r="G548" s="20"/>
    </row>
    <row r="549" spans="1:8">
      <c r="A549" s="211" t="s">
        <v>499</v>
      </c>
      <c r="B549" s="216" t="str">
        <f ca="1">_xlfn.CONCAT(B532,A549)</f>
        <v>12A5B4D1-P</v>
      </c>
      <c r="C549" s="17"/>
      <c r="D549" s="184"/>
      <c r="E549" s="197"/>
      <c r="F549" s="19"/>
      <c r="G549" s="20"/>
    </row>
    <row r="550" spans="1:8">
      <c r="A550" s="211" t="s">
        <v>500</v>
      </c>
      <c r="B550" s="216" t="str">
        <f ca="1">_xlfn.CONCAT(B532,A550)</f>
        <v>12A5B4D1-Q</v>
      </c>
      <c r="C550" s="17"/>
      <c r="D550" s="184"/>
      <c r="E550" s="197"/>
      <c r="F550" s="19"/>
      <c r="G550" s="20"/>
    </row>
    <row r="551" spans="1:8">
      <c r="A551" s="211" t="s">
        <v>501</v>
      </c>
      <c r="B551" s="216" t="str">
        <f ca="1">_xlfn.CONCAT(B532,A551)</f>
        <v>12A5B4D1-R</v>
      </c>
      <c r="C551" s="17"/>
      <c r="D551" s="184"/>
      <c r="E551" s="197"/>
      <c r="F551" s="19"/>
      <c r="G551" s="20"/>
    </row>
    <row r="552" spans="1:8">
      <c r="A552" s="211" t="s">
        <v>502</v>
      </c>
      <c r="B552" s="216" t="str">
        <f ca="1">_xlfn.CONCAT(B532,A552)</f>
        <v>12A5B4D1-S</v>
      </c>
      <c r="C552" s="17"/>
      <c r="D552" s="184"/>
      <c r="E552" s="197"/>
      <c r="F552" s="19"/>
      <c r="G552" s="20"/>
    </row>
    <row r="553" spans="1:8">
      <c r="A553" s="211" t="s">
        <v>503</v>
      </c>
      <c r="B553" s="216" t="str">
        <f ca="1">_xlfn.CONCAT(B532,A553)</f>
        <v>12A5B4D1-T</v>
      </c>
      <c r="C553" s="17"/>
      <c r="D553" s="184"/>
      <c r="E553" s="197"/>
      <c r="F553" s="19"/>
      <c r="G553" s="20"/>
    </row>
    <row r="554" spans="1:8" ht="14.25" thickBot="1">
      <c r="A554" s="211" t="s">
        <v>504</v>
      </c>
      <c r="B554" s="216" t="str">
        <f ca="1">_xlfn.CONCAT(B532,A554)</f>
        <v>12A5B4D1-U</v>
      </c>
      <c r="C554" s="17"/>
      <c r="D554" s="184"/>
      <c r="E554" s="197"/>
      <c r="F554" s="19"/>
      <c r="G554" s="20"/>
    </row>
    <row r="555" spans="1:8" ht="16.5" customHeight="1" thickBot="1">
      <c r="A555" s="211" t="s">
        <v>505</v>
      </c>
      <c r="B555" s="216" t="str">
        <f ca="1">_xlfn.CONCAT(B532,A555)</f>
        <v>12A5B4D1-V</v>
      </c>
      <c r="C555" s="17" t="s">
        <v>17</v>
      </c>
      <c r="D555" s="192" t="s">
        <v>17</v>
      </c>
      <c r="E555" s="18"/>
      <c r="F555" s="22" t="s">
        <v>18</v>
      </c>
      <c r="G555" s="23">
        <f>SUM(G534:G554)</f>
        <v>15300</v>
      </c>
    </row>
    <row r="556" spans="1:8" ht="28.5" customHeight="1" thickBot="1">
      <c r="A556" s="211" t="s">
        <v>506</v>
      </c>
      <c r="B556" s="216" t="str">
        <f ca="1">_xlfn.CONCAT(B532,A556)</f>
        <v>12A5B4D1-W</v>
      </c>
      <c r="C556" s="10" t="s">
        <v>19</v>
      </c>
      <c r="D556" s="190"/>
      <c r="E556" s="11"/>
      <c r="F556" s="12"/>
      <c r="G556" s="13"/>
    </row>
    <row r="557" spans="1:8" s="47" customFormat="1" ht="23.25" customHeight="1" thickBot="1">
      <c r="A557" s="211" t="s">
        <v>507</v>
      </c>
      <c r="B557" s="216" t="str">
        <f ca="1">_xlfn.CONCAT(B532,A557)</f>
        <v>12A5B4D1-X</v>
      </c>
      <c r="C557" s="14" t="s">
        <v>1</v>
      </c>
      <c r="D557" s="15"/>
      <c r="E557" s="15" t="s">
        <v>20</v>
      </c>
      <c r="F557" s="16" t="s">
        <v>21</v>
      </c>
      <c r="G557" s="15" t="s">
        <v>5</v>
      </c>
      <c r="H557" s="215"/>
    </row>
    <row r="558" spans="1:8">
      <c r="A558" s="211" t="s">
        <v>508</v>
      </c>
      <c r="B558" s="216" t="str">
        <f ca="1">_xlfn.CONCAT(B532,A558)</f>
        <v>12A5B4D1-Y</v>
      </c>
      <c r="C558" s="24" t="s">
        <v>22</v>
      </c>
      <c r="D558" s="184"/>
      <c r="E558" s="25">
        <f>_xlfn.XLOOKUP(C558,'H-MO'!B$7:B$30,'H-MO'!D$7:D$30,,0,1)</f>
        <v>2436.5624999999995</v>
      </c>
      <c r="F558" s="19">
        <v>0.1</v>
      </c>
      <c r="G558" s="33">
        <f t="shared" ref="G558:G563" si="11">+E558*F558</f>
        <v>243.65624999999997</v>
      </c>
    </row>
    <row r="559" spans="1:8">
      <c r="A559" s="211" t="s">
        <v>509</v>
      </c>
      <c r="B559" s="216" t="str">
        <f ca="1">_xlfn.CONCAT(B532,A559)</f>
        <v>12A5B4D1-Z</v>
      </c>
      <c r="C559" s="24" t="s">
        <v>23</v>
      </c>
      <c r="D559" s="184"/>
      <c r="E559" s="25">
        <f>_xlfn.XLOOKUP(C559,'H-MO'!B$7:B$30,'H-MO'!D$7:D$30,,0,1)</f>
        <v>1461.9374999999998</v>
      </c>
      <c r="F559" s="19">
        <v>0.1</v>
      </c>
      <c r="G559" s="33">
        <f t="shared" si="11"/>
        <v>146.19374999999999</v>
      </c>
    </row>
    <row r="560" spans="1:8">
      <c r="A560" s="211" t="s">
        <v>510</v>
      </c>
      <c r="B560" s="216" t="str">
        <f ca="1">_xlfn.CONCAT(B532,A560)</f>
        <v>12A5B4D1-aa</v>
      </c>
      <c r="C560" s="24" t="s">
        <v>24</v>
      </c>
      <c r="D560" s="185"/>
      <c r="E560" s="25">
        <f>_xlfn.XLOOKUP(C560,'H-MO'!B$7:B$30,'H-MO'!D$7:D$30,,0,1)</f>
        <v>29238.749999999996</v>
      </c>
      <c r="F560" s="28">
        <v>0.05</v>
      </c>
      <c r="G560" s="33">
        <f t="shared" si="11"/>
        <v>1461.9375</v>
      </c>
    </row>
    <row r="561" spans="1:8">
      <c r="A561" s="211" t="s">
        <v>511</v>
      </c>
      <c r="B561" s="216" t="str">
        <f ca="1">_xlfn.CONCAT(B532,A561)</f>
        <v>12A5B4D1-ab</v>
      </c>
      <c r="C561" s="24" t="s">
        <v>25</v>
      </c>
      <c r="D561" s="185"/>
      <c r="E561" s="25">
        <f>_xlfn.XLOOKUP(C561,'H-MO'!B$7:B$30,'H-MO'!D$7:D$30,,0,1)</f>
        <v>2761.4374999999995</v>
      </c>
      <c r="F561" s="28">
        <v>0.01</v>
      </c>
      <c r="G561" s="33">
        <f t="shared" si="11"/>
        <v>27.614374999999995</v>
      </c>
    </row>
    <row r="562" spans="1:8">
      <c r="A562" s="211" t="s">
        <v>512</v>
      </c>
      <c r="B562" s="216" t="str">
        <f ca="1">_xlfn.CONCAT(B532,A562)</f>
        <v>12A5B4D1-ac</v>
      </c>
      <c r="C562" s="24"/>
      <c r="D562" s="185"/>
      <c r="E562" s="29"/>
      <c r="F562" s="28"/>
      <c r="G562" s="33">
        <f t="shared" si="11"/>
        <v>0</v>
      </c>
    </row>
    <row r="563" spans="1:8" ht="14.25" thickBot="1">
      <c r="A563" s="211" t="s">
        <v>513</v>
      </c>
      <c r="B563" s="216" t="str">
        <f ca="1">_xlfn.CONCAT(B532,A563)</f>
        <v>12A5B4D1-ad</v>
      </c>
      <c r="C563" s="24"/>
      <c r="D563" s="185"/>
      <c r="E563" s="29"/>
      <c r="F563" s="28"/>
      <c r="G563" s="33">
        <f t="shared" si="11"/>
        <v>0</v>
      </c>
    </row>
    <row r="564" spans="1:8" ht="16.5" customHeight="1" thickBot="1">
      <c r="A564" s="211" t="s">
        <v>514</v>
      </c>
      <c r="B564" s="216" t="str">
        <f ca="1">_xlfn.CONCAT(B532,A564)</f>
        <v>12A5B4D1-ae</v>
      </c>
      <c r="C564" s="17"/>
      <c r="D564" s="192"/>
      <c r="E564" s="18"/>
      <c r="F564" s="22" t="s">
        <v>26</v>
      </c>
      <c r="G564" s="23">
        <f>SUM(G558:G563)</f>
        <v>1879.401875</v>
      </c>
    </row>
    <row r="565" spans="1:8" ht="28.5" customHeight="1" thickBot="1">
      <c r="A565" s="211" t="s">
        <v>515</v>
      </c>
      <c r="B565" s="216" t="str">
        <f ca="1">_xlfn.CONCAT(B532,A565)</f>
        <v>12A5B4D1-af</v>
      </c>
      <c r="C565" s="10" t="s">
        <v>27</v>
      </c>
      <c r="D565" s="190"/>
      <c r="E565" s="11"/>
      <c r="F565" s="12"/>
      <c r="G565" s="13"/>
    </row>
    <row r="566" spans="1:8" s="47" customFormat="1" ht="23.25" customHeight="1" thickBot="1">
      <c r="A566" s="211" t="s">
        <v>516</v>
      </c>
      <c r="B566" s="216" t="str">
        <f ca="1">_xlfn.CONCAT(B532,A566)</f>
        <v>12A5B4D1-ag</v>
      </c>
      <c r="C566" s="14" t="s">
        <v>1</v>
      </c>
      <c r="D566" s="15" t="s">
        <v>28</v>
      </c>
      <c r="E566" s="15" t="s">
        <v>20</v>
      </c>
      <c r="F566" s="16" t="s">
        <v>21</v>
      </c>
      <c r="G566" s="15" t="s">
        <v>5</v>
      </c>
      <c r="H566" s="215"/>
    </row>
    <row r="567" spans="1:8">
      <c r="A567" s="211" t="s">
        <v>517</v>
      </c>
      <c r="B567" s="216" t="str">
        <f ca="1">_xlfn.CONCAT(B532,A567)</f>
        <v>12A5B4D1-ah</v>
      </c>
      <c r="C567" s="30" t="s">
        <v>29</v>
      </c>
      <c r="D567" s="186">
        <f>'H-MO'!$N$77</f>
        <v>725918.52892505517</v>
      </c>
      <c r="E567" s="31">
        <f>+D567/8</f>
        <v>90739.816115631897</v>
      </c>
      <c r="F567" s="32">
        <v>0.06</v>
      </c>
      <c r="G567" s="33">
        <f>+E567*F567</f>
        <v>5444.3889669379132</v>
      </c>
    </row>
    <row r="568" spans="1:8">
      <c r="A568" s="211" t="s">
        <v>518</v>
      </c>
      <c r="B568" s="216" t="str">
        <f ca="1">_xlfn.CONCAT(B532,A568)</f>
        <v>12A5B4D1-ai</v>
      </c>
      <c r="C568" s="34" t="s">
        <v>30</v>
      </c>
      <c r="D568" s="187">
        <f>'H-MO'!$N$86</f>
        <v>685561.39085756091</v>
      </c>
      <c r="E568" s="29">
        <f>+D568/8</f>
        <v>85695.173857195114</v>
      </c>
      <c r="F568" s="28">
        <v>0</v>
      </c>
      <c r="G568" s="33">
        <f>+E568*F568</f>
        <v>0</v>
      </c>
    </row>
    <row r="569" spans="1:8" ht="14.25" thickBot="1">
      <c r="A569" s="211" t="s">
        <v>519</v>
      </c>
      <c r="B569" s="216" t="str">
        <f ca="1">_xlfn.CONCAT(B532,A569)</f>
        <v>12A5B4D1-aj</v>
      </c>
      <c r="C569" s="34"/>
      <c r="D569" s="187"/>
      <c r="E569" s="29"/>
      <c r="F569" s="28"/>
      <c r="G569" s="33">
        <f>+E569*F569</f>
        <v>0</v>
      </c>
    </row>
    <row r="570" spans="1:8" ht="17.25" customHeight="1" thickBot="1">
      <c r="A570" s="211" t="s">
        <v>520</v>
      </c>
      <c r="B570" s="216" t="str">
        <f ca="1">_xlfn.CONCAT(B532,A570)</f>
        <v>12A5B4D1-ak</v>
      </c>
      <c r="C570" s="34"/>
      <c r="D570" s="185"/>
      <c r="E570" s="26"/>
      <c r="F570" s="36" t="s">
        <v>31</v>
      </c>
      <c r="G570" s="23">
        <f>SUM(G567:G569)</f>
        <v>5444.3889669379132</v>
      </c>
    </row>
    <row r="571" spans="1:8" ht="14.25" thickBot="1">
      <c r="A571" s="211" t="s">
        <v>521</v>
      </c>
      <c r="B571" s="216" t="str">
        <f ca="1">_xlfn.CONCAT(B532,A571)</f>
        <v>12A5B4D1-al</v>
      </c>
      <c r="C571" s="37"/>
      <c r="E571" s="38"/>
      <c r="F571" s="22"/>
      <c r="G571" s="39"/>
    </row>
    <row r="572" spans="1:8" ht="23.25" customHeight="1" thickBot="1">
      <c r="A572" s="211" t="s">
        <v>522</v>
      </c>
      <c r="B572" s="216" t="str">
        <f ca="1">_xlfn.CONCAT(B532,A572)</f>
        <v>12A5B4D1-am</v>
      </c>
      <c r="C572" s="40"/>
      <c r="D572" s="193"/>
      <c r="E572" s="41"/>
      <c r="F572" s="42"/>
      <c r="G572" s="43">
        <f>+G555+G564+G570</f>
        <v>22623.790841937913</v>
      </c>
    </row>
    <row r="573" spans="1:8" ht="21.75" thickBot="1">
      <c r="B573" s="212" t="s">
        <v>550</v>
      </c>
      <c r="C573" s="2"/>
      <c r="D573" s="183"/>
      <c r="F573" s="4"/>
      <c r="G573" s="5"/>
    </row>
    <row r="574" spans="1:8" s="45" customFormat="1" ht="34.5" customHeight="1">
      <c r="A574" s="213"/>
      <c r="B574" s="214">
        <v>14</v>
      </c>
      <c r="C574" s="242" t="str">
        <f ca="1">_xlfn.XLOOKUP(B574,Cantidades!$A$10:$A$314,Cantidades!$C$10:$C$314,,0,1)</f>
        <v>Suministro e instalación de interruptor automático 3x40A en caja moldeada</v>
      </c>
      <c r="D574" s="243"/>
      <c r="E574" s="243"/>
      <c r="F574" s="243"/>
      <c r="G574" s="244"/>
      <c r="H574" s="213"/>
    </row>
    <row r="575" spans="1:8" s="47" customFormat="1" ht="24.95" customHeight="1" thickBot="1">
      <c r="A575" s="215"/>
      <c r="B575" s="216" t="s">
        <v>550</v>
      </c>
      <c r="C575" s="177"/>
      <c r="D575" s="189"/>
      <c r="E575" s="178"/>
      <c r="F575" s="179" t="s">
        <v>636</v>
      </c>
      <c r="G575" s="209" t="str">
        <f ca="1">B576</f>
        <v>34F286E3-</v>
      </c>
      <c r="H575" s="215"/>
    </row>
    <row r="576" spans="1:8" ht="28.5" customHeight="1" thickBot="1">
      <c r="B576" s="212" t="str">
        <f ca="1">_xlfn.XLOOKUP(C574,Cantidades!$C$1:$C$314,Cantidades!$B$1:$B$314,"",0,1)</f>
        <v>34F286E3-</v>
      </c>
      <c r="C576" s="10" t="s">
        <v>0</v>
      </c>
      <c r="D576" s="190"/>
      <c r="E576" s="11"/>
      <c r="F576" s="12"/>
      <c r="G576" s="13"/>
    </row>
    <row r="577" spans="1:8" s="47" customFormat="1" ht="23.25" customHeight="1" thickBot="1">
      <c r="A577" s="215"/>
      <c r="B577" s="216" t="s">
        <v>550</v>
      </c>
      <c r="C577" s="14" t="s">
        <v>1</v>
      </c>
      <c r="D577" s="15" t="s">
        <v>2</v>
      </c>
      <c r="E577" s="15" t="s">
        <v>3</v>
      </c>
      <c r="F577" s="16" t="s">
        <v>4</v>
      </c>
      <c r="G577" s="15" t="s">
        <v>5</v>
      </c>
      <c r="H577" s="215"/>
    </row>
    <row r="578" spans="1:8" ht="15">
      <c r="A578" s="211" t="s">
        <v>484</v>
      </c>
      <c r="B578" s="216" t="str">
        <f ca="1">_xlfn.CONCAT(B576,A578)</f>
        <v>34F286E3-A</v>
      </c>
      <c r="C578" s="17" t="str">
        <f>_xlfn.XLOOKUP(H578,'Materiales unitario'!$A$1:$A$2500,'Materiales unitario'!B$1:B$2500,,0,1)</f>
        <v>Totalizador industrial 3x40 amperios en caja moldeada</v>
      </c>
      <c r="D578" s="184" t="str">
        <f>_xlfn.XLOOKUP(H578,'Materiales unitario'!A$1:A$2500,'Materiales unitario'!C$1:C$2500,,0,1)</f>
        <v>un</v>
      </c>
      <c r="E578" s="197">
        <f>_xlfn.XLOOKUP(H578,'Materiales unitario'!$A$1:$A$2500,'Materiales unitario'!D$1:D$2500,,0,1)</f>
        <v>286700</v>
      </c>
      <c r="F578" s="19">
        <v>1</v>
      </c>
      <c r="G578" s="20">
        <f>+E578*F578</f>
        <v>286700</v>
      </c>
      <c r="H578" s="217" t="s">
        <v>562</v>
      </c>
    </row>
    <row r="579" spans="1:8" ht="15">
      <c r="A579" s="211" t="s">
        <v>485</v>
      </c>
      <c r="B579" s="216" t="str">
        <f ca="1">_xlfn.CONCAT(B576,A579)</f>
        <v>34F286E3-B</v>
      </c>
      <c r="C579" s="17"/>
      <c r="D579" s="184"/>
      <c r="E579" s="197"/>
      <c r="F579" s="19"/>
      <c r="G579" s="20"/>
      <c r="H579" s="217"/>
    </row>
    <row r="580" spans="1:8">
      <c r="A580" s="211" t="s">
        <v>486</v>
      </c>
      <c r="B580" s="216" t="str">
        <f ca="1">_xlfn.CONCAT(B576,A580)</f>
        <v>34F286E3-C</v>
      </c>
      <c r="C580" s="17"/>
      <c r="D580" s="184"/>
      <c r="E580" s="197"/>
      <c r="F580" s="19"/>
      <c r="G580" s="20"/>
    </row>
    <row r="581" spans="1:8">
      <c r="A581" s="211" t="s">
        <v>487</v>
      </c>
      <c r="B581" s="216" t="str">
        <f ca="1">_xlfn.CONCAT(B576,A581)</f>
        <v>34F286E3-D</v>
      </c>
      <c r="C581" s="17"/>
      <c r="D581" s="184"/>
      <c r="E581" s="197"/>
      <c r="F581" s="19"/>
      <c r="G581" s="20"/>
    </row>
    <row r="582" spans="1:8">
      <c r="A582" s="211" t="s">
        <v>488</v>
      </c>
      <c r="B582" s="216" t="str">
        <f ca="1">_xlfn.CONCAT(B576,A582)</f>
        <v>34F286E3-E</v>
      </c>
      <c r="C582" s="17"/>
      <c r="D582" s="184"/>
      <c r="E582" s="197"/>
      <c r="F582" s="19"/>
      <c r="G582" s="20"/>
    </row>
    <row r="583" spans="1:8">
      <c r="A583" s="211" t="s">
        <v>489</v>
      </c>
      <c r="B583" s="216" t="str">
        <f ca="1">_xlfn.CONCAT(B576,A583)</f>
        <v>34F286E3-F</v>
      </c>
      <c r="C583" s="17"/>
      <c r="D583" s="184"/>
      <c r="E583" s="197"/>
      <c r="F583" s="19"/>
      <c r="G583" s="20"/>
    </row>
    <row r="584" spans="1:8">
      <c r="A584" s="211" t="s">
        <v>490</v>
      </c>
      <c r="B584" s="216" t="str">
        <f ca="1">_xlfn.CONCAT(B576,A584)</f>
        <v>34F286E3-G</v>
      </c>
      <c r="C584" s="17"/>
      <c r="D584" s="184"/>
      <c r="E584" s="197"/>
      <c r="F584" s="19"/>
      <c r="G584" s="20"/>
    </row>
    <row r="585" spans="1:8">
      <c r="A585" s="211" t="s">
        <v>491</v>
      </c>
      <c r="B585" s="216" t="str">
        <f ca="1">_xlfn.CONCAT(B576,A585)</f>
        <v>34F286E3-H</v>
      </c>
      <c r="C585" s="17"/>
      <c r="D585" s="184"/>
      <c r="E585" s="197"/>
      <c r="F585" s="19"/>
      <c r="G585" s="20"/>
    </row>
    <row r="586" spans="1:8">
      <c r="A586" s="211" t="s">
        <v>492</v>
      </c>
      <c r="B586" s="216" t="str">
        <f ca="1">_xlfn.CONCAT(B576,A586)</f>
        <v>34F286E3-I</v>
      </c>
      <c r="C586" s="17"/>
      <c r="D586" s="184"/>
      <c r="E586" s="197"/>
      <c r="F586" s="19"/>
      <c r="G586" s="20"/>
    </row>
    <row r="587" spans="1:8">
      <c r="A587" s="211" t="s">
        <v>493</v>
      </c>
      <c r="B587" s="216" t="str">
        <f ca="1">_xlfn.CONCAT(B576,A587)</f>
        <v>34F286E3-J</v>
      </c>
      <c r="C587" s="17"/>
      <c r="D587" s="184"/>
      <c r="E587" s="197"/>
      <c r="F587" s="19"/>
      <c r="G587" s="20"/>
    </row>
    <row r="588" spans="1:8">
      <c r="A588" s="211" t="s">
        <v>494</v>
      </c>
      <c r="B588" s="216" t="str">
        <f ca="1">_xlfn.CONCAT(B576,A588)</f>
        <v>34F286E3-K</v>
      </c>
      <c r="C588" s="17"/>
      <c r="D588" s="184"/>
      <c r="E588" s="197"/>
      <c r="F588" s="19"/>
      <c r="G588" s="20"/>
    </row>
    <row r="589" spans="1:8">
      <c r="A589" s="211" t="s">
        <v>495</v>
      </c>
      <c r="B589" s="216" t="str">
        <f ca="1">_xlfn.CONCAT(B576,A589)</f>
        <v>34F286E3-L</v>
      </c>
      <c r="C589" s="17"/>
      <c r="D589" s="184"/>
      <c r="E589" s="197"/>
      <c r="F589" s="19"/>
      <c r="G589" s="20"/>
    </row>
    <row r="590" spans="1:8">
      <c r="A590" s="211" t="s">
        <v>496</v>
      </c>
      <c r="B590" s="216" t="str">
        <f ca="1">_xlfn.CONCAT(B576,A590)</f>
        <v>34F286E3-M</v>
      </c>
      <c r="C590" s="17"/>
      <c r="D590" s="184"/>
      <c r="E590" s="197"/>
      <c r="F590" s="19"/>
      <c r="G590" s="20"/>
    </row>
    <row r="591" spans="1:8">
      <c r="A591" s="211" t="s">
        <v>497</v>
      </c>
      <c r="B591" s="216" t="str">
        <f ca="1">_xlfn.CONCAT(B576,A591)</f>
        <v>34F286E3-N</v>
      </c>
      <c r="C591" s="17"/>
      <c r="D591" s="184"/>
      <c r="E591" s="197"/>
      <c r="F591" s="19"/>
      <c r="G591" s="20"/>
    </row>
    <row r="592" spans="1:8">
      <c r="A592" s="211" t="s">
        <v>498</v>
      </c>
      <c r="B592" s="216" t="str">
        <f ca="1">_xlfn.CONCAT(B576,A592)</f>
        <v>34F286E3-O</v>
      </c>
      <c r="C592" s="17"/>
      <c r="D592" s="184"/>
      <c r="E592" s="197"/>
      <c r="F592" s="19"/>
      <c r="G592" s="20"/>
    </row>
    <row r="593" spans="1:8">
      <c r="A593" s="211" t="s">
        <v>499</v>
      </c>
      <c r="B593" s="216" t="str">
        <f ca="1">_xlfn.CONCAT(B576,A593)</f>
        <v>34F286E3-P</v>
      </c>
      <c r="C593" s="17"/>
      <c r="D593" s="184"/>
      <c r="E593" s="197"/>
      <c r="F593" s="19"/>
      <c r="G593" s="20"/>
    </row>
    <row r="594" spans="1:8">
      <c r="A594" s="211" t="s">
        <v>500</v>
      </c>
      <c r="B594" s="216" t="str">
        <f ca="1">_xlfn.CONCAT(B576,A594)</f>
        <v>34F286E3-Q</v>
      </c>
      <c r="C594" s="17"/>
      <c r="D594" s="184"/>
      <c r="E594" s="197"/>
      <c r="F594" s="19"/>
      <c r="G594" s="20"/>
    </row>
    <row r="595" spans="1:8">
      <c r="A595" s="211" t="s">
        <v>501</v>
      </c>
      <c r="B595" s="216" t="str">
        <f ca="1">_xlfn.CONCAT(B576,A595)</f>
        <v>34F286E3-R</v>
      </c>
      <c r="C595" s="17"/>
      <c r="D595" s="184"/>
      <c r="E595" s="197"/>
      <c r="F595" s="19"/>
      <c r="G595" s="20"/>
    </row>
    <row r="596" spans="1:8">
      <c r="A596" s="211" t="s">
        <v>502</v>
      </c>
      <c r="B596" s="216" t="str">
        <f ca="1">_xlfn.CONCAT(B576,A596)</f>
        <v>34F286E3-S</v>
      </c>
      <c r="C596" s="17"/>
      <c r="D596" s="184"/>
      <c r="E596" s="197"/>
      <c r="F596" s="19"/>
      <c r="G596" s="20"/>
    </row>
    <row r="597" spans="1:8">
      <c r="A597" s="211" t="s">
        <v>503</v>
      </c>
      <c r="B597" s="216" t="str">
        <f ca="1">_xlfn.CONCAT(B576,A597)</f>
        <v>34F286E3-T</v>
      </c>
      <c r="C597" s="17"/>
      <c r="D597" s="184"/>
      <c r="E597" s="197"/>
      <c r="F597" s="19"/>
      <c r="G597" s="20"/>
    </row>
    <row r="598" spans="1:8" ht="14.25" thickBot="1">
      <c r="A598" s="211" t="s">
        <v>504</v>
      </c>
      <c r="B598" s="216" t="str">
        <f ca="1">_xlfn.CONCAT(B576,A598)</f>
        <v>34F286E3-U</v>
      </c>
      <c r="C598" s="17"/>
      <c r="D598" s="184"/>
      <c r="E598" s="197"/>
      <c r="F598" s="19"/>
      <c r="G598" s="20"/>
    </row>
    <row r="599" spans="1:8" ht="16.5" customHeight="1" thickBot="1">
      <c r="A599" s="211" t="s">
        <v>505</v>
      </c>
      <c r="B599" s="216" t="str">
        <f ca="1">_xlfn.CONCAT(B576,A599)</f>
        <v>34F286E3-V</v>
      </c>
      <c r="C599" s="17" t="s">
        <v>17</v>
      </c>
      <c r="D599" s="192" t="s">
        <v>17</v>
      </c>
      <c r="E599" s="18"/>
      <c r="F599" s="22" t="s">
        <v>18</v>
      </c>
      <c r="G599" s="23">
        <f>SUM(G578:G598)</f>
        <v>286700</v>
      </c>
    </row>
    <row r="600" spans="1:8" ht="28.5" customHeight="1" thickBot="1">
      <c r="A600" s="211" t="s">
        <v>506</v>
      </c>
      <c r="B600" s="216" t="str">
        <f ca="1">_xlfn.CONCAT(B576,A600)</f>
        <v>34F286E3-W</v>
      </c>
      <c r="C600" s="10" t="s">
        <v>19</v>
      </c>
      <c r="D600" s="190"/>
      <c r="E600" s="11"/>
      <c r="F600" s="12"/>
      <c r="G600" s="13"/>
    </row>
    <row r="601" spans="1:8" s="47" customFormat="1" ht="23.25" customHeight="1" thickBot="1">
      <c r="A601" s="211" t="s">
        <v>507</v>
      </c>
      <c r="B601" s="216" t="str">
        <f ca="1">_xlfn.CONCAT(B576,A601)</f>
        <v>34F286E3-X</v>
      </c>
      <c r="C601" s="14" t="s">
        <v>1</v>
      </c>
      <c r="D601" s="15"/>
      <c r="E601" s="15" t="s">
        <v>20</v>
      </c>
      <c r="F601" s="16" t="s">
        <v>21</v>
      </c>
      <c r="G601" s="15" t="s">
        <v>5</v>
      </c>
      <c r="H601" s="215"/>
    </row>
    <row r="602" spans="1:8">
      <c r="A602" s="211" t="s">
        <v>508</v>
      </c>
      <c r="B602" s="216" t="str">
        <f ca="1">_xlfn.CONCAT(B576,A602)</f>
        <v>34F286E3-Y</v>
      </c>
      <c r="C602" s="24" t="s">
        <v>22</v>
      </c>
      <c r="D602" s="184"/>
      <c r="E602" s="25">
        <f>_xlfn.XLOOKUP(C602,'H-MO'!B$7:B$30,'H-MO'!D$7:D$30,,0,1)</f>
        <v>2436.5624999999995</v>
      </c>
      <c r="F602" s="19">
        <v>0.4</v>
      </c>
      <c r="G602" s="33">
        <f t="shared" ref="G602:G607" si="12">+E602*F602</f>
        <v>974.62499999999989</v>
      </c>
    </row>
    <row r="603" spans="1:8">
      <c r="A603" s="211" t="s">
        <v>509</v>
      </c>
      <c r="B603" s="216" t="str">
        <f ca="1">_xlfn.CONCAT(B576,A603)</f>
        <v>34F286E3-Z</v>
      </c>
      <c r="C603" s="24" t="s">
        <v>23</v>
      </c>
      <c r="D603" s="184"/>
      <c r="E603" s="25">
        <f>_xlfn.XLOOKUP(C603,'H-MO'!B$7:B$30,'H-MO'!D$7:D$30,,0,1)</f>
        <v>1461.9374999999998</v>
      </c>
      <c r="F603" s="19">
        <v>0.5</v>
      </c>
      <c r="G603" s="33">
        <f t="shared" si="12"/>
        <v>730.96874999999989</v>
      </c>
    </row>
    <row r="604" spans="1:8">
      <c r="A604" s="211" t="s">
        <v>510</v>
      </c>
      <c r="B604" s="216" t="str">
        <f ca="1">_xlfn.CONCAT(B576,A604)</f>
        <v>34F286E3-aa</v>
      </c>
      <c r="C604" s="24" t="s">
        <v>24</v>
      </c>
      <c r="D604" s="185"/>
      <c r="E604" s="25">
        <f>_xlfn.XLOOKUP(C604,'H-MO'!B$7:B$30,'H-MO'!D$7:D$30,,0,1)</f>
        <v>29238.749999999996</v>
      </c>
      <c r="F604" s="28">
        <v>0.05</v>
      </c>
      <c r="G604" s="33">
        <f t="shared" si="12"/>
        <v>1461.9375</v>
      </c>
    </row>
    <row r="605" spans="1:8">
      <c r="A605" s="211" t="s">
        <v>511</v>
      </c>
      <c r="B605" s="216" t="str">
        <f ca="1">_xlfn.CONCAT(B576,A605)</f>
        <v>34F286E3-ab</v>
      </c>
      <c r="C605" s="24" t="s">
        <v>25</v>
      </c>
      <c r="D605" s="185"/>
      <c r="E605" s="25">
        <f>_xlfn.XLOOKUP(C605,'H-MO'!B$7:B$30,'H-MO'!D$7:D$30,,0,1)</f>
        <v>2761.4374999999995</v>
      </c>
      <c r="F605" s="28">
        <v>0.01</v>
      </c>
      <c r="G605" s="33">
        <f t="shared" si="12"/>
        <v>27.614374999999995</v>
      </c>
    </row>
    <row r="606" spans="1:8">
      <c r="A606" s="211" t="s">
        <v>512</v>
      </c>
      <c r="B606" s="216" t="str">
        <f ca="1">_xlfn.CONCAT(B576,A606)</f>
        <v>34F286E3-ac</v>
      </c>
      <c r="C606" s="24"/>
      <c r="D606" s="185"/>
      <c r="E606" s="29"/>
      <c r="F606" s="28"/>
      <c r="G606" s="33">
        <f t="shared" si="12"/>
        <v>0</v>
      </c>
    </row>
    <row r="607" spans="1:8" ht="14.25" thickBot="1">
      <c r="A607" s="211" t="s">
        <v>513</v>
      </c>
      <c r="B607" s="216" t="str">
        <f ca="1">_xlfn.CONCAT(B576,A607)</f>
        <v>34F286E3-ad</v>
      </c>
      <c r="C607" s="24"/>
      <c r="D607" s="185"/>
      <c r="E607" s="29"/>
      <c r="F607" s="28"/>
      <c r="G607" s="33">
        <f t="shared" si="12"/>
        <v>0</v>
      </c>
    </row>
    <row r="608" spans="1:8" ht="16.5" customHeight="1" thickBot="1">
      <c r="A608" s="211" t="s">
        <v>514</v>
      </c>
      <c r="B608" s="216" t="str">
        <f ca="1">_xlfn.CONCAT(B576,A608)</f>
        <v>34F286E3-ae</v>
      </c>
      <c r="C608" s="17"/>
      <c r="D608" s="192"/>
      <c r="E608" s="18"/>
      <c r="F608" s="22" t="s">
        <v>26</v>
      </c>
      <c r="G608" s="23">
        <f>SUM(G602:G607)</f>
        <v>3195.1456250000001</v>
      </c>
    </row>
    <row r="609" spans="1:8" ht="28.5" customHeight="1" thickBot="1">
      <c r="A609" s="211" t="s">
        <v>515</v>
      </c>
      <c r="B609" s="216" t="str">
        <f ca="1">_xlfn.CONCAT(B576,A609)</f>
        <v>34F286E3-af</v>
      </c>
      <c r="C609" s="10" t="s">
        <v>27</v>
      </c>
      <c r="D609" s="190"/>
      <c r="E609" s="11"/>
      <c r="F609" s="12"/>
      <c r="G609" s="13"/>
    </row>
    <row r="610" spans="1:8" s="47" customFormat="1" ht="23.25" customHeight="1" thickBot="1">
      <c r="A610" s="211" t="s">
        <v>516</v>
      </c>
      <c r="B610" s="216" t="str">
        <f ca="1">_xlfn.CONCAT(B576,A610)</f>
        <v>34F286E3-ag</v>
      </c>
      <c r="C610" s="14" t="s">
        <v>1</v>
      </c>
      <c r="D610" s="15" t="s">
        <v>28</v>
      </c>
      <c r="E610" s="15" t="s">
        <v>20</v>
      </c>
      <c r="F610" s="16" t="s">
        <v>21</v>
      </c>
      <c r="G610" s="15" t="s">
        <v>5</v>
      </c>
      <c r="H610" s="215"/>
    </row>
    <row r="611" spans="1:8">
      <c r="A611" s="211" t="s">
        <v>517</v>
      </c>
      <c r="B611" s="216" t="str">
        <f ca="1">_xlfn.CONCAT(B576,A611)</f>
        <v>34F286E3-ah</v>
      </c>
      <c r="C611" s="30" t="s">
        <v>29</v>
      </c>
      <c r="D611" s="186">
        <f>'H-MO'!$N$77</f>
        <v>725918.52892505517</v>
      </c>
      <c r="E611" s="31">
        <f>+D611/8</f>
        <v>90739.816115631897</v>
      </c>
      <c r="F611" s="32">
        <v>0.45</v>
      </c>
      <c r="G611" s="33">
        <f>+E611*F611</f>
        <v>40832.917252034356</v>
      </c>
    </row>
    <row r="612" spans="1:8">
      <c r="A612" s="211" t="s">
        <v>518</v>
      </c>
      <c r="B612" s="216" t="str">
        <f ca="1">_xlfn.CONCAT(B576,A612)</f>
        <v>34F286E3-ai</v>
      </c>
      <c r="C612" s="34" t="s">
        <v>30</v>
      </c>
      <c r="D612" s="187">
        <f>'H-MO'!$N$86</f>
        <v>685561.39085756091</v>
      </c>
      <c r="E612" s="29">
        <f>+D612/8</f>
        <v>85695.173857195114</v>
      </c>
      <c r="F612" s="28">
        <v>0</v>
      </c>
      <c r="G612" s="33">
        <f>+E612*F612</f>
        <v>0</v>
      </c>
    </row>
    <row r="613" spans="1:8" ht="14.25" thickBot="1">
      <c r="A613" s="211" t="s">
        <v>519</v>
      </c>
      <c r="B613" s="216" t="str">
        <f ca="1">_xlfn.CONCAT(B576,A613)</f>
        <v>34F286E3-aj</v>
      </c>
      <c r="C613" s="34"/>
      <c r="D613" s="187"/>
      <c r="E613" s="29"/>
      <c r="F613" s="28"/>
      <c r="G613" s="33">
        <f>+E613*F613</f>
        <v>0</v>
      </c>
    </row>
    <row r="614" spans="1:8" ht="17.25" customHeight="1" thickBot="1">
      <c r="A614" s="211" t="s">
        <v>520</v>
      </c>
      <c r="B614" s="216" t="str">
        <f ca="1">_xlfn.CONCAT(B576,A614)</f>
        <v>34F286E3-ak</v>
      </c>
      <c r="C614" s="34"/>
      <c r="D614" s="185"/>
      <c r="E614" s="26"/>
      <c r="F614" s="36" t="s">
        <v>31</v>
      </c>
      <c r="G614" s="23">
        <f>SUM(G611:G613)</f>
        <v>40832.917252034356</v>
      </c>
    </row>
    <row r="615" spans="1:8" ht="14.25" thickBot="1">
      <c r="A615" s="211" t="s">
        <v>521</v>
      </c>
      <c r="B615" s="216" t="str">
        <f ca="1">_xlfn.CONCAT(B576,A615)</f>
        <v>34F286E3-al</v>
      </c>
      <c r="C615" s="37"/>
      <c r="E615" s="38"/>
      <c r="F615" s="22"/>
      <c r="G615" s="39"/>
    </row>
    <row r="616" spans="1:8" ht="23.25" customHeight="1" thickBot="1">
      <c r="A616" s="211" t="s">
        <v>522</v>
      </c>
      <c r="B616" s="216" t="str">
        <f ca="1">_xlfn.CONCAT(B576,A616)</f>
        <v>34F286E3-am</v>
      </c>
      <c r="C616" s="40"/>
      <c r="D616" s="193"/>
      <c r="E616" s="41"/>
      <c r="F616" s="42"/>
      <c r="G616" s="43">
        <f>+G599+G608+G614</f>
        <v>330728.06287703436</v>
      </c>
    </row>
    <row r="617" spans="1:8" ht="21.75" thickBot="1">
      <c r="B617" s="212" t="s">
        <v>550</v>
      </c>
      <c r="C617" s="2"/>
      <c r="D617" s="183"/>
      <c r="F617" s="4"/>
      <c r="G617" s="5"/>
    </row>
    <row r="618" spans="1:8" s="45" customFormat="1" ht="34.5" customHeight="1">
      <c r="A618" s="213"/>
      <c r="B618" s="214">
        <v>15</v>
      </c>
      <c r="C618" s="242" t="str">
        <f ca="1">_xlfn.XLOOKUP(B618,Cantidades!$A$10:$A$314,Cantidades!$C$10:$C$314,,0,1)</f>
        <v>Suministro e instalación de acometida 3#1/0(F)+1#1/0(N)+1#6(T) de cobre</v>
      </c>
      <c r="D618" s="243"/>
      <c r="E618" s="243"/>
      <c r="F618" s="243"/>
      <c r="G618" s="244"/>
      <c r="H618" s="213"/>
    </row>
    <row r="619" spans="1:8" s="47" customFormat="1" ht="24.95" customHeight="1" thickBot="1">
      <c r="A619" s="215"/>
      <c r="B619" s="216" t="s">
        <v>550</v>
      </c>
      <c r="C619" s="177"/>
      <c r="D619" s="189"/>
      <c r="E619" s="178"/>
      <c r="F619" s="179" t="s">
        <v>636</v>
      </c>
      <c r="G619" s="209" t="str">
        <f ca="1">B620</f>
        <v>2CE82924-</v>
      </c>
      <c r="H619" s="215"/>
    </row>
    <row r="620" spans="1:8" ht="28.5" customHeight="1" thickBot="1">
      <c r="B620" s="212" t="str">
        <f ca="1">_xlfn.XLOOKUP(C618,Cantidades!$C$1:$C$314,Cantidades!$B$1:$B$314,"",0,1)</f>
        <v>2CE82924-</v>
      </c>
      <c r="C620" s="10" t="s">
        <v>0</v>
      </c>
      <c r="D620" s="190"/>
      <c r="E620" s="11"/>
      <c r="F620" s="12"/>
      <c r="G620" s="13"/>
    </row>
    <row r="621" spans="1:8" s="47" customFormat="1" ht="23.25" customHeight="1" thickBot="1">
      <c r="A621" s="215"/>
      <c r="B621" s="216" t="s">
        <v>550</v>
      </c>
      <c r="C621" s="14" t="s">
        <v>1</v>
      </c>
      <c r="D621" s="15" t="s">
        <v>2</v>
      </c>
      <c r="E621" s="15" t="s">
        <v>3</v>
      </c>
      <c r="F621" s="16" t="s">
        <v>4</v>
      </c>
      <c r="G621" s="15" t="s">
        <v>5</v>
      </c>
      <c r="H621" s="215"/>
    </row>
    <row r="622" spans="1:8" ht="15">
      <c r="A622" s="211" t="s">
        <v>484</v>
      </c>
      <c r="B622" s="216" t="str">
        <f ca="1">_xlfn.CONCAT(B620,A622)</f>
        <v>2CE82924-A</v>
      </c>
      <c r="C622" s="17" t="str">
        <f>_xlfn.XLOOKUP(H622,'Materiales unitario'!$A$1:$A$2500,'Materiales unitario'!B$1:B$2500,,0,1)</f>
        <v>Cable de cobre aislado #1/0 AWG-THHN/THWN Color negro</v>
      </c>
      <c r="D622" s="184" t="str">
        <f>_xlfn.XLOOKUP(H622,'Materiales unitario'!A$1:A$2500,'Materiales unitario'!C$1:C$2500,,0,1)</f>
        <v>ml</v>
      </c>
      <c r="E622" s="197">
        <f>_xlfn.XLOOKUP(H622,'Materiales unitario'!$A$1:$A$2500,'Materiales unitario'!D$1:D$2500,,0,1)</f>
        <v>39250</v>
      </c>
      <c r="F622" s="19">
        <v>4.2</v>
      </c>
      <c r="G622" s="20">
        <f>+E622*F622</f>
        <v>164850</v>
      </c>
      <c r="H622" s="217" t="s">
        <v>264</v>
      </c>
    </row>
    <row r="623" spans="1:8" ht="15">
      <c r="A623" s="211" t="s">
        <v>485</v>
      </c>
      <c r="B623" s="216" t="str">
        <f ca="1">_xlfn.CONCAT(B620,A623)</f>
        <v>2CE82924-B</v>
      </c>
      <c r="C623" s="17" t="str">
        <f>_xlfn.XLOOKUP(H623,'Materiales unitario'!$A$1:$A$2500,'Materiales unitario'!B$1:B$2500,,0,1)</f>
        <v>Cable de cobre aislado #6 AWG-THHN/THWN Color negro</v>
      </c>
      <c r="D623" s="184" t="str">
        <f>_xlfn.XLOOKUP(H623,'Materiales unitario'!A$1:A$2500,'Materiales unitario'!C$1:C$2500,,0,1)</f>
        <v>ml</v>
      </c>
      <c r="E623" s="197">
        <f>_xlfn.XLOOKUP(H623,'Materiales unitario'!$A$1:$A$2500,'Materiales unitario'!D$1:D$2500,,0,1)</f>
        <v>10300</v>
      </c>
      <c r="F623" s="19">
        <v>1.05</v>
      </c>
      <c r="G623" s="20">
        <f>+E623*F623</f>
        <v>10815</v>
      </c>
      <c r="H623" s="217" t="s">
        <v>273</v>
      </c>
    </row>
    <row r="624" spans="1:8" ht="15">
      <c r="A624" s="211" t="s">
        <v>486</v>
      </c>
      <c r="B624" s="216" t="str">
        <f ca="1">_xlfn.CONCAT(B620,A624)</f>
        <v>2CE82924-C</v>
      </c>
      <c r="C624" s="17" t="str">
        <f>_xlfn.XLOOKUP(H624,'Materiales unitario'!$A$1:$A$2500,'Materiales unitario'!B$1:B$2500,,0,1)</f>
        <v>Borna terminal estañada  de ojo tipo pala #1/0 AWG</v>
      </c>
      <c r="D624" s="184" t="str">
        <f>_xlfn.XLOOKUP(H624,'Materiales unitario'!A$1:A$2500,'Materiales unitario'!C$1:C$2500,,0,1)</f>
        <v>un</v>
      </c>
      <c r="E624" s="197">
        <f>_xlfn.XLOOKUP(H624,'Materiales unitario'!$A$1:$A$2500,'Materiales unitario'!D$1:D$2500,,0,1)</f>
        <v>4260</v>
      </c>
      <c r="F624" s="19">
        <v>1.143</v>
      </c>
      <c r="G624" s="20">
        <f>+E624*F624</f>
        <v>4869.18</v>
      </c>
      <c r="H624" s="217" t="s">
        <v>248</v>
      </c>
    </row>
    <row r="625" spans="1:8" ht="15">
      <c r="A625" s="211" t="s">
        <v>487</v>
      </c>
      <c r="B625" s="216" t="str">
        <f ca="1">_xlfn.CONCAT(B620,A625)</f>
        <v>2CE82924-D</v>
      </c>
      <c r="C625" s="17" t="str">
        <f>_xlfn.XLOOKUP(H625,'Materiales unitario'!$A$1:$A$2500,'Materiales unitario'!B$1:B$2500,,0,1)</f>
        <v>Borna terminal estañada de ojo tipo pala #6 AWG</v>
      </c>
      <c r="D625" s="184" t="str">
        <f>_xlfn.XLOOKUP(H625,'Materiales unitario'!A$1:A$2500,'Materiales unitario'!C$1:C$2500,,0,1)</f>
        <v>un</v>
      </c>
      <c r="E625" s="197">
        <f>_xlfn.XLOOKUP(H625,'Materiales unitario'!$A$1:$A$2500,'Materiales unitario'!D$1:D$2500,,0,1)</f>
        <v>1800</v>
      </c>
      <c r="F625" s="19">
        <v>0.28599999999999998</v>
      </c>
      <c r="G625" s="20">
        <f>+E625*F625</f>
        <v>514.79999999999995</v>
      </c>
      <c r="H625" s="217" t="s">
        <v>254</v>
      </c>
    </row>
    <row r="626" spans="1:8" ht="15">
      <c r="A626" s="211" t="s">
        <v>488</v>
      </c>
      <c r="B626" s="216" t="str">
        <f ca="1">_xlfn.CONCAT(B620,A626)</f>
        <v>2CE82924-E</v>
      </c>
      <c r="C626" s="17" t="str">
        <f>_xlfn.XLOOKUP(H626,'Materiales unitario'!$A$1:$A$2500,'Materiales unitario'!B$1:B$2500,,0,1)</f>
        <v>Termoencogible</v>
      </c>
      <c r="D626" s="184" t="str">
        <f>_xlfn.XLOOKUP(H626,'Materiales unitario'!A$1:A$2500,'Materiales unitario'!C$1:C$2500,,0,1)</f>
        <v>un</v>
      </c>
      <c r="E626" s="197">
        <f>_xlfn.XLOOKUP(H626,'Materiales unitario'!$A$1:$A$2500,'Materiales unitario'!D$1:D$2500,,0,1)</f>
        <v>5000</v>
      </c>
      <c r="F626" s="19">
        <v>0.1</v>
      </c>
      <c r="G626" s="20">
        <f>+E626*F626</f>
        <v>500</v>
      </c>
      <c r="H626" s="217" t="s">
        <v>373</v>
      </c>
    </row>
    <row r="627" spans="1:8">
      <c r="A627" s="211" t="s">
        <v>489</v>
      </c>
      <c r="B627" s="216" t="str">
        <f ca="1">_xlfn.CONCAT(B620,A627)</f>
        <v>2CE82924-F</v>
      </c>
      <c r="C627" s="17"/>
      <c r="D627" s="184"/>
      <c r="E627" s="197"/>
      <c r="F627" s="19"/>
      <c r="G627" s="20"/>
    </row>
    <row r="628" spans="1:8">
      <c r="A628" s="211" t="s">
        <v>490</v>
      </c>
      <c r="B628" s="216" t="str">
        <f ca="1">_xlfn.CONCAT(B620,A628)</f>
        <v>2CE82924-G</v>
      </c>
      <c r="C628" s="17"/>
      <c r="D628" s="184"/>
      <c r="E628" s="197"/>
      <c r="F628" s="19"/>
      <c r="G628" s="20"/>
    </row>
    <row r="629" spans="1:8">
      <c r="A629" s="211" t="s">
        <v>491</v>
      </c>
      <c r="B629" s="216" t="str">
        <f ca="1">_xlfn.CONCAT(B620,A629)</f>
        <v>2CE82924-H</v>
      </c>
      <c r="C629" s="17"/>
      <c r="D629" s="184"/>
      <c r="E629" s="197"/>
      <c r="F629" s="19"/>
      <c r="G629" s="20"/>
    </row>
    <row r="630" spans="1:8">
      <c r="A630" s="211" t="s">
        <v>492</v>
      </c>
      <c r="B630" s="216" t="str">
        <f ca="1">_xlfn.CONCAT(B620,A630)</f>
        <v>2CE82924-I</v>
      </c>
      <c r="C630" s="17"/>
      <c r="D630" s="184"/>
      <c r="E630" s="197"/>
      <c r="F630" s="19"/>
      <c r="G630" s="20"/>
    </row>
    <row r="631" spans="1:8">
      <c r="A631" s="211" t="s">
        <v>493</v>
      </c>
      <c r="B631" s="216" t="str">
        <f ca="1">_xlfn.CONCAT(B620,A631)</f>
        <v>2CE82924-J</v>
      </c>
      <c r="C631" s="17"/>
      <c r="D631" s="184"/>
      <c r="E631" s="197"/>
      <c r="F631" s="19"/>
      <c r="G631" s="20"/>
    </row>
    <row r="632" spans="1:8">
      <c r="A632" s="211" t="s">
        <v>494</v>
      </c>
      <c r="B632" s="216" t="str">
        <f ca="1">_xlfn.CONCAT(B620,A632)</f>
        <v>2CE82924-K</v>
      </c>
      <c r="C632" s="17"/>
      <c r="D632" s="184"/>
      <c r="E632" s="197"/>
      <c r="F632" s="19"/>
      <c r="G632" s="20"/>
    </row>
    <row r="633" spans="1:8">
      <c r="A633" s="211" t="s">
        <v>495</v>
      </c>
      <c r="B633" s="216" t="str">
        <f ca="1">_xlfn.CONCAT(B620,A633)</f>
        <v>2CE82924-L</v>
      </c>
      <c r="C633" s="17"/>
      <c r="D633" s="184"/>
      <c r="E633" s="197"/>
      <c r="F633" s="19"/>
      <c r="G633" s="20"/>
    </row>
    <row r="634" spans="1:8">
      <c r="A634" s="211" t="s">
        <v>496</v>
      </c>
      <c r="B634" s="216" t="str">
        <f ca="1">_xlfn.CONCAT(B620,A634)</f>
        <v>2CE82924-M</v>
      </c>
      <c r="C634" s="17"/>
      <c r="D634" s="184"/>
      <c r="E634" s="197"/>
      <c r="F634" s="19"/>
      <c r="G634" s="20"/>
    </row>
    <row r="635" spans="1:8">
      <c r="A635" s="211" t="s">
        <v>497</v>
      </c>
      <c r="B635" s="216" t="str">
        <f ca="1">_xlfn.CONCAT(B620,A635)</f>
        <v>2CE82924-N</v>
      </c>
      <c r="C635" s="17"/>
      <c r="D635" s="184"/>
      <c r="E635" s="197"/>
      <c r="F635" s="19"/>
      <c r="G635" s="20"/>
    </row>
    <row r="636" spans="1:8">
      <c r="A636" s="211" t="s">
        <v>498</v>
      </c>
      <c r="B636" s="216" t="str">
        <f ca="1">_xlfn.CONCAT(B620,A636)</f>
        <v>2CE82924-O</v>
      </c>
      <c r="C636" s="17"/>
      <c r="D636" s="184"/>
      <c r="E636" s="197"/>
      <c r="F636" s="19"/>
      <c r="G636" s="20"/>
    </row>
    <row r="637" spans="1:8">
      <c r="A637" s="211" t="s">
        <v>499</v>
      </c>
      <c r="B637" s="216" t="str">
        <f ca="1">_xlfn.CONCAT(B620,A637)</f>
        <v>2CE82924-P</v>
      </c>
      <c r="C637" s="17"/>
      <c r="D637" s="184"/>
      <c r="E637" s="197"/>
      <c r="F637" s="19"/>
      <c r="G637" s="20"/>
    </row>
    <row r="638" spans="1:8">
      <c r="A638" s="211" t="s">
        <v>500</v>
      </c>
      <c r="B638" s="216" t="str">
        <f ca="1">_xlfn.CONCAT(B620,A638)</f>
        <v>2CE82924-Q</v>
      </c>
      <c r="C638" s="17"/>
      <c r="D638" s="184"/>
      <c r="E638" s="197"/>
      <c r="F638" s="19"/>
      <c r="G638" s="20"/>
    </row>
    <row r="639" spans="1:8">
      <c r="A639" s="211" t="s">
        <v>501</v>
      </c>
      <c r="B639" s="216" t="str">
        <f ca="1">_xlfn.CONCAT(B620,A639)</f>
        <v>2CE82924-R</v>
      </c>
      <c r="C639" s="17"/>
      <c r="D639" s="184"/>
      <c r="E639" s="197"/>
      <c r="F639" s="19"/>
      <c r="G639" s="20"/>
    </row>
    <row r="640" spans="1:8">
      <c r="A640" s="211" t="s">
        <v>502</v>
      </c>
      <c r="B640" s="216" t="str">
        <f ca="1">_xlfn.CONCAT(B620,A640)</f>
        <v>2CE82924-S</v>
      </c>
      <c r="C640" s="17"/>
      <c r="D640" s="184"/>
      <c r="E640" s="197"/>
      <c r="F640" s="19"/>
      <c r="G640" s="20"/>
    </row>
    <row r="641" spans="1:8">
      <c r="A641" s="211" t="s">
        <v>503</v>
      </c>
      <c r="B641" s="216" t="str">
        <f ca="1">_xlfn.CONCAT(B620,A641)</f>
        <v>2CE82924-T</v>
      </c>
      <c r="C641" s="17"/>
      <c r="D641" s="184"/>
      <c r="E641" s="197"/>
      <c r="F641" s="19"/>
      <c r="G641" s="20"/>
    </row>
    <row r="642" spans="1:8" ht="14.25" thickBot="1">
      <c r="A642" s="211" t="s">
        <v>504</v>
      </c>
      <c r="B642" s="216" t="str">
        <f ca="1">_xlfn.CONCAT(B620,A642)</f>
        <v>2CE82924-U</v>
      </c>
      <c r="C642" s="17"/>
      <c r="D642" s="184"/>
      <c r="E642" s="197"/>
      <c r="F642" s="19"/>
      <c r="G642" s="20"/>
    </row>
    <row r="643" spans="1:8" ht="16.5" customHeight="1" thickBot="1">
      <c r="A643" s="211" t="s">
        <v>505</v>
      </c>
      <c r="B643" s="216" t="str">
        <f ca="1">_xlfn.CONCAT(B620,A643)</f>
        <v>2CE82924-V</v>
      </c>
      <c r="C643" s="17" t="s">
        <v>17</v>
      </c>
      <c r="D643" s="192" t="s">
        <v>17</v>
      </c>
      <c r="E643" s="18"/>
      <c r="F643" s="22" t="s">
        <v>18</v>
      </c>
      <c r="G643" s="23">
        <f>SUM(G622:G642)</f>
        <v>181548.97999999998</v>
      </c>
    </row>
    <row r="644" spans="1:8" ht="28.5" customHeight="1" thickBot="1">
      <c r="A644" s="211" t="s">
        <v>506</v>
      </c>
      <c r="B644" s="216" t="str">
        <f ca="1">_xlfn.CONCAT(B620,A644)</f>
        <v>2CE82924-W</v>
      </c>
      <c r="C644" s="10" t="s">
        <v>19</v>
      </c>
      <c r="D644" s="190"/>
      <c r="E644" s="11"/>
      <c r="F644" s="12"/>
      <c r="G644" s="13"/>
    </row>
    <row r="645" spans="1:8" s="47" customFormat="1" ht="23.25" customHeight="1" thickBot="1">
      <c r="A645" s="211" t="s">
        <v>507</v>
      </c>
      <c r="B645" s="216" t="str">
        <f ca="1">_xlfn.CONCAT(B620,A645)</f>
        <v>2CE82924-X</v>
      </c>
      <c r="C645" s="14" t="s">
        <v>1</v>
      </c>
      <c r="D645" s="15"/>
      <c r="E645" s="15" t="s">
        <v>20</v>
      </c>
      <c r="F645" s="16" t="s">
        <v>21</v>
      </c>
      <c r="G645" s="15" t="s">
        <v>5</v>
      </c>
      <c r="H645" s="215"/>
    </row>
    <row r="646" spans="1:8">
      <c r="A646" s="211" t="s">
        <v>508</v>
      </c>
      <c r="B646" s="216" t="str">
        <f ca="1">_xlfn.CONCAT(B620,A646)</f>
        <v>2CE82924-Y</v>
      </c>
      <c r="C646" s="24" t="s">
        <v>22</v>
      </c>
      <c r="D646" s="184"/>
      <c r="E646" s="25">
        <f>_xlfn.XLOOKUP(C646,'H-MO'!B$7:B$30,'H-MO'!D$7:D$30,,0,1)</f>
        <v>2436.5624999999995</v>
      </c>
      <c r="F646" s="19">
        <v>0.34</v>
      </c>
      <c r="G646" s="33">
        <f t="shared" ref="G646:G651" si="13">+E646*F646</f>
        <v>828.43124999999986</v>
      </c>
    </row>
    <row r="647" spans="1:8">
      <c r="A647" s="211" t="s">
        <v>509</v>
      </c>
      <c r="B647" s="216" t="str">
        <f ca="1">_xlfn.CONCAT(B620,A647)</f>
        <v>2CE82924-Z</v>
      </c>
      <c r="C647" s="24" t="s">
        <v>23</v>
      </c>
      <c r="D647" s="184"/>
      <c r="E647" s="25">
        <f>_xlfn.XLOOKUP(C647,'H-MO'!B$7:B$30,'H-MO'!D$7:D$30,,0,1)</f>
        <v>1461.9374999999998</v>
      </c>
      <c r="F647" s="19">
        <v>0.2</v>
      </c>
      <c r="G647" s="33">
        <f t="shared" si="13"/>
        <v>292.38749999999999</v>
      </c>
    </row>
    <row r="648" spans="1:8">
      <c r="A648" s="211" t="s">
        <v>510</v>
      </c>
      <c r="B648" s="216" t="str">
        <f ca="1">_xlfn.CONCAT(B620,A648)</f>
        <v>2CE82924-aa</v>
      </c>
      <c r="C648" s="24" t="s">
        <v>24</v>
      </c>
      <c r="D648" s="185"/>
      <c r="E648" s="25">
        <f>_xlfn.XLOOKUP(C648,'H-MO'!B$7:B$30,'H-MO'!D$7:D$30,,0,1)</f>
        <v>29238.749999999996</v>
      </c>
      <c r="F648" s="28">
        <v>0.06</v>
      </c>
      <c r="G648" s="33">
        <f t="shared" si="13"/>
        <v>1754.3249999999998</v>
      </c>
    </row>
    <row r="649" spans="1:8">
      <c r="A649" s="211" t="s">
        <v>511</v>
      </c>
      <c r="B649" s="216" t="str">
        <f ca="1">_xlfn.CONCAT(B620,A649)</f>
        <v>2CE82924-ab</v>
      </c>
      <c r="C649" s="24" t="s">
        <v>25</v>
      </c>
      <c r="D649" s="185"/>
      <c r="E649" s="25">
        <f>_xlfn.XLOOKUP(C649,'H-MO'!B$7:B$30,'H-MO'!D$7:D$30,,0,1)</f>
        <v>2761.4374999999995</v>
      </c>
      <c r="F649" s="28">
        <v>0.3</v>
      </c>
      <c r="G649" s="33">
        <f t="shared" si="13"/>
        <v>828.43124999999986</v>
      </c>
    </row>
    <row r="650" spans="1:8">
      <c r="A650" s="211" t="s">
        <v>512</v>
      </c>
      <c r="B650" s="216" t="str">
        <f ca="1">_xlfn.CONCAT(B620,A650)</f>
        <v>2CE82924-ac</v>
      </c>
      <c r="C650" s="24"/>
      <c r="D650" s="185"/>
      <c r="E650" s="29"/>
      <c r="F650" s="28"/>
      <c r="G650" s="33">
        <f t="shared" si="13"/>
        <v>0</v>
      </c>
    </row>
    <row r="651" spans="1:8" ht="14.25" thickBot="1">
      <c r="A651" s="211" t="s">
        <v>513</v>
      </c>
      <c r="B651" s="216" t="str">
        <f ca="1">_xlfn.CONCAT(B620,A651)</f>
        <v>2CE82924-ad</v>
      </c>
      <c r="C651" s="24"/>
      <c r="D651" s="185"/>
      <c r="E651" s="29"/>
      <c r="F651" s="28"/>
      <c r="G651" s="33">
        <f t="shared" si="13"/>
        <v>0</v>
      </c>
    </row>
    <row r="652" spans="1:8" ht="16.5" customHeight="1" thickBot="1">
      <c r="A652" s="211" t="s">
        <v>514</v>
      </c>
      <c r="B652" s="216" t="str">
        <f ca="1">_xlfn.CONCAT(B620,A652)</f>
        <v>2CE82924-ae</v>
      </c>
      <c r="C652" s="17"/>
      <c r="D652" s="192"/>
      <c r="E652" s="18"/>
      <c r="F652" s="22" t="s">
        <v>26</v>
      </c>
      <c r="G652" s="23">
        <f>SUM(G646:G651)</f>
        <v>3703.5749999999998</v>
      </c>
    </row>
    <row r="653" spans="1:8" ht="28.5" customHeight="1" thickBot="1">
      <c r="A653" s="211" t="s">
        <v>515</v>
      </c>
      <c r="B653" s="216" t="str">
        <f ca="1">_xlfn.CONCAT(B620,A653)</f>
        <v>2CE82924-af</v>
      </c>
      <c r="C653" s="10" t="s">
        <v>27</v>
      </c>
      <c r="D653" s="190"/>
      <c r="E653" s="11"/>
      <c r="F653" s="12"/>
      <c r="G653" s="13"/>
    </row>
    <row r="654" spans="1:8" s="47" customFormat="1" ht="23.25" customHeight="1" thickBot="1">
      <c r="A654" s="211" t="s">
        <v>516</v>
      </c>
      <c r="B654" s="216" t="str">
        <f ca="1">_xlfn.CONCAT(B620,A654)</f>
        <v>2CE82924-ag</v>
      </c>
      <c r="C654" s="14" t="s">
        <v>1</v>
      </c>
      <c r="D654" s="15" t="s">
        <v>28</v>
      </c>
      <c r="E654" s="15" t="s">
        <v>20</v>
      </c>
      <c r="F654" s="16" t="s">
        <v>21</v>
      </c>
      <c r="G654" s="15" t="s">
        <v>5</v>
      </c>
      <c r="H654" s="215"/>
    </row>
    <row r="655" spans="1:8">
      <c r="A655" s="211" t="s">
        <v>517</v>
      </c>
      <c r="B655" s="216" t="str">
        <f ca="1">_xlfn.CONCAT(B620,A655)</f>
        <v>2CE82924-ah</v>
      </c>
      <c r="C655" s="30" t="s">
        <v>29</v>
      </c>
      <c r="D655" s="186">
        <f>'H-MO'!$N$77</f>
        <v>725918.52892505517</v>
      </c>
      <c r="E655" s="31">
        <f>+D655/8</f>
        <v>90739.816115631897</v>
      </c>
      <c r="F655" s="32">
        <v>0.54</v>
      </c>
      <c r="G655" s="33">
        <f>+E655*F655</f>
        <v>48999.500702441226</v>
      </c>
    </row>
    <row r="656" spans="1:8">
      <c r="A656" s="211" t="s">
        <v>518</v>
      </c>
      <c r="B656" s="216" t="str">
        <f ca="1">_xlfn.CONCAT(B620,A656)</f>
        <v>2CE82924-ai</v>
      </c>
      <c r="C656" s="34" t="s">
        <v>30</v>
      </c>
      <c r="D656" s="187">
        <f>'H-MO'!$N$86</f>
        <v>685561.39085756091</v>
      </c>
      <c r="E656" s="29">
        <f>+D656/8</f>
        <v>85695.173857195114</v>
      </c>
      <c r="F656" s="28">
        <v>0</v>
      </c>
      <c r="G656" s="33">
        <f>+E656*F656</f>
        <v>0</v>
      </c>
    </row>
    <row r="657" spans="1:8" ht="14.25" thickBot="1">
      <c r="A657" s="211" t="s">
        <v>519</v>
      </c>
      <c r="B657" s="216" t="str">
        <f ca="1">_xlfn.CONCAT(B620,A657)</f>
        <v>2CE82924-aj</v>
      </c>
      <c r="C657" s="34"/>
      <c r="D657" s="187"/>
      <c r="E657" s="29"/>
      <c r="F657" s="28"/>
      <c r="G657" s="33">
        <f>+E657*F657</f>
        <v>0</v>
      </c>
    </row>
    <row r="658" spans="1:8" ht="17.25" customHeight="1" thickBot="1">
      <c r="A658" s="211" t="s">
        <v>520</v>
      </c>
      <c r="B658" s="216" t="str">
        <f ca="1">_xlfn.CONCAT(B620,A658)</f>
        <v>2CE82924-ak</v>
      </c>
      <c r="C658" s="34"/>
      <c r="D658" s="185"/>
      <c r="E658" s="26"/>
      <c r="F658" s="36" t="s">
        <v>31</v>
      </c>
      <c r="G658" s="23">
        <f>SUM(G655:G657)</f>
        <v>48999.500702441226</v>
      </c>
    </row>
    <row r="659" spans="1:8" ht="14.25" thickBot="1">
      <c r="A659" s="211" t="s">
        <v>521</v>
      </c>
      <c r="B659" s="216" t="str">
        <f ca="1">_xlfn.CONCAT(B620,A659)</f>
        <v>2CE82924-al</v>
      </c>
      <c r="C659" s="37"/>
      <c r="E659" s="38"/>
      <c r="F659" s="22"/>
      <c r="G659" s="39"/>
    </row>
    <row r="660" spans="1:8" ht="23.25" customHeight="1" thickBot="1">
      <c r="A660" s="211" t="s">
        <v>522</v>
      </c>
      <c r="B660" s="216" t="str">
        <f ca="1">_xlfn.CONCAT(B620,A660)</f>
        <v>2CE82924-am</v>
      </c>
      <c r="C660" s="40"/>
      <c r="D660" s="193"/>
      <c r="E660" s="41"/>
      <c r="F660" s="42"/>
      <c r="G660" s="43">
        <f>+G643+G652+G658</f>
        <v>234252.05570244123</v>
      </c>
    </row>
    <row r="661" spans="1:8" ht="21.75" thickBot="1">
      <c r="B661" s="212" t="s">
        <v>550</v>
      </c>
      <c r="C661" s="2"/>
      <c r="D661" s="183"/>
      <c r="F661" s="4"/>
      <c r="G661" s="5"/>
    </row>
    <row r="662" spans="1:8" s="45" customFormat="1" ht="34.5" customHeight="1">
      <c r="A662" s="213"/>
      <c r="B662" s="214">
        <v>16</v>
      </c>
      <c r="C662" s="242" t="str">
        <f ca="1">_xlfn.XLOOKUP(B662,Cantidades!$A$10:$A$314,Cantidades!$C$10:$C$314,,0,1)</f>
        <v>Acometida 3#8(F)+1#8(N)+1#10(T) de cobre</v>
      </c>
      <c r="D662" s="243"/>
      <c r="E662" s="243"/>
      <c r="F662" s="243"/>
      <c r="G662" s="244"/>
      <c r="H662" s="213"/>
    </row>
    <row r="663" spans="1:8" s="47" customFormat="1" ht="24.95" customHeight="1" thickBot="1">
      <c r="A663" s="215"/>
      <c r="B663" s="216" t="s">
        <v>550</v>
      </c>
      <c r="C663" s="177"/>
      <c r="D663" s="189"/>
      <c r="E663" s="178"/>
      <c r="F663" s="179" t="s">
        <v>636</v>
      </c>
      <c r="G663" s="209" t="str">
        <f ca="1">B664</f>
        <v>165F5D86-</v>
      </c>
      <c r="H663" s="215"/>
    </row>
    <row r="664" spans="1:8" ht="28.5" customHeight="1" thickBot="1">
      <c r="B664" s="212" t="str">
        <f ca="1">_xlfn.XLOOKUP(C662,Cantidades!$C$1:$C$314,Cantidades!$B$1:$B$314,"",0,1)</f>
        <v>165F5D86-</v>
      </c>
      <c r="C664" s="10" t="s">
        <v>0</v>
      </c>
      <c r="D664" s="190"/>
      <c r="E664" s="11"/>
      <c r="F664" s="12"/>
      <c r="G664" s="13"/>
    </row>
    <row r="665" spans="1:8" s="47" customFormat="1" ht="23.25" customHeight="1" thickBot="1">
      <c r="A665" s="215"/>
      <c r="B665" s="216" t="s">
        <v>550</v>
      </c>
      <c r="C665" s="14" t="s">
        <v>1</v>
      </c>
      <c r="D665" s="15" t="s">
        <v>2</v>
      </c>
      <c r="E665" s="15" t="s">
        <v>3</v>
      </c>
      <c r="F665" s="16" t="s">
        <v>4</v>
      </c>
      <c r="G665" s="15" t="s">
        <v>5</v>
      </c>
      <c r="H665" s="215"/>
    </row>
    <row r="666" spans="1:8" ht="15">
      <c r="A666" s="211" t="s">
        <v>484</v>
      </c>
      <c r="B666" s="216" t="str">
        <f ca="1">_xlfn.CONCAT(B664,A666)</f>
        <v>165F5D86-A</v>
      </c>
      <c r="C666" s="17" t="str">
        <f>_xlfn.XLOOKUP(H666,'Materiales unitario'!$A$1:$A$2500,'Materiales unitario'!B$1:B$2500,,0,1)</f>
        <v>Cable de cobre aislado #8 AWG-THHN/THWN Color negro</v>
      </c>
      <c r="D666" s="184" t="str">
        <f>_xlfn.XLOOKUP(H666,'Materiales unitario'!A$1:A$2500,'Materiales unitario'!C$1:C$2500,,0,1)</f>
        <v>ml</v>
      </c>
      <c r="E666" s="197">
        <f>_xlfn.XLOOKUP(H666,'Materiales unitario'!$A$1:$A$2500,'Materiales unitario'!D$1:D$2500,,0,1)</f>
        <v>6400</v>
      </c>
      <c r="F666" s="19">
        <v>4.2</v>
      </c>
      <c r="G666" s="20">
        <f>+E666*F666</f>
        <v>26880</v>
      </c>
      <c r="H666" s="217" t="s">
        <v>274</v>
      </c>
    </row>
    <row r="667" spans="1:8" ht="15">
      <c r="A667" s="211" t="s">
        <v>485</v>
      </c>
      <c r="B667" s="216" t="str">
        <f ca="1">_xlfn.CONCAT(B664,A667)</f>
        <v>165F5D86-B</v>
      </c>
      <c r="C667" s="17" t="str">
        <f>_xlfn.XLOOKUP(H667,'Materiales unitario'!$A$1:$A$2500,'Materiales unitario'!B$1:B$2500,,0,1)</f>
        <v>Cable de cobre aislado #10 AWG-THHN/THWN Color negro</v>
      </c>
      <c r="D667" s="184" t="str">
        <f>_xlfn.XLOOKUP(H667,'Materiales unitario'!A$1:A$2500,'Materiales unitario'!C$1:C$2500,,0,1)</f>
        <v>ml</v>
      </c>
      <c r="E667" s="197">
        <f>_xlfn.XLOOKUP(H667,'Materiales unitario'!$A$1:$A$2500,'Materiales unitario'!D$1:D$2500,,0,1)</f>
        <v>5215</v>
      </c>
      <c r="F667" s="19">
        <v>1.05</v>
      </c>
      <c r="G667" s="20">
        <f>+E667*F667</f>
        <v>5475.75</v>
      </c>
      <c r="H667" s="217" t="s">
        <v>265</v>
      </c>
    </row>
    <row r="668" spans="1:8" ht="15">
      <c r="A668" s="211" t="s">
        <v>486</v>
      </c>
      <c r="B668" s="216" t="str">
        <f ca="1">_xlfn.CONCAT(B664,A668)</f>
        <v>165F5D86-C</v>
      </c>
      <c r="C668" s="17" t="str">
        <f>_xlfn.XLOOKUP(H668,'Materiales unitario'!$A$1:$A$2500,'Materiales unitario'!B$1:B$2500,,0,1)</f>
        <v>Borna terminal estañada de ojo tipo pala #8 AWG</v>
      </c>
      <c r="D668" s="184" t="str">
        <f>_xlfn.XLOOKUP(H668,'Materiales unitario'!A$1:A$2500,'Materiales unitario'!C$1:C$2500,,0,1)</f>
        <v>un</v>
      </c>
      <c r="E668" s="197">
        <f>_xlfn.XLOOKUP(H668,'Materiales unitario'!$A$1:$A$2500,'Materiales unitario'!D$1:D$2500,,0,1)</f>
        <v>1200</v>
      </c>
      <c r="F668" s="19">
        <v>0.1</v>
      </c>
      <c r="G668" s="20">
        <f>+E668*F668</f>
        <v>120</v>
      </c>
      <c r="H668" s="217" t="s">
        <v>255</v>
      </c>
    </row>
    <row r="669" spans="1:8" ht="15">
      <c r="A669" s="211" t="s">
        <v>487</v>
      </c>
      <c r="B669" s="216" t="str">
        <f ca="1">_xlfn.CONCAT(B664,A669)</f>
        <v>165F5D86-D</v>
      </c>
      <c r="C669" s="17" t="str">
        <f>_xlfn.XLOOKUP(H669,'Materiales unitario'!$A$1:$A$2500,'Materiales unitario'!B$1:B$2500,,0,1)</f>
        <v>Termoencogible</v>
      </c>
      <c r="D669" s="184" t="str">
        <f>_xlfn.XLOOKUP(H669,'Materiales unitario'!A$1:A$2500,'Materiales unitario'!C$1:C$2500,,0,1)</f>
        <v>un</v>
      </c>
      <c r="E669" s="197">
        <f>_xlfn.XLOOKUP(H669,'Materiales unitario'!$A$1:$A$2500,'Materiales unitario'!D$1:D$2500,,0,1)</f>
        <v>5000</v>
      </c>
      <c r="F669" s="19">
        <v>0.1</v>
      </c>
      <c r="G669" s="20">
        <f>+E669*F669</f>
        <v>500</v>
      </c>
      <c r="H669" s="217" t="s">
        <v>373</v>
      </c>
    </row>
    <row r="670" spans="1:8" ht="15">
      <c r="A670" s="211" t="s">
        <v>488</v>
      </c>
      <c r="B670" s="216" t="str">
        <f ca="1">_xlfn.CONCAT(B664,A670)</f>
        <v>165F5D86-E</v>
      </c>
      <c r="C670" s="17"/>
      <c r="D670" s="184"/>
      <c r="E670" s="197"/>
      <c r="F670" s="19"/>
      <c r="G670" s="20"/>
      <c r="H670" s="217"/>
    </row>
    <row r="671" spans="1:8">
      <c r="A671" s="211" t="s">
        <v>489</v>
      </c>
      <c r="B671" s="216" t="str">
        <f ca="1">_xlfn.CONCAT(B664,A671)</f>
        <v>165F5D86-F</v>
      </c>
      <c r="C671" s="17"/>
      <c r="D671" s="184"/>
      <c r="E671" s="197"/>
      <c r="F671" s="19"/>
      <c r="G671" s="20"/>
    </row>
    <row r="672" spans="1:8">
      <c r="A672" s="211" t="s">
        <v>490</v>
      </c>
      <c r="B672" s="216" t="str">
        <f ca="1">_xlfn.CONCAT(B664,A672)</f>
        <v>165F5D86-G</v>
      </c>
      <c r="C672" s="17"/>
      <c r="D672" s="184"/>
      <c r="E672" s="197"/>
      <c r="F672" s="19"/>
      <c r="G672" s="20"/>
    </row>
    <row r="673" spans="1:7">
      <c r="A673" s="211" t="s">
        <v>491</v>
      </c>
      <c r="B673" s="216" t="str">
        <f ca="1">_xlfn.CONCAT(B664,A673)</f>
        <v>165F5D86-H</v>
      </c>
      <c r="C673" s="17"/>
      <c r="D673" s="184"/>
      <c r="E673" s="197"/>
      <c r="F673" s="19"/>
      <c r="G673" s="20"/>
    </row>
    <row r="674" spans="1:7">
      <c r="A674" s="211" t="s">
        <v>492</v>
      </c>
      <c r="B674" s="216" t="str">
        <f ca="1">_xlfn.CONCAT(B664,A674)</f>
        <v>165F5D86-I</v>
      </c>
      <c r="C674" s="17"/>
      <c r="D674" s="184"/>
      <c r="E674" s="197"/>
      <c r="F674" s="19"/>
      <c r="G674" s="20"/>
    </row>
    <row r="675" spans="1:7">
      <c r="A675" s="211" t="s">
        <v>493</v>
      </c>
      <c r="B675" s="216" t="str">
        <f ca="1">_xlfn.CONCAT(B664,A675)</f>
        <v>165F5D86-J</v>
      </c>
      <c r="C675" s="17"/>
      <c r="D675" s="184"/>
      <c r="E675" s="197"/>
      <c r="F675" s="19"/>
      <c r="G675" s="20"/>
    </row>
    <row r="676" spans="1:7">
      <c r="A676" s="211" t="s">
        <v>494</v>
      </c>
      <c r="B676" s="216" t="str">
        <f ca="1">_xlfn.CONCAT(B664,A676)</f>
        <v>165F5D86-K</v>
      </c>
      <c r="C676" s="17"/>
      <c r="D676" s="184"/>
      <c r="E676" s="197"/>
      <c r="F676" s="19"/>
      <c r="G676" s="20"/>
    </row>
    <row r="677" spans="1:7">
      <c r="A677" s="211" t="s">
        <v>495</v>
      </c>
      <c r="B677" s="216" t="str">
        <f ca="1">_xlfn.CONCAT(B664,A677)</f>
        <v>165F5D86-L</v>
      </c>
      <c r="C677" s="17"/>
      <c r="D677" s="184"/>
      <c r="E677" s="197"/>
      <c r="F677" s="19"/>
      <c r="G677" s="20"/>
    </row>
    <row r="678" spans="1:7">
      <c r="A678" s="211" t="s">
        <v>496</v>
      </c>
      <c r="B678" s="216" t="str">
        <f ca="1">_xlfn.CONCAT(B664,A678)</f>
        <v>165F5D86-M</v>
      </c>
      <c r="C678" s="17"/>
      <c r="D678" s="184"/>
      <c r="E678" s="197"/>
      <c r="F678" s="19"/>
      <c r="G678" s="20"/>
    </row>
    <row r="679" spans="1:7">
      <c r="A679" s="211" t="s">
        <v>497</v>
      </c>
      <c r="B679" s="216" t="str">
        <f ca="1">_xlfn.CONCAT(B664,A679)</f>
        <v>165F5D86-N</v>
      </c>
      <c r="C679" s="17"/>
      <c r="D679" s="184"/>
      <c r="E679" s="197"/>
      <c r="F679" s="19"/>
      <c r="G679" s="20"/>
    </row>
    <row r="680" spans="1:7">
      <c r="A680" s="211" t="s">
        <v>498</v>
      </c>
      <c r="B680" s="216" t="str">
        <f ca="1">_xlfn.CONCAT(B664,A680)</f>
        <v>165F5D86-O</v>
      </c>
      <c r="C680" s="17"/>
      <c r="D680" s="184"/>
      <c r="E680" s="197"/>
      <c r="F680" s="19"/>
      <c r="G680" s="20"/>
    </row>
    <row r="681" spans="1:7">
      <c r="A681" s="211" t="s">
        <v>499</v>
      </c>
      <c r="B681" s="216" t="str">
        <f ca="1">_xlfn.CONCAT(B664,A681)</f>
        <v>165F5D86-P</v>
      </c>
      <c r="C681" s="17"/>
      <c r="D681" s="184"/>
      <c r="E681" s="197"/>
      <c r="F681" s="19"/>
      <c r="G681" s="20"/>
    </row>
    <row r="682" spans="1:7">
      <c r="A682" s="211" t="s">
        <v>500</v>
      </c>
      <c r="B682" s="216" t="str">
        <f ca="1">_xlfn.CONCAT(B664,A682)</f>
        <v>165F5D86-Q</v>
      </c>
      <c r="C682" s="17"/>
      <c r="D682" s="184"/>
      <c r="E682" s="197"/>
      <c r="F682" s="19"/>
      <c r="G682" s="20"/>
    </row>
    <row r="683" spans="1:7">
      <c r="A683" s="211" t="s">
        <v>501</v>
      </c>
      <c r="B683" s="216" t="str">
        <f ca="1">_xlfn.CONCAT(B664,A683)</f>
        <v>165F5D86-R</v>
      </c>
      <c r="C683" s="17"/>
      <c r="D683" s="184"/>
      <c r="E683" s="197"/>
      <c r="F683" s="19"/>
      <c r="G683" s="20"/>
    </row>
    <row r="684" spans="1:7">
      <c r="A684" s="211" t="s">
        <v>502</v>
      </c>
      <c r="B684" s="216" t="str">
        <f ca="1">_xlfn.CONCAT(B664,A684)</f>
        <v>165F5D86-S</v>
      </c>
      <c r="C684" s="17"/>
      <c r="D684" s="184"/>
      <c r="E684" s="197"/>
      <c r="F684" s="19"/>
      <c r="G684" s="20"/>
    </row>
    <row r="685" spans="1:7">
      <c r="A685" s="211" t="s">
        <v>503</v>
      </c>
      <c r="B685" s="216" t="str">
        <f ca="1">_xlfn.CONCAT(B664,A685)</f>
        <v>165F5D86-T</v>
      </c>
      <c r="C685" s="17"/>
      <c r="D685" s="184"/>
      <c r="E685" s="197"/>
      <c r="F685" s="19"/>
      <c r="G685" s="20"/>
    </row>
    <row r="686" spans="1:7" ht="14.25" thickBot="1">
      <c r="A686" s="211" t="s">
        <v>504</v>
      </c>
      <c r="B686" s="216" t="str">
        <f ca="1">_xlfn.CONCAT(B664,A686)</f>
        <v>165F5D86-U</v>
      </c>
      <c r="C686" s="17"/>
      <c r="D686" s="184"/>
      <c r="E686" s="197"/>
      <c r="F686" s="19"/>
      <c r="G686" s="20"/>
    </row>
    <row r="687" spans="1:7" ht="16.5" customHeight="1" thickBot="1">
      <c r="A687" s="211" t="s">
        <v>505</v>
      </c>
      <c r="B687" s="216" t="str">
        <f ca="1">_xlfn.CONCAT(B664,A687)</f>
        <v>165F5D86-V</v>
      </c>
      <c r="C687" s="17" t="s">
        <v>17</v>
      </c>
      <c r="D687" s="192" t="s">
        <v>17</v>
      </c>
      <c r="E687" s="18"/>
      <c r="F687" s="22" t="s">
        <v>18</v>
      </c>
      <c r="G687" s="23">
        <f>SUM(G666:G686)</f>
        <v>32975.75</v>
      </c>
    </row>
    <row r="688" spans="1:7" ht="28.5" customHeight="1" thickBot="1">
      <c r="A688" s="211" t="s">
        <v>506</v>
      </c>
      <c r="B688" s="216" t="str">
        <f ca="1">_xlfn.CONCAT(B664,A688)</f>
        <v>165F5D86-W</v>
      </c>
      <c r="C688" s="10" t="s">
        <v>19</v>
      </c>
      <c r="D688" s="190"/>
      <c r="E688" s="11"/>
      <c r="F688" s="12"/>
      <c r="G688" s="13"/>
    </row>
    <row r="689" spans="1:8" s="47" customFormat="1" ht="23.25" customHeight="1" thickBot="1">
      <c r="A689" s="211" t="s">
        <v>507</v>
      </c>
      <c r="B689" s="216" t="str">
        <f ca="1">_xlfn.CONCAT(B664,A689)</f>
        <v>165F5D86-X</v>
      </c>
      <c r="C689" s="14" t="s">
        <v>1</v>
      </c>
      <c r="D689" s="15"/>
      <c r="E689" s="15" t="s">
        <v>20</v>
      </c>
      <c r="F689" s="16" t="s">
        <v>21</v>
      </c>
      <c r="G689" s="15" t="s">
        <v>5</v>
      </c>
      <c r="H689" s="215"/>
    </row>
    <row r="690" spans="1:8">
      <c r="A690" s="211" t="s">
        <v>508</v>
      </c>
      <c r="B690" s="216" t="str">
        <f ca="1">_xlfn.CONCAT(B664,A690)</f>
        <v>165F5D86-Y</v>
      </c>
      <c r="C690" s="24" t="s">
        <v>22</v>
      </c>
      <c r="D690" s="184"/>
      <c r="E690" s="25">
        <f>_xlfn.XLOOKUP(C690,'H-MO'!B$7:B$30,'H-MO'!D$7:D$30,,0,1)</f>
        <v>2436.5624999999995</v>
      </c>
      <c r="F690" s="19">
        <v>0.4</v>
      </c>
      <c r="G690" s="33">
        <f t="shared" ref="G690:G695" si="14">+E690*F690</f>
        <v>974.62499999999989</v>
      </c>
    </row>
    <row r="691" spans="1:8">
      <c r="A691" s="211" t="s">
        <v>509</v>
      </c>
      <c r="B691" s="216" t="str">
        <f ca="1">_xlfn.CONCAT(B664,A691)</f>
        <v>165F5D86-Z</v>
      </c>
      <c r="C691" s="24" t="s">
        <v>23</v>
      </c>
      <c r="D691" s="184"/>
      <c r="E691" s="25">
        <f>_xlfn.XLOOKUP(C691,'H-MO'!B$7:B$30,'H-MO'!D$7:D$30,,0,1)</f>
        <v>1461.9374999999998</v>
      </c>
      <c r="F691" s="19">
        <v>0.2</v>
      </c>
      <c r="G691" s="33">
        <f t="shared" si="14"/>
        <v>292.38749999999999</v>
      </c>
    </row>
    <row r="692" spans="1:8">
      <c r="A692" s="211" t="s">
        <v>510</v>
      </c>
      <c r="B692" s="216" t="str">
        <f ca="1">_xlfn.CONCAT(B664,A692)</f>
        <v>165F5D86-aa</v>
      </c>
      <c r="C692" s="24" t="s">
        <v>24</v>
      </c>
      <c r="D692" s="185"/>
      <c r="E692" s="25">
        <f>_xlfn.XLOOKUP(C692,'H-MO'!B$7:B$30,'H-MO'!D$7:D$30,,0,1)</f>
        <v>29238.749999999996</v>
      </c>
      <c r="F692" s="28">
        <v>0.1</v>
      </c>
      <c r="G692" s="33">
        <f t="shared" si="14"/>
        <v>2923.875</v>
      </c>
    </row>
    <row r="693" spans="1:8">
      <c r="A693" s="211" t="s">
        <v>511</v>
      </c>
      <c r="B693" s="216" t="str">
        <f ca="1">_xlfn.CONCAT(B664,A693)</f>
        <v>165F5D86-ab</v>
      </c>
      <c r="C693" s="24" t="s">
        <v>25</v>
      </c>
      <c r="D693" s="185"/>
      <c r="E693" s="25">
        <f>_xlfn.XLOOKUP(C693,'H-MO'!B$7:B$30,'H-MO'!D$7:D$30,,0,1)</f>
        <v>2761.4374999999995</v>
      </c>
      <c r="F693" s="28">
        <v>0.1</v>
      </c>
      <c r="G693" s="33">
        <f t="shared" si="14"/>
        <v>276.14374999999995</v>
      </c>
    </row>
    <row r="694" spans="1:8">
      <c r="A694" s="211" t="s">
        <v>512</v>
      </c>
      <c r="B694" s="216" t="str">
        <f ca="1">_xlfn.CONCAT(B664,A694)</f>
        <v>165F5D86-ac</v>
      </c>
      <c r="C694" s="24"/>
      <c r="D694" s="185"/>
      <c r="E694" s="29"/>
      <c r="F694" s="28"/>
      <c r="G694" s="33">
        <f t="shared" si="14"/>
        <v>0</v>
      </c>
    </row>
    <row r="695" spans="1:8" ht="14.25" thickBot="1">
      <c r="A695" s="211" t="s">
        <v>513</v>
      </c>
      <c r="B695" s="216" t="str">
        <f ca="1">_xlfn.CONCAT(B664,A695)</f>
        <v>165F5D86-ad</v>
      </c>
      <c r="C695" s="24"/>
      <c r="D695" s="185"/>
      <c r="E695" s="29"/>
      <c r="F695" s="28"/>
      <c r="G695" s="33">
        <f t="shared" si="14"/>
        <v>0</v>
      </c>
    </row>
    <row r="696" spans="1:8" ht="16.5" customHeight="1" thickBot="1">
      <c r="A696" s="211" t="s">
        <v>514</v>
      </c>
      <c r="B696" s="216" t="str">
        <f ca="1">_xlfn.CONCAT(B664,A696)</f>
        <v>165F5D86-ae</v>
      </c>
      <c r="C696" s="17"/>
      <c r="D696" s="192"/>
      <c r="E696" s="18"/>
      <c r="F696" s="22" t="s">
        <v>26</v>
      </c>
      <c r="G696" s="23">
        <f>SUM(G690:G695)</f>
        <v>4467.03125</v>
      </c>
    </row>
    <row r="697" spans="1:8" ht="28.5" customHeight="1" thickBot="1">
      <c r="A697" s="211" t="s">
        <v>515</v>
      </c>
      <c r="B697" s="216" t="str">
        <f ca="1">_xlfn.CONCAT(B664,A697)</f>
        <v>165F5D86-af</v>
      </c>
      <c r="C697" s="10" t="s">
        <v>27</v>
      </c>
      <c r="D697" s="190"/>
      <c r="E697" s="11"/>
      <c r="F697" s="12"/>
      <c r="G697" s="13"/>
    </row>
    <row r="698" spans="1:8" s="47" customFormat="1" ht="23.25" customHeight="1" thickBot="1">
      <c r="A698" s="211" t="s">
        <v>516</v>
      </c>
      <c r="B698" s="216" t="str">
        <f ca="1">_xlfn.CONCAT(B664,A698)</f>
        <v>165F5D86-ag</v>
      </c>
      <c r="C698" s="14" t="s">
        <v>1</v>
      </c>
      <c r="D698" s="15" t="s">
        <v>28</v>
      </c>
      <c r="E698" s="15" t="s">
        <v>20</v>
      </c>
      <c r="F698" s="16" t="s">
        <v>21</v>
      </c>
      <c r="G698" s="15" t="s">
        <v>5</v>
      </c>
      <c r="H698" s="215"/>
    </row>
    <row r="699" spans="1:8">
      <c r="A699" s="211" t="s">
        <v>517</v>
      </c>
      <c r="B699" s="216" t="str">
        <f ca="1">_xlfn.CONCAT(B664,A699)</f>
        <v>165F5D86-ah</v>
      </c>
      <c r="C699" s="30" t="s">
        <v>29</v>
      </c>
      <c r="D699" s="186">
        <f>'H-MO'!$N$77</f>
        <v>725918.52892505517</v>
      </c>
      <c r="E699" s="31">
        <f>+D699/8</f>
        <v>90739.816115631897</v>
      </c>
      <c r="F699" s="32">
        <v>0.16800000000000001</v>
      </c>
      <c r="G699" s="33">
        <f>+E699*F699</f>
        <v>15244.289107426159</v>
      </c>
    </row>
    <row r="700" spans="1:8">
      <c r="A700" s="211" t="s">
        <v>518</v>
      </c>
      <c r="B700" s="216" t="str">
        <f ca="1">_xlfn.CONCAT(B664,A700)</f>
        <v>165F5D86-ai</v>
      </c>
      <c r="C700" s="34" t="s">
        <v>30</v>
      </c>
      <c r="D700" s="187">
        <f>'H-MO'!$N$86</f>
        <v>685561.39085756091</v>
      </c>
      <c r="E700" s="29">
        <f>+D700/8</f>
        <v>85695.173857195114</v>
      </c>
      <c r="F700" s="28">
        <v>0</v>
      </c>
      <c r="G700" s="33">
        <f>+E700*F700</f>
        <v>0</v>
      </c>
    </row>
    <row r="701" spans="1:8" ht="14.25" thickBot="1">
      <c r="A701" s="211" t="s">
        <v>519</v>
      </c>
      <c r="B701" s="216" t="str">
        <f ca="1">_xlfn.CONCAT(B664,A701)</f>
        <v>165F5D86-aj</v>
      </c>
      <c r="C701" s="34"/>
      <c r="D701" s="187"/>
      <c r="E701" s="29"/>
      <c r="F701" s="28"/>
      <c r="G701" s="33">
        <f>+E701*F701</f>
        <v>0</v>
      </c>
    </row>
    <row r="702" spans="1:8" ht="17.25" customHeight="1" thickBot="1">
      <c r="A702" s="211" t="s">
        <v>520</v>
      </c>
      <c r="B702" s="216" t="str">
        <f ca="1">_xlfn.CONCAT(B664,A702)</f>
        <v>165F5D86-ak</v>
      </c>
      <c r="C702" s="34"/>
      <c r="D702" s="185"/>
      <c r="E702" s="26"/>
      <c r="F702" s="36" t="s">
        <v>31</v>
      </c>
      <c r="G702" s="23">
        <f>SUM(G699:G701)</f>
        <v>15244.289107426159</v>
      </c>
    </row>
    <row r="703" spans="1:8" ht="14.25" thickBot="1">
      <c r="A703" s="211" t="s">
        <v>521</v>
      </c>
      <c r="B703" s="216" t="str">
        <f ca="1">_xlfn.CONCAT(B664,A703)</f>
        <v>165F5D86-al</v>
      </c>
      <c r="C703" s="37"/>
      <c r="E703" s="38"/>
      <c r="F703" s="22"/>
      <c r="G703" s="39"/>
    </row>
    <row r="704" spans="1:8" ht="23.25" customHeight="1" thickBot="1">
      <c r="A704" s="211" t="s">
        <v>522</v>
      </c>
      <c r="B704" s="216" t="str">
        <f ca="1">_xlfn.CONCAT(B664,A704)</f>
        <v>165F5D86-am</v>
      </c>
      <c r="C704" s="40"/>
      <c r="D704" s="193"/>
      <c r="E704" s="41"/>
      <c r="F704" s="42"/>
      <c r="G704" s="43">
        <f>+G687+G696+G702</f>
        <v>52687.070357426157</v>
      </c>
    </row>
    <row r="705" spans="1:8" ht="21.75" thickBot="1">
      <c r="B705" s="212" t="s">
        <v>550</v>
      </c>
      <c r="C705" s="2"/>
      <c r="D705" s="183"/>
      <c r="F705" s="4"/>
      <c r="G705" s="5"/>
    </row>
    <row r="706" spans="1:8" s="45" customFormat="1" ht="34.5" customHeight="1">
      <c r="A706" s="213"/>
      <c r="B706" s="214">
        <v>17</v>
      </c>
      <c r="C706" s="242" t="str">
        <f ca="1">_xlfn.XLOOKUP(B706,Cantidades!$A$10:$A$314,Cantidades!$C$10:$C$314,,0,1)</f>
        <v>Suministro e instalación de alimentador 3#8(F)+1#8(T) de cobre sin bornas</v>
      </c>
      <c r="D706" s="243"/>
      <c r="E706" s="243"/>
      <c r="F706" s="243"/>
      <c r="G706" s="244"/>
      <c r="H706" s="213"/>
    </row>
    <row r="707" spans="1:8" s="47" customFormat="1" ht="24.95" customHeight="1" thickBot="1">
      <c r="A707" s="215"/>
      <c r="B707" s="216" t="s">
        <v>550</v>
      </c>
      <c r="C707" s="177"/>
      <c r="D707" s="189"/>
      <c r="E707" s="178"/>
      <c r="F707" s="179" t="s">
        <v>636</v>
      </c>
      <c r="G707" s="209" t="str">
        <f ca="1">B708</f>
        <v>165F5D87-</v>
      </c>
      <c r="H707" s="215"/>
    </row>
    <row r="708" spans="1:8" ht="28.5" customHeight="1" thickBot="1">
      <c r="B708" s="212" t="str">
        <f ca="1">_xlfn.XLOOKUP(C706,Cantidades!$C$1:$C$314,Cantidades!$B$1:$B$314,"",0,1)</f>
        <v>165F5D87-</v>
      </c>
      <c r="C708" s="10" t="s">
        <v>0</v>
      </c>
      <c r="D708" s="190"/>
      <c r="E708" s="11"/>
      <c r="F708" s="12"/>
      <c r="G708" s="13"/>
    </row>
    <row r="709" spans="1:8" s="47" customFormat="1" ht="23.25" customHeight="1" thickBot="1">
      <c r="A709" s="215"/>
      <c r="B709" s="216" t="s">
        <v>550</v>
      </c>
      <c r="C709" s="14" t="s">
        <v>1</v>
      </c>
      <c r="D709" s="15" t="s">
        <v>2</v>
      </c>
      <c r="E709" s="15" t="s">
        <v>3</v>
      </c>
      <c r="F709" s="16" t="s">
        <v>4</v>
      </c>
      <c r="G709" s="15" t="s">
        <v>5</v>
      </c>
      <c r="H709" s="215"/>
    </row>
    <row r="710" spans="1:8" ht="15">
      <c r="A710" s="211" t="s">
        <v>484</v>
      </c>
      <c r="B710" s="216" t="str">
        <f ca="1">_xlfn.CONCAT(B708,A710)</f>
        <v>165F5D87-A</v>
      </c>
      <c r="C710" s="17" t="str">
        <f>_xlfn.XLOOKUP(H710,'Materiales unitario'!$A$1:$A$2500,'Materiales unitario'!B$1:B$2500,,0,1)</f>
        <v>Cable de cobre aislado #8 AWG-THHN/THWN Color negro</v>
      </c>
      <c r="D710" s="184" t="str">
        <f>_xlfn.XLOOKUP(H710,'Materiales unitario'!A$1:A$2500,'Materiales unitario'!C$1:C$2500,,0,1)</f>
        <v>ml</v>
      </c>
      <c r="E710" s="197">
        <f>_xlfn.XLOOKUP(H710,'Materiales unitario'!$A$1:$A$2500,'Materiales unitario'!D$1:D$2500,,0,1)</f>
        <v>6400</v>
      </c>
      <c r="F710" s="19">
        <v>4.2</v>
      </c>
      <c r="G710" s="20">
        <f>+E710*F710</f>
        <v>26880</v>
      </c>
      <c r="H710" s="217" t="s">
        <v>274</v>
      </c>
    </row>
    <row r="711" spans="1:8" ht="15">
      <c r="A711" s="211" t="s">
        <v>485</v>
      </c>
      <c r="B711" s="216" t="str">
        <f ca="1">_xlfn.CONCAT(B708,A711)</f>
        <v>165F5D87-B</v>
      </c>
      <c r="C711" s="17" t="str">
        <f>_xlfn.XLOOKUP(H711,'Materiales unitario'!$A$1:$A$2500,'Materiales unitario'!B$1:B$2500,,0,1)</f>
        <v>Termoencogible</v>
      </c>
      <c r="D711" s="184" t="str">
        <f>_xlfn.XLOOKUP(H711,'Materiales unitario'!A$1:A$2500,'Materiales unitario'!C$1:C$2500,,0,1)</f>
        <v>un</v>
      </c>
      <c r="E711" s="197">
        <f>_xlfn.XLOOKUP(H711,'Materiales unitario'!$A$1:$A$2500,'Materiales unitario'!D$1:D$2500,,0,1)</f>
        <v>5000</v>
      </c>
      <c r="F711" s="19">
        <v>0.1</v>
      </c>
      <c r="G711" s="20">
        <f>+E711*F711</f>
        <v>500</v>
      </c>
      <c r="H711" s="217" t="s">
        <v>373</v>
      </c>
    </row>
    <row r="712" spans="1:8" ht="15">
      <c r="A712" s="211" t="s">
        <v>486</v>
      </c>
      <c r="B712" s="216" t="str">
        <f ca="1">_xlfn.CONCAT(B708,A712)</f>
        <v>165F5D87-C</v>
      </c>
      <c r="C712" s="17"/>
      <c r="D712" s="184"/>
      <c r="E712" s="197"/>
      <c r="F712" s="19"/>
      <c r="G712" s="20"/>
      <c r="H712" s="217"/>
    </row>
    <row r="713" spans="1:8" ht="15">
      <c r="A713" s="211" t="s">
        <v>487</v>
      </c>
      <c r="B713" s="216" t="str">
        <f ca="1">_xlfn.CONCAT(B708,A713)</f>
        <v>165F5D87-D</v>
      </c>
      <c r="C713" s="17"/>
      <c r="D713" s="184"/>
      <c r="E713" s="197"/>
      <c r="F713" s="19"/>
      <c r="G713" s="20"/>
      <c r="H713" s="217"/>
    </row>
    <row r="714" spans="1:8" ht="15">
      <c r="A714" s="211" t="s">
        <v>488</v>
      </c>
      <c r="B714" s="216" t="str">
        <f ca="1">_xlfn.CONCAT(B708,A714)</f>
        <v>165F5D87-E</v>
      </c>
      <c r="C714" s="17"/>
      <c r="D714" s="184"/>
      <c r="E714" s="197"/>
      <c r="F714" s="19"/>
      <c r="G714" s="20"/>
      <c r="H714" s="217"/>
    </row>
    <row r="715" spans="1:8">
      <c r="A715" s="211" t="s">
        <v>489</v>
      </c>
      <c r="B715" s="216" t="str">
        <f ca="1">_xlfn.CONCAT(B708,A715)</f>
        <v>165F5D87-F</v>
      </c>
      <c r="C715" s="17"/>
      <c r="D715" s="184"/>
      <c r="E715" s="197"/>
      <c r="F715" s="19"/>
      <c r="G715" s="20"/>
    </row>
    <row r="716" spans="1:8">
      <c r="A716" s="211" t="s">
        <v>490</v>
      </c>
      <c r="B716" s="216" t="str">
        <f ca="1">_xlfn.CONCAT(B708,A716)</f>
        <v>165F5D87-G</v>
      </c>
      <c r="C716" s="17"/>
      <c r="D716" s="184"/>
      <c r="E716" s="197"/>
      <c r="F716" s="19"/>
      <c r="G716" s="20"/>
    </row>
    <row r="717" spans="1:8">
      <c r="A717" s="211" t="s">
        <v>491</v>
      </c>
      <c r="B717" s="216" t="str">
        <f ca="1">_xlfn.CONCAT(B708,A717)</f>
        <v>165F5D87-H</v>
      </c>
      <c r="C717" s="17"/>
      <c r="D717" s="184"/>
      <c r="E717" s="197"/>
      <c r="F717" s="19"/>
      <c r="G717" s="20"/>
    </row>
    <row r="718" spans="1:8">
      <c r="A718" s="211" t="s">
        <v>492</v>
      </c>
      <c r="B718" s="216" t="str">
        <f ca="1">_xlfn.CONCAT(B708,A718)</f>
        <v>165F5D87-I</v>
      </c>
      <c r="C718" s="17"/>
      <c r="D718" s="184"/>
      <c r="E718" s="197"/>
      <c r="F718" s="19"/>
      <c r="G718" s="20"/>
    </row>
    <row r="719" spans="1:8">
      <c r="A719" s="211" t="s">
        <v>493</v>
      </c>
      <c r="B719" s="216" t="str">
        <f ca="1">_xlfn.CONCAT(B708,A719)</f>
        <v>165F5D87-J</v>
      </c>
      <c r="C719" s="17"/>
      <c r="D719" s="184"/>
      <c r="E719" s="197"/>
      <c r="F719" s="19"/>
      <c r="G719" s="20"/>
    </row>
    <row r="720" spans="1:8">
      <c r="A720" s="211" t="s">
        <v>494</v>
      </c>
      <c r="B720" s="216" t="str">
        <f ca="1">_xlfn.CONCAT(B708,A720)</f>
        <v>165F5D87-K</v>
      </c>
      <c r="C720" s="17"/>
      <c r="D720" s="184"/>
      <c r="E720" s="197"/>
      <c r="F720" s="19"/>
      <c r="G720" s="20"/>
    </row>
    <row r="721" spans="1:8">
      <c r="A721" s="211" t="s">
        <v>495</v>
      </c>
      <c r="B721" s="216" t="str">
        <f ca="1">_xlfn.CONCAT(B708,A721)</f>
        <v>165F5D87-L</v>
      </c>
      <c r="C721" s="17"/>
      <c r="D721" s="184"/>
      <c r="E721" s="197"/>
      <c r="F721" s="19"/>
      <c r="G721" s="20"/>
    </row>
    <row r="722" spans="1:8">
      <c r="A722" s="211" t="s">
        <v>496</v>
      </c>
      <c r="B722" s="216" t="str">
        <f ca="1">_xlfn.CONCAT(B708,A722)</f>
        <v>165F5D87-M</v>
      </c>
      <c r="C722" s="17"/>
      <c r="D722" s="184"/>
      <c r="E722" s="197"/>
      <c r="F722" s="19"/>
      <c r="G722" s="20"/>
    </row>
    <row r="723" spans="1:8">
      <c r="A723" s="211" t="s">
        <v>497</v>
      </c>
      <c r="B723" s="216" t="str">
        <f ca="1">_xlfn.CONCAT(B708,A723)</f>
        <v>165F5D87-N</v>
      </c>
      <c r="C723" s="17"/>
      <c r="D723" s="184"/>
      <c r="E723" s="197"/>
      <c r="F723" s="19"/>
      <c r="G723" s="20"/>
    </row>
    <row r="724" spans="1:8">
      <c r="A724" s="211" t="s">
        <v>498</v>
      </c>
      <c r="B724" s="216" t="str">
        <f ca="1">_xlfn.CONCAT(B708,A724)</f>
        <v>165F5D87-O</v>
      </c>
      <c r="C724" s="17"/>
      <c r="D724" s="184"/>
      <c r="E724" s="197"/>
      <c r="F724" s="19"/>
      <c r="G724" s="20"/>
    </row>
    <row r="725" spans="1:8">
      <c r="A725" s="211" t="s">
        <v>499</v>
      </c>
      <c r="B725" s="216" t="str">
        <f ca="1">_xlfn.CONCAT(B708,A725)</f>
        <v>165F5D87-P</v>
      </c>
      <c r="C725" s="17"/>
      <c r="D725" s="184"/>
      <c r="E725" s="197"/>
      <c r="F725" s="19"/>
      <c r="G725" s="20"/>
    </row>
    <row r="726" spans="1:8">
      <c r="A726" s="211" t="s">
        <v>500</v>
      </c>
      <c r="B726" s="216" t="str">
        <f ca="1">_xlfn.CONCAT(B708,A726)</f>
        <v>165F5D87-Q</v>
      </c>
      <c r="C726" s="17"/>
      <c r="D726" s="184"/>
      <c r="E726" s="197"/>
      <c r="F726" s="19"/>
      <c r="G726" s="20"/>
    </row>
    <row r="727" spans="1:8">
      <c r="A727" s="211" t="s">
        <v>501</v>
      </c>
      <c r="B727" s="216" t="str">
        <f ca="1">_xlfn.CONCAT(B708,A727)</f>
        <v>165F5D87-R</v>
      </c>
      <c r="C727" s="17"/>
      <c r="D727" s="184"/>
      <c r="E727" s="197"/>
      <c r="F727" s="19"/>
      <c r="G727" s="20"/>
    </row>
    <row r="728" spans="1:8">
      <c r="A728" s="211" t="s">
        <v>502</v>
      </c>
      <c r="B728" s="216" t="str">
        <f ca="1">_xlfn.CONCAT(B708,A728)</f>
        <v>165F5D87-S</v>
      </c>
      <c r="C728" s="17"/>
      <c r="D728" s="184"/>
      <c r="E728" s="197"/>
      <c r="F728" s="19"/>
      <c r="G728" s="20"/>
    </row>
    <row r="729" spans="1:8">
      <c r="A729" s="211" t="s">
        <v>503</v>
      </c>
      <c r="B729" s="216" t="str">
        <f ca="1">_xlfn.CONCAT(B708,A729)</f>
        <v>165F5D87-T</v>
      </c>
      <c r="C729" s="17"/>
      <c r="D729" s="184"/>
      <c r="E729" s="197"/>
      <c r="F729" s="19"/>
      <c r="G729" s="20"/>
    </row>
    <row r="730" spans="1:8" ht="14.25" thickBot="1">
      <c r="A730" s="211" t="s">
        <v>504</v>
      </c>
      <c r="B730" s="216" t="str">
        <f ca="1">_xlfn.CONCAT(B708,A730)</f>
        <v>165F5D87-U</v>
      </c>
      <c r="C730" s="17"/>
      <c r="D730" s="184"/>
      <c r="E730" s="197"/>
      <c r="F730" s="19"/>
      <c r="G730" s="20"/>
    </row>
    <row r="731" spans="1:8" ht="16.5" customHeight="1" thickBot="1">
      <c r="A731" s="211" t="s">
        <v>505</v>
      </c>
      <c r="B731" s="216" t="str">
        <f ca="1">_xlfn.CONCAT(B708,A731)</f>
        <v>165F5D87-V</v>
      </c>
      <c r="C731" s="17" t="s">
        <v>17</v>
      </c>
      <c r="D731" s="192" t="s">
        <v>17</v>
      </c>
      <c r="E731" s="18"/>
      <c r="F731" s="22" t="s">
        <v>18</v>
      </c>
      <c r="G731" s="23">
        <f>SUM(G710:G730)</f>
        <v>27380</v>
      </c>
    </row>
    <row r="732" spans="1:8" ht="28.5" customHeight="1" thickBot="1">
      <c r="A732" s="211" t="s">
        <v>506</v>
      </c>
      <c r="B732" s="216" t="str">
        <f ca="1">_xlfn.CONCAT(B708,A732)</f>
        <v>165F5D87-W</v>
      </c>
      <c r="C732" s="10" t="s">
        <v>19</v>
      </c>
      <c r="D732" s="190"/>
      <c r="E732" s="11"/>
      <c r="F732" s="12"/>
      <c r="G732" s="13"/>
    </row>
    <row r="733" spans="1:8" s="47" customFormat="1" ht="23.25" customHeight="1" thickBot="1">
      <c r="A733" s="211" t="s">
        <v>507</v>
      </c>
      <c r="B733" s="216" t="str">
        <f ca="1">_xlfn.CONCAT(B708,A733)</f>
        <v>165F5D87-X</v>
      </c>
      <c r="C733" s="14" t="s">
        <v>1</v>
      </c>
      <c r="D733" s="15"/>
      <c r="E733" s="15" t="s">
        <v>20</v>
      </c>
      <c r="F733" s="16" t="s">
        <v>21</v>
      </c>
      <c r="G733" s="15" t="s">
        <v>5</v>
      </c>
      <c r="H733" s="215"/>
    </row>
    <row r="734" spans="1:8">
      <c r="A734" s="211" t="s">
        <v>508</v>
      </c>
      <c r="B734" s="216" t="str">
        <f ca="1">_xlfn.CONCAT(B708,A734)</f>
        <v>165F5D87-Y</v>
      </c>
      <c r="C734" s="24" t="s">
        <v>22</v>
      </c>
      <c r="D734" s="184"/>
      <c r="E734" s="25">
        <f>_xlfn.XLOOKUP(C734,'H-MO'!B$7:B$30,'H-MO'!D$7:D$30,,0,1)</f>
        <v>2436.5624999999995</v>
      </c>
      <c r="F734" s="19">
        <v>0.4</v>
      </c>
      <c r="G734" s="33">
        <f t="shared" ref="G734:G739" si="15">+E734*F734</f>
        <v>974.62499999999989</v>
      </c>
    </row>
    <row r="735" spans="1:8">
      <c r="A735" s="211" t="s">
        <v>509</v>
      </c>
      <c r="B735" s="216" t="str">
        <f ca="1">_xlfn.CONCAT(B708,A735)</f>
        <v>165F5D87-Z</v>
      </c>
      <c r="C735" s="24" t="s">
        <v>23</v>
      </c>
      <c r="D735" s="184"/>
      <c r="E735" s="25">
        <f>_xlfn.XLOOKUP(C735,'H-MO'!B$7:B$30,'H-MO'!D$7:D$30,,0,1)</f>
        <v>1461.9374999999998</v>
      </c>
      <c r="F735" s="19">
        <v>0.2</v>
      </c>
      <c r="G735" s="33">
        <f t="shared" si="15"/>
        <v>292.38749999999999</v>
      </c>
    </row>
    <row r="736" spans="1:8">
      <c r="A736" s="211" t="s">
        <v>510</v>
      </c>
      <c r="B736" s="216" t="str">
        <f ca="1">_xlfn.CONCAT(B708,A736)</f>
        <v>165F5D87-aa</v>
      </c>
      <c r="C736" s="24" t="s">
        <v>24</v>
      </c>
      <c r="D736" s="185"/>
      <c r="E736" s="25">
        <f>_xlfn.XLOOKUP(C736,'H-MO'!B$7:B$30,'H-MO'!D$7:D$30,,0,1)</f>
        <v>29238.749999999996</v>
      </c>
      <c r="F736" s="28">
        <v>0.1</v>
      </c>
      <c r="G736" s="33">
        <f t="shared" si="15"/>
        <v>2923.875</v>
      </c>
    </row>
    <row r="737" spans="1:12">
      <c r="A737" s="211" t="s">
        <v>511</v>
      </c>
      <c r="B737" s="216" t="str">
        <f ca="1">_xlfn.CONCAT(B708,A737)</f>
        <v>165F5D87-ab</v>
      </c>
      <c r="C737" s="24" t="s">
        <v>25</v>
      </c>
      <c r="D737" s="185"/>
      <c r="E737" s="25">
        <f>_xlfn.XLOOKUP(C737,'H-MO'!B$7:B$30,'H-MO'!D$7:D$30,,0,1)</f>
        <v>2761.4374999999995</v>
      </c>
      <c r="F737" s="28">
        <v>0.1</v>
      </c>
      <c r="G737" s="33">
        <f t="shared" si="15"/>
        <v>276.14374999999995</v>
      </c>
    </row>
    <row r="738" spans="1:12">
      <c r="A738" s="211" t="s">
        <v>512</v>
      </c>
      <c r="B738" s="216" t="str">
        <f ca="1">_xlfn.CONCAT(B708,A738)</f>
        <v>165F5D87-ac</v>
      </c>
      <c r="C738" s="24"/>
      <c r="D738" s="185"/>
      <c r="E738" s="29"/>
      <c r="F738" s="28"/>
      <c r="G738" s="33">
        <f t="shared" si="15"/>
        <v>0</v>
      </c>
    </row>
    <row r="739" spans="1:12" ht="14.25" thickBot="1">
      <c r="A739" s="211" t="s">
        <v>513</v>
      </c>
      <c r="B739" s="216" t="str">
        <f ca="1">_xlfn.CONCAT(B708,A739)</f>
        <v>165F5D87-ad</v>
      </c>
      <c r="C739" s="24"/>
      <c r="D739" s="185"/>
      <c r="E739" s="29"/>
      <c r="F739" s="28"/>
      <c r="G739" s="33">
        <f t="shared" si="15"/>
        <v>0</v>
      </c>
    </row>
    <row r="740" spans="1:12" ht="16.5" customHeight="1" thickBot="1">
      <c r="A740" s="211" t="s">
        <v>514</v>
      </c>
      <c r="B740" s="216" t="str">
        <f ca="1">_xlfn.CONCAT(B708,A740)</f>
        <v>165F5D87-ae</v>
      </c>
      <c r="C740" s="17"/>
      <c r="D740" s="192"/>
      <c r="E740" s="18"/>
      <c r="F740" s="22" t="s">
        <v>26</v>
      </c>
      <c r="G740" s="23">
        <f>SUM(G734:G739)</f>
        <v>4467.03125</v>
      </c>
    </row>
    <row r="741" spans="1:12" ht="28.5" customHeight="1" thickBot="1">
      <c r="A741" s="211" t="s">
        <v>515</v>
      </c>
      <c r="B741" s="216" t="str">
        <f ca="1">_xlfn.CONCAT(B708,A741)</f>
        <v>165F5D87-af</v>
      </c>
      <c r="C741" s="10" t="s">
        <v>27</v>
      </c>
      <c r="D741" s="190"/>
      <c r="E741" s="11"/>
      <c r="F741" s="12"/>
      <c r="G741" s="13"/>
    </row>
    <row r="742" spans="1:12" s="47" customFormat="1" ht="23.25" customHeight="1" thickBot="1">
      <c r="A742" s="211" t="s">
        <v>516</v>
      </c>
      <c r="B742" s="216" t="str">
        <f ca="1">_xlfn.CONCAT(B708,A742)</f>
        <v>165F5D87-ag</v>
      </c>
      <c r="C742" s="14" t="s">
        <v>1</v>
      </c>
      <c r="D742" s="15" t="s">
        <v>28</v>
      </c>
      <c r="E742" s="15" t="s">
        <v>20</v>
      </c>
      <c r="F742" s="16" t="s">
        <v>21</v>
      </c>
      <c r="G742" s="15" t="s">
        <v>5</v>
      </c>
      <c r="H742" s="215"/>
      <c r="I742" s="211"/>
      <c r="J742" s="211"/>
      <c r="K742" s="211"/>
      <c r="L742" s="211"/>
    </row>
    <row r="743" spans="1:12">
      <c r="A743" s="211" t="s">
        <v>517</v>
      </c>
      <c r="B743" s="216" t="str">
        <f ca="1">_xlfn.CONCAT(B708,A743)</f>
        <v>165F5D87-ah</v>
      </c>
      <c r="C743" s="30" t="s">
        <v>29</v>
      </c>
      <c r="D743" s="186">
        <f>'H-MO'!$N$77</f>
        <v>725918.52892505517</v>
      </c>
      <c r="E743" s="31">
        <f>+D743/8</f>
        <v>90739.816115631897</v>
      </c>
      <c r="F743" s="32">
        <v>0.155</v>
      </c>
      <c r="G743" s="33">
        <f>+E743*F743</f>
        <v>14064.671497922944</v>
      </c>
    </row>
    <row r="744" spans="1:12">
      <c r="A744" s="211" t="s">
        <v>518</v>
      </c>
      <c r="B744" s="216" t="str">
        <f ca="1">_xlfn.CONCAT(B708,A744)</f>
        <v>165F5D87-ai</v>
      </c>
      <c r="C744" s="34" t="s">
        <v>30</v>
      </c>
      <c r="D744" s="187">
        <f>'H-MO'!$N$86</f>
        <v>685561.39085756091</v>
      </c>
      <c r="E744" s="29">
        <f>+D744/8</f>
        <v>85695.173857195114</v>
      </c>
      <c r="F744" s="28">
        <v>0</v>
      </c>
      <c r="G744" s="33">
        <f>+E744*F744</f>
        <v>0</v>
      </c>
    </row>
    <row r="745" spans="1:12" ht="14.25" thickBot="1">
      <c r="A745" s="211" t="s">
        <v>519</v>
      </c>
      <c r="B745" s="216" t="str">
        <f ca="1">_xlfn.CONCAT(B708,A745)</f>
        <v>165F5D87-aj</v>
      </c>
      <c r="C745" s="34"/>
      <c r="D745" s="187"/>
      <c r="E745" s="29"/>
      <c r="F745" s="28"/>
      <c r="G745" s="33">
        <f>+E745*F745</f>
        <v>0</v>
      </c>
    </row>
    <row r="746" spans="1:12" ht="17.25" customHeight="1" thickBot="1">
      <c r="A746" s="211" t="s">
        <v>520</v>
      </c>
      <c r="B746" s="216" t="str">
        <f ca="1">_xlfn.CONCAT(B708,A746)</f>
        <v>165F5D87-ak</v>
      </c>
      <c r="C746" s="34"/>
      <c r="D746" s="185"/>
      <c r="E746" s="26"/>
      <c r="F746" s="36" t="s">
        <v>31</v>
      </c>
      <c r="G746" s="23">
        <f>SUM(G743:G745)</f>
        <v>14064.671497922944</v>
      </c>
    </row>
    <row r="747" spans="1:12" ht="14.25" thickBot="1">
      <c r="A747" s="211" t="s">
        <v>521</v>
      </c>
      <c r="B747" s="216" t="str">
        <f ca="1">_xlfn.CONCAT(B708,A747)</f>
        <v>165F5D87-al</v>
      </c>
      <c r="C747" s="37"/>
      <c r="E747" s="38"/>
      <c r="F747" s="22"/>
      <c r="G747" s="39"/>
    </row>
    <row r="748" spans="1:12" ht="23.25" customHeight="1" thickBot="1">
      <c r="A748" s="211" t="s">
        <v>522</v>
      </c>
      <c r="B748" s="216" t="str">
        <f ca="1">_xlfn.CONCAT(B708,A748)</f>
        <v>165F5D87-am</v>
      </c>
      <c r="C748" s="40"/>
      <c r="D748" s="193"/>
      <c r="E748" s="41"/>
      <c r="F748" s="42"/>
      <c r="G748" s="43">
        <f>+G731+G740+G746</f>
        <v>45911.702747922944</v>
      </c>
    </row>
    <row r="749" spans="1:12" ht="21.75" thickBot="1">
      <c r="B749" s="212" t="s">
        <v>550</v>
      </c>
      <c r="C749" s="2"/>
      <c r="D749" s="183"/>
      <c r="F749" s="4"/>
      <c r="G749" s="5"/>
    </row>
    <row r="750" spans="1:12" s="45" customFormat="1" ht="34.5" customHeight="1">
      <c r="A750" s="213"/>
      <c r="B750" s="214">
        <v>18</v>
      </c>
      <c r="C750" s="242" t="str">
        <f ca="1">_xlfn.XLOOKUP(B750,Cantidades!$A$10:$A$314,Cantidades!$C$10:$C$314,,0,1)</f>
        <v>Suministro e instalación de acometida 3#8(F)+1#10(N)+1#10(T) de cobre</v>
      </c>
      <c r="D750" s="243"/>
      <c r="E750" s="243"/>
      <c r="F750" s="243"/>
      <c r="G750" s="244"/>
      <c r="H750" s="211"/>
      <c r="I750" s="211"/>
      <c r="J750" s="211"/>
      <c r="K750" s="211"/>
      <c r="L750" s="211"/>
    </row>
    <row r="751" spans="1:12" ht="19.5" thickBot="1">
      <c r="A751" s="215"/>
      <c r="B751" s="216" t="s">
        <v>550</v>
      </c>
      <c r="C751" s="177"/>
      <c r="D751" s="189"/>
      <c r="E751" s="178"/>
      <c r="F751" s="179" t="s">
        <v>636</v>
      </c>
      <c r="G751" s="209" t="str">
        <f ca="1">B752</f>
        <v>165F5D88-</v>
      </c>
    </row>
    <row r="752" spans="1:12" ht="15.75" thickBot="1">
      <c r="B752" s="212" t="str">
        <f ca="1">_xlfn.XLOOKUP(C750,Cantidades!$C$1:$C$314,Cantidades!$B$1:$B$314,"",0,1)</f>
        <v>165F5D88-</v>
      </c>
      <c r="C752" s="10" t="s">
        <v>0</v>
      </c>
      <c r="D752" s="190"/>
      <c r="E752" s="11"/>
      <c r="F752" s="12"/>
      <c r="G752" s="13"/>
    </row>
    <row r="753" spans="1:8" ht="14.25" thickBot="1">
      <c r="A753" s="215"/>
      <c r="B753" s="216" t="s">
        <v>550</v>
      </c>
      <c r="C753" s="14" t="s">
        <v>1</v>
      </c>
      <c r="D753" s="15" t="s">
        <v>2</v>
      </c>
      <c r="E753" s="15" t="s">
        <v>3</v>
      </c>
      <c r="F753" s="16" t="s">
        <v>4</v>
      </c>
      <c r="G753" s="15" t="s">
        <v>5</v>
      </c>
      <c r="H753" s="215"/>
    </row>
    <row r="754" spans="1:8" ht="15">
      <c r="A754" s="211" t="s">
        <v>484</v>
      </c>
      <c r="B754" s="216" t="str">
        <f ca="1">_xlfn.CONCAT(B752,A754)</f>
        <v>165F5D88-A</v>
      </c>
      <c r="C754" s="17" t="str">
        <f>_xlfn.XLOOKUP(H754,'Materiales unitario'!$A$1:$A$2500,'Materiales unitario'!B$1:B$2500,,0,1)</f>
        <v>Cable de cobre aislado #8 AWG-THHN/THWN Color negro</v>
      </c>
      <c r="D754" s="184" t="str">
        <f>_xlfn.XLOOKUP(H754,'Materiales unitario'!A$1:A$2500,'Materiales unitario'!C$1:C$2500,,0,1)</f>
        <v>ml</v>
      </c>
      <c r="E754" s="197">
        <f>_xlfn.XLOOKUP(H754,'Materiales unitario'!$A$1:$A$2500,'Materiales unitario'!D$1:D$2500,,0,1)</f>
        <v>6400</v>
      </c>
      <c r="F754" s="19">
        <v>3.15</v>
      </c>
      <c r="G754" s="20">
        <f>+E754*F754</f>
        <v>20160</v>
      </c>
      <c r="H754" s="217" t="s">
        <v>274</v>
      </c>
    </row>
    <row r="755" spans="1:8" ht="15">
      <c r="A755" s="211" t="s">
        <v>485</v>
      </c>
      <c r="B755" s="216" t="str">
        <f ca="1">_xlfn.CONCAT(B752,A755)</f>
        <v>165F5D88-B</v>
      </c>
      <c r="C755" s="17" t="str">
        <f>_xlfn.XLOOKUP(H755,'Materiales unitario'!$A$1:$A$2500,'Materiales unitario'!B$1:B$2500,,0,1)</f>
        <v>Cable de cobre aislado #10 AWG-THHN/THWN Color negro</v>
      </c>
      <c r="D755" s="184" t="str">
        <f>_xlfn.XLOOKUP(H755,'Materiales unitario'!A$1:A$2500,'Materiales unitario'!C$1:C$2500,,0,1)</f>
        <v>ml</v>
      </c>
      <c r="E755" s="197">
        <f>_xlfn.XLOOKUP(H755,'Materiales unitario'!$A$1:$A$2500,'Materiales unitario'!D$1:D$2500,,0,1)</f>
        <v>5215</v>
      </c>
      <c r="F755" s="19">
        <v>2.1</v>
      </c>
      <c r="G755" s="20">
        <f>+E755*F755</f>
        <v>10951.5</v>
      </c>
      <c r="H755" s="217" t="s">
        <v>265</v>
      </c>
    </row>
    <row r="756" spans="1:8" ht="15">
      <c r="A756" s="211" t="s">
        <v>486</v>
      </c>
      <c r="B756" s="216" t="str">
        <f ca="1">_xlfn.CONCAT(B752,A756)</f>
        <v>165F5D88-C</v>
      </c>
      <c r="C756" s="17" t="str">
        <f>_xlfn.XLOOKUP(H756,'Materiales unitario'!$A$1:$A$2500,'Materiales unitario'!B$1:B$2500,,0,1)</f>
        <v>Borna terminal estañada de ojo tipo pala #8 AWG</v>
      </c>
      <c r="D756" s="184" t="str">
        <f>_xlfn.XLOOKUP(H756,'Materiales unitario'!A$1:A$2500,'Materiales unitario'!C$1:C$2500,,0,1)</f>
        <v>un</v>
      </c>
      <c r="E756" s="197">
        <f>_xlfn.XLOOKUP(H756,'Materiales unitario'!$A$1:$A$2500,'Materiales unitario'!D$1:D$2500,,0,1)</f>
        <v>1200</v>
      </c>
      <c r="F756" s="19">
        <v>0.2</v>
      </c>
      <c r="G756" s="20">
        <f>+E756*F756</f>
        <v>240</v>
      </c>
      <c r="H756" s="217" t="s">
        <v>255</v>
      </c>
    </row>
    <row r="757" spans="1:8" ht="15">
      <c r="A757" s="211" t="s">
        <v>487</v>
      </c>
      <c r="B757" s="216" t="str">
        <f ca="1">_xlfn.CONCAT(B752,A757)</f>
        <v>165F5D88-D</v>
      </c>
      <c r="C757" s="17" t="str">
        <f>_xlfn.XLOOKUP(H757,'Materiales unitario'!$A$1:$A$2500,'Materiales unitario'!B$1:B$2500,,0,1)</f>
        <v>Termoencogible</v>
      </c>
      <c r="D757" s="184" t="str">
        <f>_xlfn.XLOOKUP(H757,'Materiales unitario'!A$1:A$2500,'Materiales unitario'!C$1:C$2500,,0,1)</f>
        <v>un</v>
      </c>
      <c r="E757" s="197">
        <f>_xlfn.XLOOKUP(H757,'Materiales unitario'!$A$1:$A$2500,'Materiales unitario'!D$1:D$2500,,0,1)</f>
        <v>5000</v>
      </c>
      <c r="F757" s="19">
        <v>0.1</v>
      </c>
      <c r="G757" s="20">
        <f>+E757*F757</f>
        <v>500</v>
      </c>
      <c r="H757" s="217" t="s">
        <v>373</v>
      </c>
    </row>
    <row r="758" spans="1:8" ht="15">
      <c r="A758" s="211" t="s">
        <v>488</v>
      </c>
      <c r="B758" s="216" t="str">
        <f ca="1">_xlfn.CONCAT(B752,A758)</f>
        <v>165F5D88-E</v>
      </c>
      <c r="C758" s="17"/>
      <c r="D758" s="184"/>
      <c r="E758" s="197"/>
      <c r="F758" s="19"/>
      <c r="G758" s="20"/>
      <c r="H758" s="217"/>
    </row>
    <row r="759" spans="1:8">
      <c r="A759" s="211" t="s">
        <v>489</v>
      </c>
      <c r="B759" s="216" t="str">
        <f ca="1">_xlfn.CONCAT(B752,A759)</f>
        <v>165F5D88-F</v>
      </c>
      <c r="C759" s="17"/>
      <c r="D759" s="184"/>
      <c r="E759" s="197"/>
      <c r="F759" s="19"/>
      <c r="G759" s="20"/>
    </row>
    <row r="760" spans="1:8">
      <c r="A760" s="211" t="s">
        <v>490</v>
      </c>
      <c r="B760" s="216" t="str">
        <f ca="1">_xlfn.CONCAT(B752,A760)</f>
        <v>165F5D88-G</v>
      </c>
      <c r="C760" s="17"/>
      <c r="D760" s="184"/>
      <c r="E760" s="197"/>
      <c r="F760" s="19"/>
      <c r="G760" s="20"/>
    </row>
    <row r="761" spans="1:8">
      <c r="A761" s="211" t="s">
        <v>491</v>
      </c>
      <c r="B761" s="216" t="str">
        <f ca="1">_xlfn.CONCAT(B752,A761)</f>
        <v>165F5D88-H</v>
      </c>
      <c r="C761" s="17"/>
      <c r="D761" s="184"/>
      <c r="E761" s="197"/>
      <c r="F761" s="19"/>
      <c r="G761" s="20"/>
    </row>
    <row r="762" spans="1:8">
      <c r="A762" s="211" t="s">
        <v>492</v>
      </c>
      <c r="B762" s="216" t="str">
        <f ca="1">_xlfn.CONCAT(B752,A762)</f>
        <v>165F5D88-I</v>
      </c>
      <c r="C762" s="17"/>
      <c r="D762" s="184"/>
      <c r="E762" s="197"/>
      <c r="F762" s="19"/>
      <c r="G762" s="20"/>
    </row>
    <row r="763" spans="1:8">
      <c r="A763" s="211" t="s">
        <v>493</v>
      </c>
      <c r="B763" s="216" t="str">
        <f ca="1">_xlfn.CONCAT(B752,A763)</f>
        <v>165F5D88-J</v>
      </c>
      <c r="C763" s="17"/>
      <c r="D763" s="184"/>
      <c r="E763" s="197"/>
      <c r="F763" s="19"/>
      <c r="G763" s="20"/>
    </row>
    <row r="764" spans="1:8">
      <c r="A764" s="211" t="s">
        <v>494</v>
      </c>
      <c r="B764" s="216" t="str">
        <f ca="1">_xlfn.CONCAT(B752,A764)</f>
        <v>165F5D88-K</v>
      </c>
      <c r="C764" s="17"/>
      <c r="D764" s="184"/>
      <c r="E764" s="197"/>
      <c r="F764" s="19"/>
      <c r="G764" s="20"/>
    </row>
    <row r="765" spans="1:8">
      <c r="A765" s="211" t="s">
        <v>495</v>
      </c>
      <c r="B765" s="216" t="str">
        <f ca="1">_xlfn.CONCAT(B752,A765)</f>
        <v>165F5D88-L</v>
      </c>
      <c r="C765" s="17"/>
      <c r="D765" s="184"/>
      <c r="E765" s="197"/>
      <c r="F765" s="19"/>
      <c r="G765" s="20"/>
    </row>
    <row r="766" spans="1:8">
      <c r="A766" s="211" t="s">
        <v>496</v>
      </c>
      <c r="B766" s="216" t="str">
        <f ca="1">_xlfn.CONCAT(B752,A766)</f>
        <v>165F5D88-M</v>
      </c>
      <c r="C766" s="17"/>
      <c r="D766" s="184"/>
      <c r="E766" s="197"/>
      <c r="F766" s="19"/>
      <c r="G766" s="20"/>
    </row>
    <row r="767" spans="1:8">
      <c r="A767" s="211" t="s">
        <v>497</v>
      </c>
      <c r="B767" s="216" t="str">
        <f ca="1">_xlfn.CONCAT(B752,A767)</f>
        <v>165F5D88-N</v>
      </c>
      <c r="C767" s="17"/>
      <c r="D767" s="184"/>
      <c r="E767" s="197"/>
      <c r="F767" s="19"/>
      <c r="G767" s="20"/>
    </row>
    <row r="768" spans="1:8">
      <c r="A768" s="211" t="s">
        <v>498</v>
      </c>
      <c r="B768" s="216" t="str">
        <f ca="1">_xlfn.CONCAT(B752,A768)</f>
        <v>165F5D88-O</v>
      </c>
      <c r="C768" s="17"/>
      <c r="D768" s="184"/>
      <c r="E768" s="197"/>
      <c r="F768" s="19"/>
      <c r="G768" s="20"/>
    </row>
    <row r="769" spans="1:8">
      <c r="A769" s="211" t="s">
        <v>499</v>
      </c>
      <c r="B769" s="216" t="str">
        <f ca="1">_xlfn.CONCAT(B752,A769)</f>
        <v>165F5D88-P</v>
      </c>
      <c r="C769" s="17"/>
      <c r="D769" s="184"/>
      <c r="E769" s="197"/>
      <c r="F769" s="19"/>
      <c r="G769" s="20"/>
    </row>
    <row r="770" spans="1:8">
      <c r="A770" s="211" t="s">
        <v>500</v>
      </c>
      <c r="B770" s="216" t="str">
        <f ca="1">_xlfn.CONCAT(B752,A770)</f>
        <v>165F5D88-Q</v>
      </c>
      <c r="C770" s="17"/>
      <c r="D770" s="184"/>
      <c r="E770" s="197"/>
      <c r="F770" s="19"/>
      <c r="G770" s="20"/>
    </row>
    <row r="771" spans="1:8">
      <c r="A771" s="211" t="s">
        <v>501</v>
      </c>
      <c r="B771" s="216" t="str">
        <f ca="1">_xlfn.CONCAT(B752,A771)</f>
        <v>165F5D88-R</v>
      </c>
      <c r="C771" s="17"/>
      <c r="D771" s="184"/>
      <c r="E771" s="197"/>
      <c r="F771" s="19"/>
      <c r="G771" s="20"/>
    </row>
    <row r="772" spans="1:8">
      <c r="A772" s="211" t="s">
        <v>502</v>
      </c>
      <c r="B772" s="216" t="str">
        <f ca="1">_xlfn.CONCAT(B752,A772)</f>
        <v>165F5D88-S</v>
      </c>
      <c r="C772" s="17"/>
      <c r="D772" s="184"/>
      <c r="E772" s="197"/>
      <c r="F772" s="19"/>
      <c r="G772" s="20"/>
    </row>
    <row r="773" spans="1:8">
      <c r="A773" s="211" t="s">
        <v>503</v>
      </c>
      <c r="B773" s="216" t="str">
        <f ca="1">_xlfn.CONCAT(B752,A773)</f>
        <v>165F5D88-T</v>
      </c>
      <c r="C773" s="17"/>
      <c r="D773" s="184"/>
      <c r="E773" s="197"/>
      <c r="F773" s="19"/>
      <c r="G773" s="20"/>
    </row>
    <row r="774" spans="1:8" ht="14.25" thickBot="1">
      <c r="A774" s="211" t="s">
        <v>504</v>
      </c>
      <c r="B774" s="216" t="str">
        <f ca="1">_xlfn.CONCAT(B752,A774)</f>
        <v>165F5D88-U</v>
      </c>
      <c r="C774" s="17"/>
      <c r="D774" s="184"/>
      <c r="E774" s="197"/>
      <c r="F774" s="19"/>
      <c r="G774" s="20"/>
    </row>
    <row r="775" spans="1:8" ht="16.5" customHeight="1" thickBot="1">
      <c r="A775" s="211" t="s">
        <v>505</v>
      </c>
      <c r="B775" s="216" t="str">
        <f ca="1">_xlfn.CONCAT(B752,A775)</f>
        <v>165F5D88-V</v>
      </c>
      <c r="C775" s="17" t="s">
        <v>17</v>
      </c>
      <c r="D775" s="192" t="s">
        <v>17</v>
      </c>
      <c r="E775" s="18"/>
      <c r="F775" s="22" t="s">
        <v>18</v>
      </c>
      <c r="G775" s="23">
        <f>SUM(G754:G774)</f>
        <v>31851.5</v>
      </c>
    </row>
    <row r="776" spans="1:8" ht="28.5" customHeight="1" thickBot="1">
      <c r="A776" s="211" t="s">
        <v>506</v>
      </c>
      <c r="B776" s="216" t="str">
        <f ca="1">_xlfn.CONCAT(B752,A776)</f>
        <v>165F5D88-W</v>
      </c>
      <c r="C776" s="10" t="s">
        <v>19</v>
      </c>
      <c r="D776" s="190"/>
      <c r="E776" s="11"/>
      <c r="F776" s="12"/>
      <c r="G776" s="13"/>
    </row>
    <row r="777" spans="1:8" s="47" customFormat="1" ht="23.25" customHeight="1" thickBot="1">
      <c r="A777" s="211" t="s">
        <v>507</v>
      </c>
      <c r="B777" s="216" t="str">
        <f ca="1">_xlfn.CONCAT(B752,A777)</f>
        <v>165F5D88-X</v>
      </c>
      <c r="C777" s="14" t="s">
        <v>1</v>
      </c>
      <c r="D777" s="15"/>
      <c r="E777" s="15" t="s">
        <v>20</v>
      </c>
      <c r="F777" s="16" t="s">
        <v>21</v>
      </c>
      <c r="G777" s="15" t="s">
        <v>5</v>
      </c>
      <c r="H777" s="215"/>
    </row>
    <row r="778" spans="1:8">
      <c r="A778" s="211" t="s">
        <v>508</v>
      </c>
      <c r="B778" s="216" t="str">
        <f ca="1">_xlfn.CONCAT(B752,A778)</f>
        <v>165F5D88-Y</v>
      </c>
      <c r="C778" s="24" t="s">
        <v>22</v>
      </c>
      <c r="D778" s="184"/>
      <c r="E778" s="25">
        <f>_xlfn.XLOOKUP(C778,'H-MO'!B$7:B$30,'H-MO'!D$7:D$30,,0,1)</f>
        <v>2436.5624999999995</v>
      </c>
      <c r="F778" s="19">
        <v>0.4</v>
      </c>
      <c r="G778" s="33">
        <f t="shared" ref="G778:G783" si="16">+E778*F778</f>
        <v>974.62499999999989</v>
      </c>
    </row>
    <row r="779" spans="1:8">
      <c r="A779" s="211" t="s">
        <v>509</v>
      </c>
      <c r="B779" s="216" t="str">
        <f ca="1">_xlfn.CONCAT(B752,A779)</f>
        <v>165F5D88-Z</v>
      </c>
      <c r="C779" s="24" t="s">
        <v>23</v>
      </c>
      <c r="D779" s="184"/>
      <c r="E779" s="25">
        <f>_xlfn.XLOOKUP(C779,'H-MO'!B$7:B$30,'H-MO'!D$7:D$30,,0,1)</f>
        <v>1461.9374999999998</v>
      </c>
      <c r="F779" s="19">
        <v>0.2</v>
      </c>
      <c r="G779" s="33">
        <f t="shared" si="16"/>
        <v>292.38749999999999</v>
      </c>
    </row>
    <row r="780" spans="1:8">
      <c r="A780" s="211" t="s">
        <v>510</v>
      </c>
      <c r="B780" s="216" t="str">
        <f ca="1">_xlfn.CONCAT(B752,A780)</f>
        <v>165F5D88-aa</v>
      </c>
      <c r="C780" s="24" t="s">
        <v>24</v>
      </c>
      <c r="D780" s="185"/>
      <c r="E780" s="25">
        <f>_xlfn.XLOOKUP(C780,'H-MO'!B$7:B$30,'H-MO'!D$7:D$30,,0,1)</f>
        <v>29238.749999999996</v>
      </c>
      <c r="F780" s="28">
        <v>0.1</v>
      </c>
      <c r="G780" s="33">
        <f t="shared" si="16"/>
        <v>2923.875</v>
      </c>
    </row>
    <row r="781" spans="1:8">
      <c r="A781" s="211" t="s">
        <v>511</v>
      </c>
      <c r="B781" s="216" t="str">
        <f ca="1">_xlfn.CONCAT(B752,A781)</f>
        <v>165F5D88-ab</v>
      </c>
      <c r="C781" s="24" t="s">
        <v>25</v>
      </c>
      <c r="D781" s="185"/>
      <c r="E781" s="25">
        <f>_xlfn.XLOOKUP(C781,'H-MO'!B$7:B$30,'H-MO'!D$7:D$30,,0,1)</f>
        <v>2761.4374999999995</v>
      </c>
      <c r="F781" s="28">
        <v>0.1</v>
      </c>
      <c r="G781" s="33">
        <f t="shared" si="16"/>
        <v>276.14374999999995</v>
      </c>
    </row>
    <row r="782" spans="1:8">
      <c r="A782" s="211" t="s">
        <v>512</v>
      </c>
      <c r="B782" s="216" t="str">
        <f ca="1">_xlfn.CONCAT(B752,A782)</f>
        <v>165F5D88-ac</v>
      </c>
      <c r="C782" s="24"/>
      <c r="D782" s="185"/>
      <c r="E782" s="29"/>
      <c r="F782" s="28"/>
      <c r="G782" s="33">
        <f t="shared" si="16"/>
        <v>0</v>
      </c>
    </row>
    <row r="783" spans="1:8" ht="14.25" thickBot="1">
      <c r="A783" s="211" t="s">
        <v>513</v>
      </c>
      <c r="B783" s="216" t="str">
        <f ca="1">_xlfn.CONCAT(B752,A783)</f>
        <v>165F5D88-ad</v>
      </c>
      <c r="C783" s="24"/>
      <c r="D783" s="185"/>
      <c r="E783" s="29"/>
      <c r="F783" s="28"/>
      <c r="G783" s="33">
        <f t="shared" si="16"/>
        <v>0</v>
      </c>
    </row>
    <row r="784" spans="1:8" ht="16.5" customHeight="1" thickBot="1">
      <c r="A784" s="211" t="s">
        <v>514</v>
      </c>
      <c r="B784" s="216" t="str">
        <f ca="1">_xlfn.CONCAT(B752,A784)</f>
        <v>165F5D88-ae</v>
      </c>
      <c r="C784" s="17"/>
      <c r="D784" s="192"/>
      <c r="E784" s="18"/>
      <c r="F784" s="22" t="s">
        <v>26</v>
      </c>
      <c r="G784" s="23">
        <f>SUM(G778:G783)</f>
        <v>4467.03125</v>
      </c>
    </row>
    <row r="785" spans="1:8" ht="28.5" customHeight="1" thickBot="1">
      <c r="A785" s="211" t="s">
        <v>515</v>
      </c>
      <c r="B785" s="216" t="str">
        <f ca="1">_xlfn.CONCAT(B752,A785)</f>
        <v>165F5D88-af</v>
      </c>
      <c r="C785" s="10" t="s">
        <v>27</v>
      </c>
      <c r="D785" s="190"/>
      <c r="E785" s="11"/>
      <c r="F785" s="12"/>
      <c r="G785" s="13"/>
    </row>
    <row r="786" spans="1:8" s="47" customFormat="1" ht="23.25" customHeight="1" thickBot="1">
      <c r="A786" s="211" t="s">
        <v>516</v>
      </c>
      <c r="B786" s="216" t="str">
        <f ca="1">_xlfn.CONCAT(B752,A786)</f>
        <v>165F5D88-ag</v>
      </c>
      <c r="C786" s="14" t="s">
        <v>1</v>
      </c>
      <c r="D786" s="15" t="s">
        <v>28</v>
      </c>
      <c r="E786" s="15" t="s">
        <v>20</v>
      </c>
      <c r="F786" s="16" t="s">
        <v>21</v>
      </c>
      <c r="G786" s="15" t="s">
        <v>5</v>
      </c>
      <c r="H786" s="215"/>
    </row>
    <row r="787" spans="1:8">
      <c r="A787" s="211" t="s">
        <v>517</v>
      </c>
      <c r="B787" s="216" t="str">
        <f ca="1">_xlfn.CONCAT(B752,A787)</f>
        <v>165F5D88-ah</v>
      </c>
      <c r="C787" s="30" t="s">
        <v>29</v>
      </c>
      <c r="D787" s="186">
        <f>'H-MO'!$N$77</f>
        <v>725918.52892505517</v>
      </c>
      <c r="E787" s="31">
        <f>+D787/8</f>
        <v>90739.816115631897</v>
      </c>
      <c r="F787" s="32">
        <v>0.16800000000000001</v>
      </c>
      <c r="G787" s="33">
        <f>+E787*F787</f>
        <v>15244.289107426159</v>
      </c>
    </row>
    <row r="788" spans="1:8">
      <c r="A788" s="211" t="s">
        <v>518</v>
      </c>
      <c r="B788" s="216" t="str">
        <f ca="1">_xlfn.CONCAT(B752,A788)</f>
        <v>165F5D88-ai</v>
      </c>
      <c r="C788" s="34" t="s">
        <v>30</v>
      </c>
      <c r="D788" s="187">
        <f>'H-MO'!$N$86</f>
        <v>685561.39085756091</v>
      </c>
      <c r="E788" s="29">
        <f>+D788/8</f>
        <v>85695.173857195114</v>
      </c>
      <c r="F788" s="28">
        <v>0</v>
      </c>
      <c r="G788" s="33">
        <f>+E788*F788</f>
        <v>0</v>
      </c>
    </row>
    <row r="789" spans="1:8" ht="14.25" thickBot="1">
      <c r="A789" s="211" t="s">
        <v>519</v>
      </c>
      <c r="B789" s="216" t="str">
        <f ca="1">_xlfn.CONCAT(B752,A789)</f>
        <v>165F5D88-aj</v>
      </c>
      <c r="C789" s="34"/>
      <c r="D789" s="187"/>
      <c r="E789" s="29"/>
      <c r="F789" s="28"/>
      <c r="G789" s="33">
        <f>+E789*F789</f>
        <v>0</v>
      </c>
    </row>
    <row r="790" spans="1:8" ht="17.25" customHeight="1" thickBot="1">
      <c r="A790" s="211" t="s">
        <v>520</v>
      </c>
      <c r="B790" s="216" t="str">
        <f ca="1">_xlfn.CONCAT(B752,A790)</f>
        <v>165F5D88-ak</v>
      </c>
      <c r="C790" s="34"/>
      <c r="D790" s="185"/>
      <c r="E790" s="26"/>
      <c r="F790" s="36" t="s">
        <v>31</v>
      </c>
      <c r="G790" s="23">
        <f>SUM(G787:G789)</f>
        <v>15244.289107426159</v>
      </c>
    </row>
    <row r="791" spans="1:8" ht="14.25" thickBot="1">
      <c r="A791" s="211" t="s">
        <v>521</v>
      </c>
      <c r="B791" s="216" t="str">
        <f ca="1">_xlfn.CONCAT(B752,A791)</f>
        <v>165F5D88-al</v>
      </c>
      <c r="C791" s="37"/>
      <c r="E791" s="38"/>
      <c r="F791" s="22"/>
      <c r="G791" s="39"/>
    </row>
    <row r="792" spans="1:8" ht="23.25" customHeight="1" thickBot="1">
      <c r="A792" s="211" t="s">
        <v>522</v>
      </c>
      <c r="B792" s="216" t="str">
        <f ca="1">_xlfn.CONCAT(B752,A792)</f>
        <v>165F5D88-am</v>
      </c>
      <c r="C792" s="40"/>
      <c r="D792" s="193"/>
      <c r="E792" s="41"/>
      <c r="F792" s="42"/>
      <c r="G792" s="43">
        <f>+G775+G784+G790</f>
        <v>51562.820357426157</v>
      </c>
    </row>
    <row r="793" spans="1:8" ht="21.75" thickBot="1">
      <c r="B793" s="212" t="s">
        <v>550</v>
      </c>
      <c r="C793" s="2"/>
      <c r="D793" s="183"/>
      <c r="F793" s="4"/>
      <c r="G793" s="5"/>
    </row>
    <row r="794" spans="1:8" s="45" customFormat="1" ht="34.5" customHeight="1">
      <c r="A794" s="213"/>
      <c r="B794" s="214">
        <v>19</v>
      </c>
      <c r="C794" s="242" t="str">
        <f ca="1">_xlfn.XLOOKUP(B794,Cantidades!$A$10:$A$314,Cantidades!$C$10:$C$314,,0,1)</f>
        <v>Suministro e instalación de alimentador 3#10(F)+1#12(N)+1#12(T) de cobre</v>
      </c>
      <c r="D794" s="243"/>
      <c r="E794" s="243"/>
      <c r="F794" s="243"/>
      <c r="G794" s="244"/>
      <c r="H794" s="213"/>
    </row>
    <row r="795" spans="1:8" s="47" customFormat="1" ht="24.95" customHeight="1" thickBot="1">
      <c r="A795" s="215"/>
      <c r="B795" s="216" t="s">
        <v>550</v>
      </c>
      <c r="C795" s="177"/>
      <c r="D795" s="189"/>
      <c r="E795" s="178"/>
      <c r="F795" s="179" t="s">
        <v>636</v>
      </c>
      <c r="G795" s="209" t="str">
        <f ca="1">B796</f>
        <v>30D57FC1-</v>
      </c>
      <c r="H795" s="215"/>
    </row>
    <row r="796" spans="1:8" ht="28.5" customHeight="1" thickBot="1">
      <c r="B796" s="212" t="str">
        <f ca="1">_xlfn.XLOOKUP(C794,Cantidades!$C$1:$C$314,Cantidades!$B$1:$B$314,"",0,1)</f>
        <v>30D57FC1-</v>
      </c>
      <c r="C796" s="10" t="s">
        <v>0</v>
      </c>
      <c r="D796" s="190"/>
      <c r="E796" s="11"/>
      <c r="F796" s="12"/>
      <c r="G796" s="13"/>
    </row>
    <row r="797" spans="1:8" s="47" customFormat="1" ht="23.25" customHeight="1" thickBot="1">
      <c r="A797" s="215"/>
      <c r="B797" s="216" t="s">
        <v>550</v>
      </c>
      <c r="C797" s="14" t="s">
        <v>1</v>
      </c>
      <c r="D797" s="15" t="s">
        <v>2</v>
      </c>
      <c r="E797" s="15" t="s">
        <v>3</v>
      </c>
      <c r="F797" s="16" t="s">
        <v>4</v>
      </c>
      <c r="G797" s="15" t="s">
        <v>5</v>
      </c>
      <c r="H797" s="215"/>
    </row>
    <row r="798" spans="1:8" ht="15">
      <c r="A798" s="211" t="s">
        <v>484</v>
      </c>
      <c r="B798" s="216" t="str">
        <f ca="1">_xlfn.CONCAT(B796,A798)</f>
        <v>30D57FC1-A</v>
      </c>
      <c r="C798" s="17" t="str">
        <f>_xlfn.XLOOKUP(H798,'Materiales unitario'!$A$1:$A$2500,'Materiales unitario'!B$1:B$2500,,0,1)</f>
        <v>Cable de cobre aislado #12 AWG-THHN/THWN Color negro</v>
      </c>
      <c r="D798" s="184" t="str">
        <f>_xlfn.XLOOKUP(H798,'Materiales unitario'!A$1:A$2500,'Materiales unitario'!C$1:C$2500,,0,1)</f>
        <v>ml</v>
      </c>
      <c r="E798" s="197">
        <f>_xlfn.XLOOKUP(H798,'Materiales unitario'!$A$1:$A$2500,'Materiales unitario'!D$1:D$2500,,0,1)</f>
        <v>3020</v>
      </c>
      <c r="F798" s="19">
        <v>2.1</v>
      </c>
      <c r="G798" s="20">
        <f>+E798*F798</f>
        <v>6342</v>
      </c>
      <c r="H798" s="217" t="s">
        <v>267</v>
      </c>
    </row>
    <row r="799" spans="1:8" ht="15">
      <c r="A799" s="211" t="s">
        <v>485</v>
      </c>
      <c r="B799" s="216" t="str">
        <f ca="1">_xlfn.CONCAT(B796,A799)</f>
        <v>30D57FC1-B</v>
      </c>
      <c r="C799" s="17" t="str">
        <f>_xlfn.XLOOKUP(H799,'Materiales unitario'!$A$1:$A$2500,'Materiales unitario'!B$1:B$2500,,0,1)</f>
        <v>Cable de cobre aislado #10 AWG-THHN/THWN Color negro</v>
      </c>
      <c r="D799" s="184" t="str">
        <f>_xlfn.XLOOKUP(H799,'Materiales unitario'!A$1:A$2500,'Materiales unitario'!C$1:C$2500,,0,1)</f>
        <v>ml</v>
      </c>
      <c r="E799" s="197">
        <f>_xlfn.XLOOKUP(H799,'Materiales unitario'!$A$1:$A$2500,'Materiales unitario'!D$1:D$2500,,0,1)</f>
        <v>5215</v>
      </c>
      <c r="F799" s="19">
        <v>3.2</v>
      </c>
      <c r="G799" s="20">
        <f>+E799*F799</f>
        <v>16688</v>
      </c>
      <c r="H799" s="217" t="s">
        <v>265</v>
      </c>
    </row>
    <row r="800" spans="1:8" ht="15">
      <c r="A800" s="211" t="s">
        <v>486</v>
      </c>
      <c r="B800" s="216" t="str">
        <f ca="1">_xlfn.CONCAT(B796,A800)</f>
        <v>30D57FC1-C</v>
      </c>
      <c r="C800" s="17" t="str">
        <f>_xlfn.XLOOKUP(H800,'Materiales unitario'!$A$1:$A$2500,'Materiales unitario'!B$1:B$2500,,0,1)</f>
        <v>Termoencogible</v>
      </c>
      <c r="D800" s="184" t="str">
        <f>_xlfn.XLOOKUP(H800,'Materiales unitario'!A$1:A$2500,'Materiales unitario'!C$1:C$2500,,0,1)</f>
        <v>un</v>
      </c>
      <c r="E800" s="197">
        <f>_xlfn.XLOOKUP(H800,'Materiales unitario'!$A$1:$A$2500,'Materiales unitario'!D$1:D$2500,,0,1)</f>
        <v>5000</v>
      </c>
      <c r="F800" s="19">
        <v>0.1</v>
      </c>
      <c r="G800" s="20">
        <f>+E800*F800</f>
        <v>500</v>
      </c>
      <c r="H800" s="217" t="s">
        <v>373</v>
      </c>
    </row>
    <row r="801" spans="1:8" ht="15">
      <c r="A801" s="211" t="s">
        <v>487</v>
      </c>
      <c r="B801" s="216" t="str">
        <f ca="1">_xlfn.CONCAT(B796,A801)</f>
        <v>30D57FC1-D</v>
      </c>
      <c r="C801" s="17"/>
      <c r="D801" s="184"/>
      <c r="E801" s="197"/>
      <c r="F801" s="19"/>
      <c r="G801" s="20"/>
      <c r="H801" s="217"/>
    </row>
    <row r="802" spans="1:8" ht="15">
      <c r="A802" s="211" t="s">
        <v>488</v>
      </c>
      <c r="B802" s="216" t="str">
        <f ca="1">_xlfn.CONCAT(B796,A802)</f>
        <v>30D57FC1-E</v>
      </c>
      <c r="C802" s="17"/>
      <c r="D802" s="184"/>
      <c r="E802" s="197"/>
      <c r="F802" s="19"/>
      <c r="G802" s="20"/>
      <c r="H802" s="217"/>
    </row>
    <row r="803" spans="1:8">
      <c r="A803" s="211" t="s">
        <v>489</v>
      </c>
      <c r="B803" s="216" t="str">
        <f ca="1">_xlfn.CONCAT(B796,A803)</f>
        <v>30D57FC1-F</v>
      </c>
      <c r="C803" s="17"/>
      <c r="D803" s="184"/>
      <c r="E803" s="197"/>
      <c r="F803" s="19"/>
      <c r="G803" s="20"/>
    </row>
    <row r="804" spans="1:8">
      <c r="A804" s="211" t="s">
        <v>490</v>
      </c>
      <c r="B804" s="216" t="str">
        <f ca="1">_xlfn.CONCAT(B796,A804)</f>
        <v>30D57FC1-G</v>
      </c>
      <c r="C804" s="17"/>
      <c r="D804" s="184"/>
      <c r="E804" s="197"/>
      <c r="F804" s="19"/>
      <c r="G804" s="20"/>
    </row>
    <row r="805" spans="1:8">
      <c r="A805" s="211" t="s">
        <v>491</v>
      </c>
      <c r="B805" s="216" t="str">
        <f ca="1">_xlfn.CONCAT(B796,A805)</f>
        <v>30D57FC1-H</v>
      </c>
      <c r="C805" s="17"/>
      <c r="D805" s="184"/>
      <c r="E805" s="197"/>
      <c r="F805" s="19"/>
      <c r="G805" s="20"/>
    </row>
    <row r="806" spans="1:8">
      <c r="A806" s="211" t="s">
        <v>492</v>
      </c>
      <c r="B806" s="216" t="str">
        <f ca="1">_xlfn.CONCAT(B796,A806)</f>
        <v>30D57FC1-I</v>
      </c>
      <c r="C806" s="17"/>
      <c r="D806" s="184"/>
      <c r="E806" s="197"/>
      <c r="F806" s="19"/>
      <c r="G806" s="20"/>
    </row>
    <row r="807" spans="1:8">
      <c r="A807" s="211" t="s">
        <v>493</v>
      </c>
      <c r="B807" s="216" t="str">
        <f ca="1">_xlfn.CONCAT(B796,A807)</f>
        <v>30D57FC1-J</v>
      </c>
      <c r="C807" s="17"/>
      <c r="D807" s="184"/>
      <c r="E807" s="197"/>
      <c r="F807" s="19"/>
      <c r="G807" s="20"/>
    </row>
    <row r="808" spans="1:8">
      <c r="A808" s="211" t="s">
        <v>494</v>
      </c>
      <c r="B808" s="216" t="str">
        <f ca="1">_xlfn.CONCAT(B796,A808)</f>
        <v>30D57FC1-K</v>
      </c>
      <c r="C808" s="17"/>
      <c r="D808" s="184"/>
      <c r="E808" s="197"/>
      <c r="F808" s="19"/>
      <c r="G808" s="20"/>
    </row>
    <row r="809" spans="1:8">
      <c r="A809" s="211" t="s">
        <v>495</v>
      </c>
      <c r="B809" s="216" t="str">
        <f ca="1">_xlfn.CONCAT(B796,A809)</f>
        <v>30D57FC1-L</v>
      </c>
      <c r="C809" s="17"/>
      <c r="D809" s="184"/>
      <c r="E809" s="197"/>
      <c r="F809" s="19"/>
      <c r="G809" s="20"/>
    </row>
    <row r="810" spans="1:8">
      <c r="A810" s="211" t="s">
        <v>496</v>
      </c>
      <c r="B810" s="216" t="str">
        <f ca="1">_xlfn.CONCAT(B796,A810)</f>
        <v>30D57FC1-M</v>
      </c>
      <c r="C810" s="17"/>
      <c r="D810" s="184"/>
      <c r="E810" s="197"/>
      <c r="F810" s="19"/>
      <c r="G810" s="20"/>
    </row>
    <row r="811" spans="1:8">
      <c r="A811" s="211" t="s">
        <v>497</v>
      </c>
      <c r="B811" s="216" t="str">
        <f ca="1">_xlfn.CONCAT(B796,A811)</f>
        <v>30D57FC1-N</v>
      </c>
      <c r="C811" s="17"/>
      <c r="D811" s="184"/>
      <c r="E811" s="197"/>
      <c r="F811" s="19"/>
      <c r="G811" s="20"/>
    </row>
    <row r="812" spans="1:8">
      <c r="A812" s="211" t="s">
        <v>498</v>
      </c>
      <c r="B812" s="216" t="str">
        <f ca="1">_xlfn.CONCAT(B796,A812)</f>
        <v>30D57FC1-O</v>
      </c>
      <c r="C812" s="17"/>
      <c r="D812" s="184"/>
      <c r="E812" s="197"/>
      <c r="F812" s="19"/>
      <c r="G812" s="20"/>
    </row>
    <row r="813" spans="1:8">
      <c r="A813" s="211" t="s">
        <v>499</v>
      </c>
      <c r="B813" s="216" t="str">
        <f ca="1">_xlfn.CONCAT(B796,A813)</f>
        <v>30D57FC1-P</v>
      </c>
      <c r="C813" s="17"/>
      <c r="D813" s="184"/>
      <c r="E813" s="197"/>
      <c r="F813" s="19"/>
      <c r="G813" s="20"/>
    </row>
    <row r="814" spans="1:8">
      <c r="A814" s="211" t="s">
        <v>500</v>
      </c>
      <c r="B814" s="216" t="str">
        <f ca="1">_xlfn.CONCAT(B796,A814)</f>
        <v>30D57FC1-Q</v>
      </c>
      <c r="C814" s="17"/>
      <c r="D814" s="184"/>
      <c r="E814" s="197"/>
      <c r="F814" s="19"/>
      <c r="G814" s="20"/>
    </row>
    <row r="815" spans="1:8">
      <c r="A815" s="211" t="s">
        <v>501</v>
      </c>
      <c r="B815" s="216" t="str">
        <f ca="1">_xlfn.CONCAT(B796,A815)</f>
        <v>30D57FC1-R</v>
      </c>
      <c r="C815" s="17"/>
      <c r="D815" s="184"/>
      <c r="E815" s="197"/>
      <c r="F815" s="19"/>
      <c r="G815" s="20"/>
    </row>
    <row r="816" spans="1:8">
      <c r="A816" s="211" t="s">
        <v>502</v>
      </c>
      <c r="B816" s="216" t="str">
        <f ca="1">_xlfn.CONCAT(B796,A816)</f>
        <v>30D57FC1-S</v>
      </c>
      <c r="C816" s="17"/>
      <c r="D816" s="184"/>
      <c r="E816" s="197"/>
      <c r="F816" s="19"/>
      <c r="G816" s="20"/>
    </row>
    <row r="817" spans="1:8">
      <c r="A817" s="211" t="s">
        <v>503</v>
      </c>
      <c r="B817" s="216" t="str">
        <f ca="1">_xlfn.CONCAT(B796,A817)</f>
        <v>30D57FC1-T</v>
      </c>
      <c r="C817" s="17"/>
      <c r="D817" s="184"/>
      <c r="E817" s="197"/>
      <c r="F817" s="19"/>
      <c r="G817" s="20"/>
    </row>
    <row r="818" spans="1:8" ht="14.25" thickBot="1">
      <c r="A818" s="211" t="s">
        <v>504</v>
      </c>
      <c r="B818" s="216" t="str">
        <f ca="1">_xlfn.CONCAT(B796,A818)</f>
        <v>30D57FC1-U</v>
      </c>
      <c r="C818" s="17"/>
      <c r="D818" s="184"/>
      <c r="E818" s="197"/>
      <c r="F818" s="19"/>
      <c r="G818" s="20"/>
    </row>
    <row r="819" spans="1:8" ht="16.5" customHeight="1" thickBot="1">
      <c r="A819" s="211" t="s">
        <v>505</v>
      </c>
      <c r="B819" s="216" t="str">
        <f ca="1">_xlfn.CONCAT(B796,A819)</f>
        <v>30D57FC1-V</v>
      </c>
      <c r="C819" s="17" t="s">
        <v>17</v>
      </c>
      <c r="D819" s="192" t="s">
        <v>17</v>
      </c>
      <c r="E819" s="18"/>
      <c r="F819" s="22" t="s">
        <v>18</v>
      </c>
      <c r="G819" s="23">
        <f>SUM(G798:G818)</f>
        <v>23530</v>
      </c>
    </row>
    <row r="820" spans="1:8" ht="28.5" customHeight="1" thickBot="1">
      <c r="A820" s="211" t="s">
        <v>506</v>
      </c>
      <c r="B820" s="216" t="str">
        <f ca="1">_xlfn.CONCAT(B796,A820)</f>
        <v>30D57FC1-W</v>
      </c>
      <c r="C820" s="10" t="s">
        <v>19</v>
      </c>
      <c r="D820" s="190"/>
      <c r="E820" s="11"/>
      <c r="F820" s="12"/>
      <c r="G820" s="13"/>
    </row>
    <row r="821" spans="1:8" s="47" customFormat="1" ht="23.25" customHeight="1" thickBot="1">
      <c r="A821" s="211" t="s">
        <v>507</v>
      </c>
      <c r="B821" s="216" t="str">
        <f ca="1">_xlfn.CONCAT(B796,A821)</f>
        <v>30D57FC1-X</v>
      </c>
      <c r="C821" s="14" t="s">
        <v>1</v>
      </c>
      <c r="D821" s="15"/>
      <c r="E821" s="15" t="s">
        <v>20</v>
      </c>
      <c r="F821" s="16" t="s">
        <v>21</v>
      </c>
      <c r="G821" s="15" t="s">
        <v>5</v>
      </c>
      <c r="H821" s="215"/>
    </row>
    <row r="822" spans="1:8">
      <c r="A822" s="211" t="s">
        <v>508</v>
      </c>
      <c r="B822" s="216" t="str">
        <f ca="1">_xlfn.CONCAT(B796,A822)</f>
        <v>30D57FC1-Y</v>
      </c>
      <c r="C822" s="24" t="s">
        <v>22</v>
      </c>
      <c r="D822" s="184"/>
      <c r="E822" s="25">
        <f>_xlfn.XLOOKUP(C822,'H-MO'!B$7:B$30,'H-MO'!D$7:D$30,,0,1)</f>
        <v>2436.5624999999995</v>
      </c>
      <c r="F822" s="19">
        <v>5.5E-2</v>
      </c>
      <c r="G822" s="33">
        <f t="shared" ref="G822:G827" si="17">+E822*F822</f>
        <v>134.01093749999998</v>
      </c>
    </row>
    <row r="823" spans="1:8">
      <c r="A823" s="211" t="s">
        <v>509</v>
      </c>
      <c r="B823" s="216" t="str">
        <f ca="1">_xlfn.CONCAT(B796,A823)</f>
        <v>30D57FC1-Z</v>
      </c>
      <c r="C823" s="24" t="s">
        <v>23</v>
      </c>
      <c r="D823" s="184"/>
      <c r="E823" s="25">
        <f>_xlfn.XLOOKUP(C823,'H-MO'!B$7:B$30,'H-MO'!D$7:D$30,,0,1)</f>
        <v>1461.9374999999998</v>
      </c>
      <c r="F823" s="19">
        <v>0.04</v>
      </c>
      <c r="G823" s="33">
        <f t="shared" si="17"/>
        <v>58.477499999999992</v>
      </c>
    </row>
    <row r="824" spans="1:8">
      <c r="A824" s="211" t="s">
        <v>510</v>
      </c>
      <c r="B824" s="216" t="str">
        <f ca="1">_xlfn.CONCAT(B796,A824)</f>
        <v>30D57FC1-aa</v>
      </c>
      <c r="C824" s="24" t="s">
        <v>24</v>
      </c>
      <c r="D824" s="185"/>
      <c r="E824" s="25">
        <f>_xlfn.XLOOKUP(C824,'H-MO'!B$7:B$30,'H-MO'!D$7:D$30,,0,1)</f>
        <v>29238.749999999996</v>
      </c>
      <c r="F824" s="28">
        <v>0.01</v>
      </c>
      <c r="G824" s="33">
        <f t="shared" si="17"/>
        <v>292.38749999999999</v>
      </c>
    </row>
    <row r="825" spans="1:8">
      <c r="A825" s="211" t="s">
        <v>511</v>
      </c>
      <c r="B825" s="216" t="str">
        <f ca="1">_xlfn.CONCAT(B796,A825)</f>
        <v>30D57FC1-ab</v>
      </c>
      <c r="C825" s="24" t="s">
        <v>25</v>
      </c>
      <c r="D825" s="185"/>
      <c r="E825" s="25">
        <f>_xlfn.XLOOKUP(C825,'H-MO'!B$7:B$30,'H-MO'!D$7:D$30,,0,1)</f>
        <v>2761.4374999999995</v>
      </c>
      <c r="F825" s="28">
        <v>0.05</v>
      </c>
      <c r="G825" s="33">
        <f t="shared" si="17"/>
        <v>138.07187499999998</v>
      </c>
    </row>
    <row r="826" spans="1:8">
      <c r="A826" s="211" t="s">
        <v>512</v>
      </c>
      <c r="B826" s="216" t="str">
        <f ca="1">_xlfn.CONCAT(B796,A826)</f>
        <v>30D57FC1-ac</v>
      </c>
      <c r="C826" s="24"/>
      <c r="D826" s="185"/>
      <c r="E826" s="29"/>
      <c r="F826" s="28"/>
      <c r="G826" s="33">
        <f t="shared" si="17"/>
        <v>0</v>
      </c>
    </row>
    <row r="827" spans="1:8" ht="14.25" thickBot="1">
      <c r="A827" s="211" t="s">
        <v>513</v>
      </c>
      <c r="B827" s="216" t="str">
        <f ca="1">_xlfn.CONCAT(B796,A827)</f>
        <v>30D57FC1-ad</v>
      </c>
      <c r="C827" s="24"/>
      <c r="D827" s="185"/>
      <c r="E827" s="29"/>
      <c r="F827" s="28"/>
      <c r="G827" s="33">
        <f t="shared" si="17"/>
        <v>0</v>
      </c>
    </row>
    <row r="828" spans="1:8" ht="16.5" customHeight="1" thickBot="1">
      <c r="A828" s="211" t="s">
        <v>514</v>
      </c>
      <c r="B828" s="216" t="str">
        <f ca="1">_xlfn.CONCAT(B796,A828)</f>
        <v>30D57FC1-ae</v>
      </c>
      <c r="C828" s="17"/>
      <c r="D828" s="192"/>
      <c r="E828" s="18"/>
      <c r="F828" s="22" t="s">
        <v>26</v>
      </c>
      <c r="G828" s="23">
        <f>SUM(G822:G827)</f>
        <v>622.94781249999994</v>
      </c>
    </row>
    <row r="829" spans="1:8" ht="28.5" customHeight="1" thickBot="1">
      <c r="A829" s="211" t="s">
        <v>515</v>
      </c>
      <c r="B829" s="216" t="str">
        <f ca="1">_xlfn.CONCAT(B796,A829)</f>
        <v>30D57FC1-af</v>
      </c>
      <c r="C829" s="10" t="s">
        <v>27</v>
      </c>
      <c r="D829" s="190"/>
      <c r="E829" s="11"/>
      <c r="F829" s="12"/>
      <c r="G829" s="13"/>
    </row>
    <row r="830" spans="1:8" s="47" customFormat="1" ht="23.25" customHeight="1" thickBot="1">
      <c r="A830" s="211" t="s">
        <v>516</v>
      </c>
      <c r="B830" s="216" t="str">
        <f ca="1">_xlfn.CONCAT(B796,A830)</f>
        <v>30D57FC1-ag</v>
      </c>
      <c r="C830" s="14" t="s">
        <v>1</v>
      </c>
      <c r="D830" s="15" t="s">
        <v>28</v>
      </c>
      <c r="E830" s="15" t="s">
        <v>20</v>
      </c>
      <c r="F830" s="16" t="s">
        <v>21</v>
      </c>
      <c r="G830" s="15" t="s">
        <v>5</v>
      </c>
      <c r="H830" s="215"/>
    </row>
    <row r="831" spans="1:8">
      <c r="A831" s="211" t="s">
        <v>517</v>
      </c>
      <c r="B831" s="216" t="str">
        <f ca="1">_xlfn.CONCAT(B796,A831)</f>
        <v>30D57FC1-ah</v>
      </c>
      <c r="C831" s="30" t="s">
        <v>29</v>
      </c>
      <c r="D831" s="186">
        <f>'H-MO'!$N$77</f>
        <v>725918.52892505517</v>
      </c>
      <c r="E831" s="31">
        <f>+D831/8</f>
        <v>90739.816115631897</v>
      </c>
      <c r="F831" s="32">
        <v>0.11</v>
      </c>
      <c r="G831" s="33">
        <f>+E831*F831</f>
        <v>9981.3797727195088</v>
      </c>
    </row>
    <row r="832" spans="1:8">
      <c r="A832" s="211" t="s">
        <v>518</v>
      </c>
      <c r="B832" s="216" t="str">
        <f ca="1">_xlfn.CONCAT(B796,A832)</f>
        <v>30D57FC1-ai</v>
      </c>
      <c r="C832" s="34" t="s">
        <v>30</v>
      </c>
      <c r="D832" s="187">
        <f>'H-MO'!$N$86</f>
        <v>685561.39085756091</v>
      </c>
      <c r="E832" s="29">
        <f>+D832/8</f>
        <v>85695.173857195114</v>
      </c>
      <c r="F832" s="28">
        <v>0</v>
      </c>
      <c r="G832" s="33">
        <f>+E832*F832</f>
        <v>0</v>
      </c>
    </row>
    <row r="833" spans="1:8" ht="14.25" thickBot="1">
      <c r="A833" s="211" t="s">
        <v>519</v>
      </c>
      <c r="B833" s="216" t="str">
        <f ca="1">_xlfn.CONCAT(B796,A833)</f>
        <v>30D57FC1-aj</v>
      </c>
      <c r="C833" s="34"/>
      <c r="D833" s="187"/>
      <c r="E833" s="29"/>
      <c r="F833" s="28"/>
      <c r="G833" s="33">
        <f>+E833*F833</f>
        <v>0</v>
      </c>
    </row>
    <row r="834" spans="1:8" ht="17.25" customHeight="1" thickBot="1">
      <c r="A834" s="211" t="s">
        <v>520</v>
      </c>
      <c r="B834" s="216" t="str">
        <f ca="1">_xlfn.CONCAT(B796,A834)</f>
        <v>30D57FC1-ak</v>
      </c>
      <c r="C834" s="34"/>
      <c r="D834" s="185"/>
      <c r="E834" s="26"/>
      <c r="F834" s="36" t="s">
        <v>31</v>
      </c>
      <c r="G834" s="23">
        <f>SUM(G831:G833)</f>
        <v>9981.3797727195088</v>
      </c>
    </row>
    <row r="835" spans="1:8" ht="14.25" thickBot="1">
      <c r="A835" s="211" t="s">
        <v>521</v>
      </c>
      <c r="B835" s="216" t="str">
        <f ca="1">_xlfn.CONCAT(B796,A835)</f>
        <v>30D57FC1-al</v>
      </c>
      <c r="C835" s="37"/>
      <c r="E835" s="38"/>
      <c r="F835" s="22"/>
      <c r="G835" s="39"/>
    </row>
    <row r="836" spans="1:8" ht="23.25" customHeight="1" thickBot="1">
      <c r="A836" s="211" t="s">
        <v>522</v>
      </c>
      <c r="B836" s="216" t="str">
        <f ca="1">_xlfn.CONCAT(B796,A836)</f>
        <v>30D57FC1-am</v>
      </c>
      <c r="C836" s="40"/>
      <c r="D836" s="193"/>
      <c r="E836" s="41"/>
      <c r="F836" s="42"/>
      <c r="G836" s="43">
        <f>+G819+G828+G834</f>
        <v>34134.327585219507</v>
      </c>
    </row>
    <row r="837" spans="1:8" ht="21.75" thickBot="1">
      <c r="B837" s="212" t="s">
        <v>550</v>
      </c>
      <c r="C837" s="2"/>
      <c r="D837" s="183"/>
      <c r="F837" s="4"/>
      <c r="G837" s="5"/>
    </row>
    <row r="838" spans="1:8" s="45" customFormat="1" ht="34.5" customHeight="1">
      <c r="A838" s="213"/>
      <c r="B838" s="214">
        <v>20</v>
      </c>
      <c r="C838" s="242" t="str">
        <f ca="1">_xlfn.XLOOKUP(B838,Cantidades!$A$10:$A$314,Cantidades!$C$10:$C$314,,0,1)</f>
        <v>Suministro e instalación de alimentador 1#12(F)+1#12(N)+1#12(T) de cobre</v>
      </c>
      <c r="D838" s="243"/>
      <c r="E838" s="243"/>
      <c r="F838" s="243"/>
      <c r="G838" s="244"/>
      <c r="H838" s="213"/>
    </row>
    <row r="839" spans="1:8" s="47" customFormat="1" ht="24.95" customHeight="1" thickBot="1">
      <c r="A839" s="215"/>
      <c r="B839" s="216" t="s">
        <v>550</v>
      </c>
      <c r="C839" s="177"/>
      <c r="D839" s="189"/>
      <c r="E839" s="178"/>
      <c r="F839" s="179" t="s">
        <v>636</v>
      </c>
      <c r="G839" s="209" t="str">
        <f ca="1">B840</f>
        <v>2A75A7A-</v>
      </c>
      <c r="H839" s="215"/>
    </row>
    <row r="840" spans="1:8" ht="28.5" customHeight="1" thickBot="1">
      <c r="B840" s="212" t="str">
        <f ca="1">_xlfn.XLOOKUP(C838,Cantidades!$C$1:$C$314,Cantidades!$B$1:$B$314,"",0,1)</f>
        <v>2A75A7A-</v>
      </c>
      <c r="C840" s="10" t="s">
        <v>0</v>
      </c>
      <c r="D840" s="190"/>
      <c r="E840" s="11"/>
      <c r="F840" s="12"/>
      <c r="G840" s="13"/>
    </row>
    <row r="841" spans="1:8" s="47" customFormat="1" ht="23.25" customHeight="1" thickBot="1">
      <c r="A841" s="215"/>
      <c r="B841" s="216" t="s">
        <v>550</v>
      </c>
      <c r="C841" s="14" t="s">
        <v>1</v>
      </c>
      <c r="D841" s="15" t="s">
        <v>2</v>
      </c>
      <c r="E841" s="15" t="s">
        <v>3</v>
      </c>
      <c r="F841" s="16" t="s">
        <v>4</v>
      </c>
      <c r="G841" s="15" t="s">
        <v>5</v>
      </c>
      <c r="H841" s="215"/>
    </row>
    <row r="842" spans="1:8" ht="15">
      <c r="A842" s="211" t="s">
        <v>484</v>
      </c>
      <c r="B842" s="216" t="str">
        <f ca="1">_xlfn.CONCAT(B840,A842)</f>
        <v>2A75A7A-A</v>
      </c>
      <c r="C842" s="17" t="str">
        <f>_xlfn.XLOOKUP(H842,'Materiales unitario'!$A$1:$A$2500,'Materiales unitario'!B$1:B$2500,,0,1)</f>
        <v>Cable de cobre aislado #12 AWG-THHN/THWN Color negro</v>
      </c>
      <c r="D842" s="184" t="str">
        <f>_xlfn.XLOOKUP(H842,'Materiales unitario'!A$1:A$2500,'Materiales unitario'!C$1:C$2500,,0,1)</f>
        <v>ml</v>
      </c>
      <c r="E842" s="197">
        <f>_xlfn.XLOOKUP(H842,'Materiales unitario'!$A$1:$A$2500,'Materiales unitario'!D$1:D$2500,,0,1)</f>
        <v>3020</v>
      </c>
      <c r="F842" s="19">
        <v>3.2</v>
      </c>
      <c r="G842" s="20">
        <f>+E842*F842</f>
        <v>9664</v>
      </c>
      <c r="H842" s="217" t="s">
        <v>267</v>
      </c>
    </row>
    <row r="843" spans="1:8" ht="15">
      <c r="A843" s="211" t="s">
        <v>485</v>
      </c>
      <c r="B843" s="216" t="str">
        <f ca="1">_xlfn.CONCAT(B840,A843)</f>
        <v>2A75A7A-B</v>
      </c>
      <c r="C843" s="17"/>
      <c r="D843" s="184"/>
      <c r="E843" s="197"/>
      <c r="F843" s="19"/>
      <c r="G843" s="20"/>
      <c r="H843" s="217"/>
    </row>
    <row r="844" spans="1:8" ht="15">
      <c r="A844" s="211" t="s">
        <v>486</v>
      </c>
      <c r="B844" s="216" t="str">
        <f ca="1">_xlfn.CONCAT(B840,A844)</f>
        <v>2A75A7A-C</v>
      </c>
      <c r="C844" s="17"/>
      <c r="D844" s="184"/>
      <c r="E844" s="197"/>
      <c r="F844" s="19"/>
      <c r="G844" s="20"/>
      <c r="H844" s="217"/>
    </row>
    <row r="845" spans="1:8" ht="15">
      <c r="A845" s="211" t="s">
        <v>487</v>
      </c>
      <c r="B845" s="216" t="str">
        <f ca="1">_xlfn.CONCAT(B840,A845)</f>
        <v>2A75A7A-D</v>
      </c>
      <c r="C845" s="17"/>
      <c r="D845" s="184"/>
      <c r="E845" s="197"/>
      <c r="F845" s="19"/>
      <c r="G845" s="20"/>
      <c r="H845" s="217"/>
    </row>
    <row r="846" spans="1:8" ht="15">
      <c r="A846" s="211" t="s">
        <v>488</v>
      </c>
      <c r="B846" s="216" t="str">
        <f ca="1">_xlfn.CONCAT(B840,A846)</f>
        <v>2A75A7A-E</v>
      </c>
      <c r="C846" s="17"/>
      <c r="D846" s="184"/>
      <c r="E846" s="197"/>
      <c r="F846" s="19"/>
      <c r="G846" s="20"/>
      <c r="H846" s="217"/>
    </row>
    <row r="847" spans="1:8">
      <c r="A847" s="211" t="s">
        <v>489</v>
      </c>
      <c r="B847" s="216" t="str">
        <f ca="1">_xlfn.CONCAT(B840,A847)</f>
        <v>2A75A7A-F</v>
      </c>
      <c r="C847" s="17"/>
      <c r="D847" s="184"/>
      <c r="E847" s="197"/>
      <c r="F847" s="19"/>
      <c r="G847" s="20"/>
    </row>
    <row r="848" spans="1:8">
      <c r="A848" s="211" t="s">
        <v>490</v>
      </c>
      <c r="B848" s="216" t="str">
        <f ca="1">_xlfn.CONCAT(B840,A848)</f>
        <v>2A75A7A-G</v>
      </c>
      <c r="C848" s="17"/>
      <c r="D848" s="184"/>
      <c r="E848" s="197"/>
      <c r="F848" s="19"/>
      <c r="G848" s="20"/>
    </row>
    <row r="849" spans="1:7">
      <c r="A849" s="211" t="s">
        <v>491</v>
      </c>
      <c r="B849" s="216" t="str">
        <f ca="1">_xlfn.CONCAT(B840,A849)</f>
        <v>2A75A7A-H</v>
      </c>
      <c r="C849" s="17"/>
      <c r="D849" s="184"/>
      <c r="E849" s="197"/>
      <c r="F849" s="19"/>
      <c r="G849" s="20"/>
    </row>
    <row r="850" spans="1:7">
      <c r="A850" s="211" t="s">
        <v>492</v>
      </c>
      <c r="B850" s="216" t="str">
        <f ca="1">_xlfn.CONCAT(B840,A850)</f>
        <v>2A75A7A-I</v>
      </c>
      <c r="C850" s="17"/>
      <c r="D850" s="184"/>
      <c r="E850" s="197"/>
      <c r="F850" s="19"/>
      <c r="G850" s="20"/>
    </row>
    <row r="851" spans="1:7">
      <c r="A851" s="211" t="s">
        <v>493</v>
      </c>
      <c r="B851" s="216" t="str">
        <f ca="1">_xlfn.CONCAT(B840,A851)</f>
        <v>2A75A7A-J</v>
      </c>
      <c r="C851" s="17"/>
      <c r="D851" s="184"/>
      <c r="E851" s="197"/>
      <c r="F851" s="19"/>
      <c r="G851" s="20"/>
    </row>
    <row r="852" spans="1:7">
      <c r="A852" s="211" t="s">
        <v>494</v>
      </c>
      <c r="B852" s="216" t="str">
        <f ca="1">_xlfn.CONCAT(B840,A852)</f>
        <v>2A75A7A-K</v>
      </c>
      <c r="C852" s="17"/>
      <c r="D852" s="184"/>
      <c r="E852" s="197"/>
      <c r="F852" s="19"/>
      <c r="G852" s="20"/>
    </row>
    <row r="853" spans="1:7">
      <c r="A853" s="211" t="s">
        <v>495</v>
      </c>
      <c r="B853" s="216" t="str">
        <f ca="1">_xlfn.CONCAT(B840,A853)</f>
        <v>2A75A7A-L</v>
      </c>
      <c r="C853" s="17"/>
      <c r="D853" s="184"/>
      <c r="E853" s="197"/>
      <c r="F853" s="19"/>
      <c r="G853" s="20"/>
    </row>
    <row r="854" spans="1:7">
      <c r="A854" s="211" t="s">
        <v>496</v>
      </c>
      <c r="B854" s="216" t="str">
        <f ca="1">_xlfn.CONCAT(B840,A854)</f>
        <v>2A75A7A-M</v>
      </c>
      <c r="C854" s="17"/>
      <c r="D854" s="184"/>
      <c r="E854" s="197"/>
      <c r="F854" s="19"/>
      <c r="G854" s="20"/>
    </row>
    <row r="855" spans="1:7">
      <c r="A855" s="211" t="s">
        <v>497</v>
      </c>
      <c r="B855" s="216" t="str">
        <f ca="1">_xlfn.CONCAT(B840,A855)</f>
        <v>2A75A7A-N</v>
      </c>
      <c r="C855" s="17"/>
      <c r="D855" s="184"/>
      <c r="E855" s="197"/>
      <c r="F855" s="19"/>
      <c r="G855" s="20"/>
    </row>
    <row r="856" spans="1:7">
      <c r="A856" s="211" t="s">
        <v>498</v>
      </c>
      <c r="B856" s="216" t="str">
        <f ca="1">_xlfn.CONCAT(B840,A856)</f>
        <v>2A75A7A-O</v>
      </c>
      <c r="C856" s="17"/>
      <c r="D856" s="184"/>
      <c r="E856" s="197"/>
      <c r="F856" s="19"/>
      <c r="G856" s="20"/>
    </row>
    <row r="857" spans="1:7">
      <c r="A857" s="211" t="s">
        <v>499</v>
      </c>
      <c r="B857" s="216" t="str">
        <f ca="1">_xlfn.CONCAT(B840,A857)</f>
        <v>2A75A7A-P</v>
      </c>
      <c r="C857" s="17"/>
      <c r="D857" s="184"/>
      <c r="E857" s="197"/>
      <c r="F857" s="19"/>
      <c r="G857" s="20"/>
    </row>
    <row r="858" spans="1:7">
      <c r="A858" s="211" t="s">
        <v>500</v>
      </c>
      <c r="B858" s="216" t="str">
        <f ca="1">_xlfn.CONCAT(B840,A858)</f>
        <v>2A75A7A-Q</v>
      </c>
      <c r="C858" s="17"/>
      <c r="D858" s="184"/>
      <c r="E858" s="197"/>
      <c r="F858" s="19"/>
      <c r="G858" s="20"/>
    </row>
    <row r="859" spans="1:7">
      <c r="A859" s="211" t="s">
        <v>501</v>
      </c>
      <c r="B859" s="216" t="str">
        <f ca="1">_xlfn.CONCAT(B840,A859)</f>
        <v>2A75A7A-R</v>
      </c>
      <c r="C859" s="17"/>
      <c r="D859" s="184"/>
      <c r="E859" s="197"/>
      <c r="F859" s="19"/>
      <c r="G859" s="20"/>
    </row>
    <row r="860" spans="1:7">
      <c r="A860" s="211" t="s">
        <v>502</v>
      </c>
      <c r="B860" s="216" t="str">
        <f ca="1">_xlfn.CONCAT(B840,A860)</f>
        <v>2A75A7A-S</v>
      </c>
      <c r="C860" s="17"/>
      <c r="D860" s="184"/>
      <c r="E860" s="197"/>
      <c r="F860" s="19"/>
      <c r="G860" s="20"/>
    </row>
    <row r="861" spans="1:7">
      <c r="A861" s="211" t="s">
        <v>503</v>
      </c>
      <c r="B861" s="216" t="str">
        <f ca="1">_xlfn.CONCAT(B840,A861)</f>
        <v>2A75A7A-T</v>
      </c>
      <c r="C861" s="17"/>
      <c r="D861" s="184"/>
      <c r="E861" s="197"/>
      <c r="F861" s="19"/>
      <c r="G861" s="20"/>
    </row>
    <row r="862" spans="1:7" ht="14.25" thickBot="1">
      <c r="A862" s="211" t="s">
        <v>504</v>
      </c>
      <c r="B862" s="216" t="str">
        <f ca="1">_xlfn.CONCAT(B840,A862)</f>
        <v>2A75A7A-U</v>
      </c>
      <c r="C862" s="17"/>
      <c r="D862" s="184"/>
      <c r="E862" s="197"/>
      <c r="F862" s="19"/>
      <c r="G862" s="20"/>
    </row>
    <row r="863" spans="1:7" ht="16.5" customHeight="1" thickBot="1">
      <c r="A863" s="211" t="s">
        <v>505</v>
      </c>
      <c r="B863" s="216" t="str">
        <f ca="1">_xlfn.CONCAT(B840,A863)</f>
        <v>2A75A7A-V</v>
      </c>
      <c r="C863" s="17" t="s">
        <v>17</v>
      </c>
      <c r="D863" s="192" t="s">
        <v>17</v>
      </c>
      <c r="E863" s="18"/>
      <c r="F863" s="22" t="s">
        <v>18</v>
      </c>
      <c r="G863" s="23">
        <f>SUM(G842:G862)</f>
        <v>9664</v>
      </c>
    </row>
    <row r="864" spans="1:7" ht="28.5" customHeight="1" thickBot="1">
      <c r="A864" s="211" t="s">
        <v>506</v>
      </c>
      <c r="B864" s="216" t="str">
        <f ca="1">_xlfn.CONCAT(B840,A864)</f>
        <v>2A75A7A-W</v>
      </c>
      <c r="C864" s="10" t="s">
        <v>19</v>
      </c>
      <c r="D864" s="190"/>
      <c r="E864" s="11"/>
      <c r="F864" s="12"/>
      <c r="G864" s="13"/>
    </row>
    <row r="865" spans="1:8" s="47" customFormat="1" ht="23.25" customHeight="1" thickBot="1">
      <c r="A865" s="211" t="s">
        <v>507</v>
      </c>
      <c r="B865" s="216" t="str">
        <f ca="1">_xlfn.CONCAT(B840,A865)</f>
        <v>2A75A7A-X</v>
      </c>
      <c r="C865" s="14" t="s">
        <v>1</v>
      </c>
      <c r="D865" s="15"/>
      <c r="E865" s="15" t="s">
        <v>20</v>
      </c>
      <c r="F865" s="16" t="s">
        <v>21</v>
      </c>
      <c r="G865" s="15" t="s">
        <v>5</v>
      </c>
      <c r="H865" s="215"/>
    </row>
    <row r="866" spans="1:8">
      <c r="A866" s="211" t="s">
        <v>508</v>
      </c>
      <c r="B866" s="216" t="str">
        <f ca="1">_xlfn.CONCAT(B840,A866)</f>
        <v>2A75A7A-Y</v>
      </c>
      <c r="C866" s="24" t="s">
        <v>22</v>
      </c>
      <c r="D866" s="184"/>
      <c r="E866" s="25">
        <f>_xlfn.XLOOKUP(C866,'H-MO'!B$7:B$30,'H-MO'!D$7:D$30,,0,1)</f>
        <v>2436.5624999999995</v>
      </c>
      <c r="F866" s="19">
        <v>5.5E-2</v>
      </c>
      <c r="G866" s="33">
        <f t="shared" ref="G866:G871" si="18">+E866*F866</f>
        <v>134.01093749999998</v>
      </c>
    </row>
    <row r="867" spans="1:8">
      <c r="A867" s="211" t="s">
        <v>509</v>
      </c>
      <c r="B867" s="216" t="str">
        <f ca="1">_xlfn.CONCAT(B840,A867)</f>
        <v>2A75A7A-Z</v>
      </c>
      <c r="C867" s="24" t="s">
        <v>23</v>
      </c>
      <c r="D867" s="184"/>
      <c r="E867" s="25">
        <f>_xlfn.XLOOKUP(C867,'H-MO'!B$7:B$30,'H-MO'!D$7:D$30,,0,1)</f>
        <v>1461.9374999999998</v>
      </c>
      <c r="F867" s="19">
        <v>0.04</v>
      </c>
      <c r="G867" s="33">
        <f t="shared" si="18"/>
        <v>58.477499999999992</v>
      </c>
    </row>
    <row r="868" spans="1:8">
      <c r="A868" s="211" t="s">
        <v>510</v>
      </c>
      <c r="B868" s="216" t="str">
        <f ca="1">_xlfn.CONCAT(B840,A868)</f>
        <v>2A75A7A-aa</v>
      </c>
      <c r="C868" s="24" t="s">
        <v>24</v>
      </c>
      <c r="D868" s="185"/>
      <c r="E868" s="25">
        <f>_xlfn.XLOOKUP(C868,'H-MO'!B$7:B$30,'H-MO'!D$7:D$30,,0,1)</f>
        <v>29238.749999999996</v>
      </c>
      <c r="F868" s="28">
        <v>0.01</v>
      </c>
      <c r="G868" s="33">
        <f t="shared" si="18"/>
        <v>292.38749999999999</v>
      </c>
    </row>
    <row r="869" spans="1:8">
      <c r="A869" s="211" t="s">
        <v>511</v>
      </c>
      <c r="B869" s="216" t="str">
        <f ca="1">_xlfn.CONCAT(B840,A869)</f>
        <v>2A75A7A-ab</v>
      </c>
      <c r="C869" s="24" t="s">
        <v>25</v>
      </c>
      <c r="D869" s="185"/>
      <c r="E869" s="25">
        <f>_xlfn.XLOOKUP(C869,'H-MO'!B$7:B$30,'H-MO'!D$7:D$30,,0,1)</f>
        <v>2761.4374999999995</v>
      </c>
      <c r="F869" s="28">
        <v>0.05</v>
      </c>
      <c r="G869" s="33">
        <f t="shared" si="18"/>
        <v>138.07187499999998</v>
      </c>
    </row>
    <row r="870" spans="1:8">
      <c r="A870" s="211" t="s">
        <v>512</v>
      </c>
      <c r="B870" s="216" t="str">
        <f ca="1">_xlfn.CONCAT(B840,A870)</f>
        <v>2A75A7A-ac</v>
      </c>
      <c r="C870" s="24"/>
      <c r="D870" s="185"/>
      <c r="E870" s="29"/>
      <c r="F870" s="28"/>
      <c r="G870" s="33">
        <f t="shared" si="18"/>
        <v>0</v>
      </c>
    </row>
    <row r="871" spans="1:8" ht="14.25" thickBot="1">
      <c r="A871" s="211" t="s">
        <v>513</v>
      </c>
      <c r="B871" s="216" t="str">
        <f ca="1">_xlfn.CONCAT(B840,A871)</f>
        <v>2A75A7A-ad</v>
      </c>
      <c r="C871" s="24"/>
      <c r="D871" s="185"/>
      <c r="E871" s="29"/>
      <c r="F871" s="28"/>
      <c r="G871" s="33">
        <f t="shared" si="18"/>
        <v>0</v>
      </c>
    </row>
    <row r="872" spans="1:8" ht="16.5" customHeight="1" thickBot="1">
      <c r="A872" s="211" t="s">
        <v>514</v>
      </c>
      <c r="B872" s="216" t="str">
        <f ca="1">_xlfn.CONCAT(B840,A872)</f>
        <v>2A75A7A-ae</v>
      </c>
      <c r="C872" s="17"/>
      <c r="D872" s="192"/>
      <c r="E872" s="18"/>
      <c r="F872" s="22" t="s">
        <v>26</v>
      </c>
      <c r="G872" s="23">
        <f>SUM(G866:G871)</f>
        <v>622.94781249999994</v>
      </c>
    </row>
    <row r="873" spans="1:8" ht="28.5" customHeight="1" thickBot="1">
      <c r="A873" s="211" t="s">
        <v>515</v>
      </c>
      <c r="B873" s="216" t="str">
        <f ca="1">_xlfn.CONCAT(B840,A873)</f>
        <v>2A75A7A-af</v>
      </c>
      <c r="C873" s="10" t="s">
        <v>27</v>
      </c>
      <c r="D873" s="190"/>
      <c r="E873" s="11"/>
      <c r="F873" s="12"/>
      <c r="G873" s="13"/>
    </row>
    <row r="874" spans="1:8" s="47" customFormat="1" ht="23.25" customHeight="1" thickBot="1">
      <c r="A874" s="211" t="s">
        <v>516</v>
      </c>
      <c r="B874" s="216" t="str">
        <f ca="1">_xlfn.CONCAT(B840,A874)</f>
        <v>2A75A7A-ag</v>
      </c>
      <c r="C874" s="14" t="s">
        <v>1</v>
      </c>
      <c r="D874" s="15" t="s">
        <v>28</v>
      </c>
      <c r="E874" s="15" t="s">
        <v>20</v>
      </c>
      <c r="F874" s="16" t="s">
        <v>21</v>
      </c>
      <c r="G874" s="15" t="s">
        <v>5</v>
      </c>
      <c r="H874" s="215"/>
    </row>
    <row r="875" spans="1:8">
      <c r="A875" s="211" t="s">
        <v>517</v>
      </c>
      <c r="B875" s="216" t="str">
        <f ca="1">_xlfn.CONCAT(B840,A875)</f>
        <v>2A75A7A-ah</v>
      </c>
      <c r="C875" s="30" t="s">
        <v>29</v>
      </c>
      <c r="D875" s="186">
        <f>'H-MO'!$N$77</f>
        <v>725918.52892505517</v>
      </c>
      <c r="E875" s="31">
        <f>+D875/8</f>
        <v>90739.816115631897</v>
      </c>
      <c r="F875" s="32">
        <v>4.4999999999999998E-2</v>
      </c>
      <c r="G875" s="33">
        <f>+E875*F875</f>
        <v>4083.2917252034354</v>
      </c>
    </row>
    <row r="876" spans="1:8">
      <c r="A876" s="211" t="s">
        <v>518</v>
      </c>
      <c r="B876" s="216" t="str">
        <f ca="1">_xlfn.CONCAT(B840,A876)</f>
        <v>2A75A7A-ai</v>
      </c>
      <c r="C876" s="34" t="s">
        <v>30</v>
      </c>
      <c r="D876" s="187">
        <f>'H-MO'!$N$86</f>
        <v>685561.39085756091</v>
      </c>
      <c r="E876" s="29">
        <f>+D876/8</f>
        <v>85695.173857195114</v>
      </c>
      <c r="F876" s="28">
        <v>0</v>
      </c>
      <c r="G876" s="33">
        <f>+E876*F876</f>
        <v>0</v>
      </c>
    </row>
    <row r="877" spans="1:8" ht="14.25" thickBot="1">
      <c r="A877" s="211" t="s">
        <v>519</v>
      </c>
      <c r="B877" s="216" t="str">
        <f ca="1">_xlfn.CONCAT(B840,A877)</f>
        <v>2A75A7A-aj</v>
      </c>
      <c r="C877" s="34"/>
      <c r="D877" s="187"/>
      <c r="E877" s="29"/>
      <c r="F877" s="28"/>
      <c r="G877" s="33">
        <f>+E877*F877</f>
        <v>0</v>
      </c>
    </row>
    <row r="878" spans="1:8" ht="17.25" customHeight="1" thickBot="1">
      <c r="A878" s="211" t="s">
        <v>520</v>
      </c>
      <c r="B878" s="216" t="str">
        <f ca="1">_xlfn.CONCAT(B840,A878)</f>
        <v>2A75A7A-ak</v>
      </c>
      <c r="C878" s="34"/>
      <c r="D878" s="185"/>
      <c r="E878" s="26"/>
      <c r="F878" s="36" t="s">
        <v>31</v>
      </c>
      <c r="G878" s="23">
        <f>SUM(G875:G877)</f>
        <v>4083.2917252034354</v>
      </c>
    </row>
    <row r="879" spans="1:8" ht="14.25" thickBot="1">
      <c r="A879" s="211" t="s">
        <v>521</v>
      </c>
      <c r="B879" s="216" t="str">
        <f ca="1">_xlfn.CONCAT(B840,A879)</f>
        <v>2A75A7A-al</v>
      </c>
      <c r="C879" s="37"/>
      <c r="E879" s="38"/>
      <c r="F879" s="22"/>
      <c r="G879" s="39"/>
    </row>
    <row r="880" spans="1:8" ht="23.25" customHeight="1" thickBot="1">
      <c r="A880" s="211" t="s">
        <v>522</v>
      </c>
      <c r="B880" s="216" t="str">
        <f ca="1">_xlfn.CONCAT(B840,A880)</f>
        <v>2A75A7A-am</v>
      </c>
      <c r="C880" s="40"/>
      <c r="D880" s="193"/>
      <c r="E880" s="41"/>
      <c r="F880" s="42"/>
      <c r="G880" s="43">
        <f>+G863+G872+G878</f>
        <v>14370.239537703435</v>
      </c>
    </row>
    <row r="881" spans="1:8" ht="21.75" thickBot="1">
      <c r="B881" s="212" t="s">
        <v>550</v>
      </c>
      <c r="C881" s="2"/>
      <c r="D881" s="183"/>
      <c r="F881" s="4"/>
      <c r="G881" s="5"/>
    </row>
    <row r="882" spans="1:8" s="45" customFormat="1" ht="34.5" customHeight="1">
      <c r="A882" s="213"/>
      <c r="B882" s="214">
        <v>21</v>
      </c>
      <c r="C882" s="242" t="str">
        <f ca="1">_xlfn.XLOOKUP(B882,Cantidades!$A$10:$A$314,Cantidades!$C$10:$C$314,,0,1)</f>
        <v>Suministro e instalación de alimentador 1#10(F)+1#10(N)+1#12(T) de cobre</v>
      </c>
      <c r="D882" s="243"/>
      <c r="E882" s="243"/>
      <c r="F882" s="243"/>
      <c r="G882" s="244"/>
      <c r="H882" s="213"/>
    </row>
    <row r="883" spans="1:8" s="47" customFormat="1" ht="24.95" customHeight="1" thickBot="1">
      <c r="A883" s="215"/>
      <c r="B883" s="216" t="s">
        <v>550</v>
      </c>
      <c r="C883" s="177"/>
      <c r="D883" s="189"/>
      <c r="E883" s="178"/>
      <c r="F883" s="179" t="s">
        <v>636</v>
      </c>
      <c r="G883" s="209" t="str">
        <f ca="1">B884</f>
        <v>2A75A7B-</v>
      </c>
      <c r="H883" s="215"/>
    </row>
    <row r="884" spans="1:8" ht="28.5" customHeight="1" thickBot="1">
      <c r="B884" s="212" t="str">
        <f ca="1">_xlfn.XLOOKUP(C882,Cantidades!$C$1:$C$314,Cantidades!$B$1:$B$314,"",0,1)</f>
        <v>2A75A7B-</v>
      </c>
      <c r="C884" s="10" t="s">
        <v>0</v>
      </c>
      <c r="D884" s="190"/>
      <c r="E884" s="11"/>
      <c r="F884" s="12"/>
      <c r="G884" s="13"/>
    </row>
    <row r="885" spans="1:8" s="47" customFormat="1" ht="23.25" customHeight="1" thickBot="1">
      <c r="A885" s="215"/>
      <c r="B885" s="216" t="s">
        <v>550</v>
      </c>
      <c r="C885" s="14" t="s">
        <v>1</v>
      </c>
      <c r="D885" s="15" t="s">
        <v>2</v>
      </c>
      <c r="E885" s="15" t="s">
        <v>3</v>
      </c>
      <c r="F885" s="16" t="s">
        <v>4</v>
      </c>
      <c r="G885" s="15" t="s">
        <v>5</v>
      </c>
      <c r="H885" s="215"/>
    </row>
    <row r="886" spans="1:8" ht="15">
      <c r="A886" s="211" t="s">
        <v>484</v>
      </c>
      <c r="B886" s="216" t="str">
        <f ca="1">_xlfn.CONCAT(B884,A886)</f>
        <v>2A75A7B-A</v>
      </c>
      <c r="C886" s="17" t="str">
        <f>_xlfn.XLOOKUP(H886,'Materiales unitario'!$A$1:$A$2500,'Materiales unitario'!B$1:B$2500,,0,1)</f>
        <v>Cable de cobre aislado #10 AWG-THHN/THWN Color negro</v>
      </c>
      <c r="D886" s="184" t="str">
        <f>_xlfn.XLOOKUP(H886,'Materiales unitario'!A$1:A$2500,'Materiales unitario'!C$1:C$2500,,0,1)</f>
        <v>ml</v>
      </c>
      <c r="E886" s="197">
        <f>_xlfn.XLOOKUP(H886,'Materiales unitario'!$A$1:$A$2500,'Materiales unitario'!D$1:D$2500,,0,1)</f>
        <v>5215</v>
      </c>
      <c r="F886" s="19">
        <v>2.1</v>
      </c>
      <c r="G886" s="20">
        <f>+E886*F886</f>
        <v>10951.5</v>
      </c>
      <c r="H886" s="217" t="s">
        <v>265</v>
      </c>
    </row>
    <row r="887" spans="1:8" ht="15">
      <c r="A887" s="211" t="s">
        <v>485</v>
      </c>
      <c r="B887" s="216" t="str">
        <f ca="1">_xlfn.CONCAT(B884,A887)</f>
        <v>2A75A7B-B</v>
      </c>
      <c r="C887" s="17" t="str">
        <f>_xlfn.XLOOKUP(H887,'Materiales unitario'!$A$1:$A$2500,'Materiales unitario'!B$1:B$2500,,0,1)</f>
        <v>Cable de cobre aislado #12 AWG-THHN/THWN Color negro</v>
      </c>
      <c r="D887" s="184" t="str">
        <f>_xlfn.XLOOKUP(H887,'Materiales unitario'!A$1:A$2500,'Materiales unitario'!C$1:C$2500,,0,1)</f>
        <v>ml</v>
      </c>
      <c r="E887" s="197">
        <f>_xlfn.XLOOKUP(H887,'Materiales unitario'!$A$1:$A$2500,'Materiales unitario'!D$1:D$2500,,0,1)</f>
        <v>3020</v>
      </c>
      <c r="F887" s="19">
        <v>1.05</v>
      </c>
      <c r="G887" s="20">
        <f t="shared" ref="G887:G892" si="19">+E887*F887</f>
        <v>3171</v>
      </c>
      <c r="H887" s="217" t="s">
        <v>267</v>
      </c>
    </row>
    <row r="888" spans="1:8" ht="15">
      <c r="A888" s="211" t="s">
        <v>486</v>
      </c>
      <c r="B888" s="216" t="str">
        <f ca="1">_xlfn.CONCAT(B884,A888)</f>
        <v>2A75A7B-C</v>
      </c>
      <c r="C888" s="17"/>
      <c r="D888" s="184"/>
      <c r="E888" s="197"/>
      <c r="F888" s="19"/>
      <c r="G888" s="20">
        <f t="shared" si="19"/>
        <v>0</v>
      </c>
      <c r="H888" s="217"/>
    </row>
    <row r="889" spans="1:8" ht="15">
      <c r="A889" s="211" t="s">
        <v>487</v>
      </c>
      <c r="B889" s="216" t="str">
        <f ca="1">_xlfn.CONCAT(B884,A889)</f>
        <v>2A75A7B-D</v>
      </c>
      <c r="C889" s="17"/>
      <c r="D889" s="184"/>
      <c r="E889" s="197"/>
      <c r="F889" s="19"/>
      <c r="G889" s="20">
        <f t="shared" si="19"/>
        <v>0</v>
      </c>
      <c r="H889" s="217"/>
    </row>
    <row r="890" spans="1:8" ht="15">
      <c r="A890" s="211" t="s">
        <v>488</v>
      </c>
      <c r="B890" s="216" t="str">
        <f ca="1">_xlfn.CONCAT(B884,A890)</f>
        <v>2A75A7B-E</v>
      </c>
      <c r="C890" s="17"/>
      <c r="D890" s="184"/>
      <c r="E890" s="197"/>
      <c r="F890" s="19"/>
      <c r="G890" s="20">
        <f t="shared" si="19"/>
        <v>0</v>
      </c>
      <c r="H890" s="217"/>
    </row>
    <row r="891" spans="1:8" ht="15">
      <c r="A891" s="211" t="s">
        <v>489</v>
      </c>
      <c r="B891" s="216" t="str">
        <f ca="1">_xlfn.CONCAT(B884,A891)</f>
        <v>2A75A7B-F</v>
      </c>
      <c r="C891" s="17"/>
      <c r="D891" s="184"/>
      <c r="E891" s="197"/>
      <c r="F891" s="19"/>
      <c r="G891" s="20">
        <f t="shared" si="19"/>
        <v>0</v>
      </c>
      <c r="H891" s="217"/>
    </row>
    <row r="892" spans="1:8" ht="15">
      <c r="A892" s="211" t="s">
        <v>490</v>
      </c>
      <c r="B892" s="216" t="str">
        <f ca="1">_xlfn.CONCAT(B884,A892)</f>
        <v>2A75A7B-G</v>
      </c>
      <c r="C892" s="17"/>
      <c r="D892" s="184"/>
      <c r="E892" s="197"/>
      <c r="F892" s="19"/>
      <c r="G892" s="20">
        <f t="shared" si="19"/>
        <v>0</v>
      </c>
      <c r="H892" s="217"/>
    </row>
    <row r="893" spans="1:8">
      <c r="A893" s="211" t="s">
        <v>491</v>
      </c>
      <c r="B893" s="216" t="str">
        <f ca="1">_xlfn.CONCAT(B884,A893)</f>
        <v>2A75A7B-H</v>
      </c>
      <c r="C893" s="17"/>
      <c r="D893" s="184"/>
      <c r="E893" s="197"/>
      <c r="F893" s="19"/>
      <c r="G893" s="20"/>
    </row>
    <row r="894" spans="1:8">
      <c r="A894" s="211" t="s">
        <v>492</v>
      </c>
      <c r="B894" s="216" t="str">
        <f ca="1">_xlfn.CONCAT(B884,A894)</f>
        <v>2A75A7B-I</v>
      </c>
      <c r="C894" s="17"/>
      <c r="D894" s="184"/>
      <c r="E894" s="197"/>
      <c r="F894" s="19"/>
      <c r="G894" s="20"/>
    </row>
    <row r="895" spans="1:8">
      <c r="A895" s="211" t="s">
        <v>493</v>
      </c>
      <c r="B895" s="216" t="str">
        <f ca="1">_xlfn.CONCAT(B884,A895)</f>
        <v>2A75A7B-J</v>
      </c>
      <c r="C895" s="17"/>
      <c r="D895" s="184"/>
      <c r="E895" s="197"/>
      <c r="F895" s="19"/>
      <c r="G895" s="20"/>
    </row>
    <row r="896" spans="1:8">
      <c r="A896" s="211" t="s">
        <v>494</v>
      </c>
      <c r="B896" s="216" t="str">
        <f ca="1">_xlfn.CONCAT(B884,A896)</f>
        <v>2A75A7B-K</v>
      </c>
      <c r="C896" s="17"/>
      <c r="D896" s="184"/>
      <c r="E896" s="197"/>
      <c r="F896" s="19"/>
      <c r="G896" s="20"/>
    </row>
    <row r="897" spans="1:8">
      <c r="A897" s="211" t="s">
        <v>495</v>
      </c>
      <c r="B897" s="216" t="str">
        <f ca="1">_xlfn.CONCAT(B884,A897)</f>
        <v>2A75A7B-L</v>
      </c>
      <c r="C897" s="17"/>
      <c r="D897" s="184"/>
      <c r="E897" s="197"/>
      <c r="F897" s="19"/>
      <c r="G897" s="20"/>
    </row>
    <row r="898" spans="1:8">
      <c r="A898" s="211" t="s">
        <v>496</v>
      </c>
      <c r="B898" s="216" t="str">
        <f ca="1">_xlfn.CONCAT(B884,A898)</f>
        <v>2A75A7B-M</v>
      </c>
      <c r="C898" s="17"/>
      <c r="D898" s="184"/>
      <c r="E898" s="197"/>
      <c r="F898" s="19"/>
      <c r="G898" s="20"/>
    </row>
    <row r="899" spans="1:8">
      <c r="A899" s="211" t="s">
        <v>497</v>
      </c>
      <c r="B899" s="216" t="str">
        <f ca="1">_xlfn.CONCAT(B884,A899)</f>
        <v>2A75A7B-N</v>
      </c>
      <c r="C899" s="17"/>
      <c r="D899" s="184"/>
      <c r="E899" s="197"/>
      <c r="F899" s="19"/>
      <c r="G899" s="20"/>
    </row>
    <row r="900" spans="1:8">
      <c r="A900" s="211" t="s">
        <v>498</v>
      </c>
      <c r="B900" s="216" t="str">
        <f ca="1">_xlfn.CONCAT(B884,A900)</f>
        <v>2A75A7B-O</v>
      </c>
      <c r="C900" s="17"/>
      <c r="D900" s="184"/>
      <c r="E900" s="197"/>
      <c r="F900" s="19"/>
      <c r="G900" s="20"/>
    </row>
    <row r="901" spans="1:8">
      <c r="A901" s="211" t="s">
        <v>499</v>
      </c>
      <c r="B901" s="216" t="str">
        <f ca="1">_xlfn.CONCAT(B884,A901)</f>
        <v>2A75A7B-P</v>
      </c>
      <c r="C901" s="17"/>
      <c r="D901" s="184"/>
      <c r="E901" s="197"/>
      <c r="F901" s="19"/>
      <c r="G901" s="20"/>
    </row>
    <row r="902" spans="1:8">
      <c r="A902" s="211" t="s">
        <v>500</v>
      </c>
      <c r="B902" s="216" t="str">
        <f ca="1">_xlfn.CONCAT(B884,A902)</f>
        <v>2A75A7B-Q</v>
      </c>
      <c r="C902" s="17"/>
      <c r="D902" s="184"/>
      <c r="E902" s="197"/>
      <c r="F902" s="19"/>
      <c r="G902" s="20"/>
    </row>
    <row r="903" spans="1:8">
      <c r="A903" s="211" t="s">
        <v>501</v>
      </c>
      <c r="B903" s="216" t="str">
        <f ca="1">_xlfn.CONCAT(B884,A903)</f>
        <v>2A75A7B-R</v>
      </c>
      <c r="C903" s="17"/>
      <c r="D903" s="184"/>
      <c r="E903" s="197"/>
      <c r="F903" s="19"/>
      <c r="G903" s="20"/>
    </row>
    <row r="904" spans="1:8">
      <c r="A904" s="211" t="s">
        <v>502</v>
      </c>
      <c r="B904" s="216" t="str">
        <f ca="1">_xlfn.CONCAT(B884,A904)</f>
        <v>2A75A7B-S</v>
      </c>
      <c r="C904" s="17"/>
      <c r="D904" s="184"/>
      <c r="E904" s="197"/>
      <c r="F904" s="19"/>
      <c r="G904" s="20"/>
    </row>
    <row r="905" spans="1:8">
      <c r="A905" s="211" t="s">
        <v>503</v>
      </c>
      <c r="B905" s="216" t="str">
        <f ca="1">_xlfn.CONCAT(B884,A905)</f>
        <v>2A75A7B-T</v>
      </c>
      <c r="C905" s="17"/>
      <c r="D905" s="184"/>
      <c r="E905" s="197"/>
      <c r="F905" s="19"/>
      <c r="G905" s="20"/>
    </row>
    <row r="906" spans="1:8" ht="14.25" thickBot="1">
      <c r="A906" s="211" t="s">
        <v>504</v>
      </c>
      <c r="B906" s="216" t="str">
        <f ca="1">_xlfn.CONCAT(B884,A906)</f>
        <v>2A75A7B-U</v>
      </c>
      <c r="C906" s="17"/>
      <c r="D906" s="184"/>
      <c r="E906" s="197"/>
      <c r="F906" s="19"/>
      <c r="G906" s="20"/>
    </row>
    <row r="907" spans="1:8" ht="16.5" customHeight="1" thickBot="1">
      <c r="A907" s="211" t="s">
        <v>505</v>
      </c>
      <c r="B907" s="216" t="str">
        <f ca="1">_xlfn.CONCAT(B884,A907)</f>
        <v>2A75A7B-V</v>
      </c>
      <c r="C907" s="17" t="s">
        <v>17</v>
      </c>
      <c r="D907" s="192" t="s">
        <v>17</v>
      </c>
      <c r="E907" s="18"/>
      <c r="F907" s="22" t="s">
        <v>18</v>
      </c>
      <c r="G907" s="23">
        <f>SUM(G886:G906)</f>
        <v>14122.5</v>
      </c>
    </row>
    <row r="908" spans="1:8" ht="28.5" customHeight="1" thickBot="1">
      <c r="A908" s="211" t="s">
        <v>506</v>
      </c>
      <c r="B908" s="216" t="str">
        <f ca="1">_xlfn.CONCAT(B884,A908)</f>
        <v>2A75A7B-W</v>
      </c>
      <c r="C908" s="10" t="s">
        <v>19</v>
      </c>
      <c r="D908" s="190"/>
      <c r="E908" s="11"/>
      <c r="F908" s="12"/>
      <c r="G908" s="13"/>
    </row>
    <row r="909" spans="1:8" s="47" customFormat="1" ht="23.25" customHeight="1" thickBot="1">
      <c r="A909" s="211" t="s">
        <v>507</v>
      </c>
      <c r="B909" s="216" t="str">
        <f ca="1">_xlfn.CONCAT(B884,A909)</f>
        <v>2A75A7B-X</v>
      </c>
      <c r="C909" s="14" t="s">
        <v>1</v>
      </c>
      <c r="D909" s="15"/>
      <c r="E909" s="15" t="s">
        <v>20</v>
      </c>
      <c r="F909" s="16" t="s">
        <v>21</v>
      </c>
      <c r="G909" s="15" t="s">
        <v>5</v>
      </c>
      <c r="H909" s="215"/>
    </row>
    <row r="910" spans="1:8">
      <c r="A910" s="211" t="s">
        <v>508</v>
      </c>
      <c r="B910" s="216" t="str">
        <f ca="1">_xlfn.CONCAT(B884,A910)</f>
        <v>2A75A7B-Y</v>
      </c>
      <c r="C910" s="24" t="s">
        <v>22</v>
      </c>
      <c r="D910" s="184"/>
      <c r="E910" s="25">
        <f>_xlfn.XLOOKUP(C910,'H-MO'!B$7:B$30,'H-MO'!D$7:D$30,,0,1)</f>
        <v>2436.5624999999995</v>
      </c>
      <c r="F910" s="19">
        <v>0.4</v>
      </c>
      <c r="G910" s="33">
        <f t="shared" ref="G910:G915" si="20">+E910*F910</f>
        <v>974.62499999999989</v>
      </c>
    </row>
    <row r="911" spans="1:8">
      <c r="A911" s="211" t="s">
        <v>509</v>
      </c>
      <c r="B911" s="216" t="str">
        <f ca="1">_xlfn.CONCAT(B884,A911)</f>
        <v>2A75A7B-Z</v>
      </c>
      <c r="C911" s="24" t="s">
        <v>23</v>
      </c>
      <c r="D911" s="184"/>
      <c r="E911" s="25">
        <f>_xlfn.XLOOKUP(C911,'H-MO'!B$7:B$30,'H-MO'!D$7:D$30,,0,1)</f>
        <v>1461.9374999999998</v>
      </c>
      <c r="F911" s="19">
        <v>0.1</v>
      </c>
      <c r="G911" s="33">
        <f t="shared" si="20"/>
        <v>146.19374999999999</v>
      </c>
    </row>
    <row r="912" spans="1:8">
      <c r="A912" s="211" t="s">
        <v>510</v>
      </c>
      <c r="B912" s="216" t="str">
        <f ca="1">_xlfn.CONCAT(B884,A912)</f>
        <v>2A75A7B-aa</v>
      </c>
      <c r="C912" s="24" t="s">
        <v>24</v>
      </c>
      <c r="D912" s="185"/>
      <c r="E912" s="25">
        <f>_xlfn.XLOOKUP(C912,'H-MO'!B$7:B$30,'H-MO'!D$7:D$30,,0,1)</f>
        <v>29238.749999999996</v>
      </c>
      <c r="F912" s="28">
        <v>0.01</v>
      </c>
      <c r="G912" s="33">
        <f t="shared" si="20"/>
        <v>292.38749999999999</v>
      </c>
    </row>
    <row r="913" spans="1:8">
      <c r="A913" s="211" t="s">
        <v>511</v>
      </c>
      <c r="B913" s="216" t="str">
        <f ca="1">_xlfn.CONCAT(B884,A913)</f>
        <v>2A75A7B-ab</v>
      </c>
      <c r="C913" s="24" t="s">
        <v>25</v>
      </c>
      <c r="D913" s="185"/>
      <c r="E913" s="25">
        <f>_xlfn.XLOOKUP(C913,'H-MO'!B$7:B$30,'H-MO'!D$7:D$30,,0,1)</f>
        <v>2761.4374999999995</v>
      </c>
      <c r="F913" s="28">
        <v>0.1</v>
      </c>
      <c r="G913" s="33">
        <f t="shared" si="20"/>
        <v>276.14374999999995</v>
      </c>
    </row>
    <row r="914" spans="1:8">
      <c r="A914" s="211" t="s">
        <v>512</v>
      </c>
      <c r="B914" s="216" t="str">
        <f ca="1">_xlfn.CONCAT(B884,A914)</f>
        <v>2A75A7B-ac</v>
      </c>
      <c r="C914" s="24"/>
      <c r="D914" s="185"/>
      <c r="E914" s="29"/>
      <c r="F914" s="28"/>
      <c r="G914" s="33">
        <f t="shared" si="20"/>
        <v>0</v>
      </c>
    </row>
    <row r="915" spans="1:8" ht="14.25" thickBot="1">
      <c r="A915" s="211" t="s">
        <v>513</v>
      </c>
      <c r="B915" s="216" t="str">
        <f ca="1">_xlfn.CONCAT(B884,A915)</f>
        <v>2A75A7B-ad</v>
      </c>
      <c r="C915" s="24"/>
      <c r="D915" s="185"/>
      <c r="E915" s="29"/>
      <c r="F915" s="28"/>
      <c r="G915" s="33">
        <f t="shared" si="20"/>
        <v>0</v>
      </c>
    </row>
    <row r="916" spans="1:8" ht="16.5" customHeight="1" thickBot="1">
      <c r="A916" s="211" t="s">
        <v>514</v>
      </c>
      <c r="B916" s="216" t="str">
        <f ca="1">_xlfn.CONCAT(B884,A916)</f>
        <v>2A75A7B-ae</v>
      </c>
      <c r="C916" s="17"/>
      <c r="D916" s="192"/>
      <c r="E916" s="18"/>
      <c r="F916" s="22" t="s">
        <v>26</v>
      </c>
      <c r="G916" s="23">
        <f>SUM(G910:G915)</f>
        <v>1689.35</v>
      </c>
    </row>
    <row r="917" spans="1:8" ht="28.5" customHeight="1" thickBot="1">
      <c r="A917" s="211" t="s">
        <v>515</v>
      </c>
      <c r="B917" s="216" t="str">
        <f ca="1">_xlfn.CONCAT(B884,A917)</f>
        <v>2A75A7B-af</v>
      </c>
      <c r="C917" s="10" t="s">
        <v>27</v>
      </c>
      <c r="D917" s="190"/>
      <c r="E917" s="11"/>
      <c r="F917" s="12"/>
      <c r="G917" s="13"/>
    </row>
    <row r="918" spans="1:8" s="47" customFormat="1" ht="23.25" customHeight="1" thickBot="1">
      <c r="A918" s="211" t="s">
        <v>516</v>
      </c>
      <c r="B918" s="216" t="str">
        <f ca="1">_xlfn.CONCAT(B884,A918)</f>
        <v>2A75A7B-ag</v>
      </c>
      <c r="C918" s="14" t="s">
        <v>1</v>
      </c>
      <c r="D918" s="15" t="s">
        <v>28</v>
      </c>
      <c r="E918" s="15" t="s">
        <v>20</v>
      </c>
      <c r="F918" s="16" t="s">
        <v>21</v>
      </c>
      <c r="G918" s="15" t="s">
        <v>5</v>
      </c>
      <c r="H918" s="215"/>
    </row>
    <row r="919" spans="1:8">
      <c r="A919" s="211" t="s">
        <v>517</v>
      </c>
      <c r="B919" s="216" t="str">
        <f ca="1">_xlfn.CONCAT(B884,A919)</f>
        <v>2A75A7B-ah</v>
      </c>
      <c r="C919" s="30" t="s">
        <v>29</v>
      </c>
      <c r="D919" s="186">
        <f>'H-MO'!$N$77</f>
        <v>725918.52892505517</v>
      </c>
      <c r="E919" s="31">
        <f>+D919/8</f>
        <v>90739.816115631897</v>
      </c>
      <c r="F919" s="32">
        <v>0.05</v>
      </c>
      <c r="G919" s="33">
        <f>+E919*F919</f>
        <v>4536.9908057815946</v>
      </c>
    </row>
    <row r="920" spans="1:8">
      <c r="A920" s="211" t="s">
        <v>518</v>
      </c>
      <c r="B920" s="216" t="str">
        <f ca="1">_xlfn.CONCAT(B884,A920)</f>
        <v>2A75A7B-ai</v>
      </c>
      <c r="C920" s="34" t="s">
        <v>30</v>
      </c>
      <c r="D920" s="187">
        <f>'H-MO'!$N$86</f>
        <v>685561.39085756091</v>
      </c>
      <c r="E920" s="29">
        <f>+D920/8</f>
        <v>85695.173857195114</v>
      </c>
      <c r="F920" s="28">
        <v>0</v>
      </c>
      <c r="G920" s="33">
        <f>+E920*F920</f>
        <v>0</v>
      </c>
    </row>
    <row r="921" spans="1:8" ht="14.25" thickBot="1">
      <c r="A921" s="211" t="s">
        <v>519</v>
      </c>
      <c r="B921" s="216" t="str">
        <f ca="1">_xlfn.CONCAT(B884,A921)</f>
        <v>2A75A7B-aj</v>
      </c>
      <c r="C921" s="34"/>
      <c r="D921" s="187"/>
      <c r="E921" s="29"/>
      <c r="F921" s="28"/>
      <c r="G921" s="33">
        <f>+E921*F921</f>
        <v>0</v>
      </c>
    </row>
    <row r="922" spans="1:8" ht="17.25" customHeight="1" thickBot="1">
      <c r="A922" s="211" t="s">
        <v>520</v>
      </c>
      <c r="B922" s="216" t="str">
        <f ca="1">_xlfn.CONCAT(B884,A922)</f>
        <v>2A75A7B-ak</v>
      </c>
      <c r="C922" s="34"/>
      <c r="D922" s="185"/>
      <c r="E922" s="26"/>
      <c r="F922" s="36" t="s">
        <v>31</v>
      </c>
      <c r="G922" s="23">
        <f>SUM(G919:G921)</f>
        <v>4536.9908057815946</v>
      </c>
    </row>
    <row r="923" spans="1:8" ht="14.25" thickBot="1">
      <c r="A923" s="211" t="s">
        <v>521</v>
      </c>
      <c r="B923" s="216" t="str">
        <f ca="1">_xlfn.CONCAT(B884,A923)</f>
        <v>2A75A7B-al</v>
      </c>
      <c r="C923" s="37"/>
      <c r="E923" s="38"/>
      <c r="F923" s="22"/>
      <c r="G923" s="39"/>
    </row>
    <row r="924" spans="1:8" ht="23.25" customHeight="1" thickBot="1">
      <c r="A924" s="211" t="s">
        <v>522</v>
      </c>
      <c r="B924" s="216" t="str">
        <f ca="1">_xlfn.CONCAT(B884,A924)</f>
        <v>2A75A7B-am</v>
      </c>
      <c r="C924" s="40"/>
      <c r="D924" s="193"/>
      <c r="E924" s="41"/>
      <c r="F924" s="42"/>
      <c r="G924" s="43">
        <f>+G907+G916+G922</f>
        <v>20348.840805781594</v>
      </c>
    </row>
    <row r="925" spans="1:8" ht="21.75" thickBot="1">
      <c r="B925" s="212" t="s">
        <v>550</v>
      </c>
      <c r="C925" s="2"/>
      <c r="D925" s="183"/>
      <c r="F925" s="4"/>
      <c r="G925" s="5"/>
    </row>
    <row r="926" spans="1:8" s="45" customFormat="1" ht="34.5" customHeight="1">
      <c r="A926" s="213"/>
      <c r="B926" s="214">
        <v>22</v>
      </c>
      <c r="C926" s="242" t="str">
        <f ca="1">_xlfn.XLOOKUP(B926,Cantidades!$A$10:$A$314,Cantidades!$C$10:$C$314,,0,1)</f>
        <v>Suministro e instalación de tubería 1Ø1" PVC tipo A (T-BAP), incluye regata para instalación en piso. Incluye tuberías PVC tipo A y demás accesorios para su correcta instalación,  funcionamiento y señalización.</v>
      </c>
      <c r="D926" s="243"/>
      <c r="E926" s="243"/>
      <c r="F926" s="243"/>
      <c r="G926" s="244"/>
      <c r="H926" s="213"/>
    </row>
    <row r="927" spans="1:8" s="47" customFormat="1" ht="24.95" customHeight="1" thickBot="1">
      <c r="A927" s="215"/>
      <c r="B927" s="216" t="s">
        <v>550</v>
      </c>
      <c r="C927" s="177"/>
      <c r="D927" s="189"/>
      <c r="E927" s="178"/>
      <c r="F927" s="179" t="s">
        <v>636</v>
      </c>
      <c r="G927" s="209" t="str">
        <f ca="1">B928</f>
        <v>307EA178-</v>
      </c>
      <c r="H927" s="215"/>
    </row>
    <row r="928" spans="1:8" ht="28.5" customHeight="1" thickBot="1">
      <c r="B928" s="212" t="str">
        <f ca="1">_xlfn.XLOOKUP(C926,Cantidades!$C$1:$C$314,Cantidades!$B$1:$B$314,"",0,1)</f>
        <v>307EA178-</v>
      </c>
      <c r="C928" s="10" t="s">
        <v>0</v>
      </c>
      <c r="D928" s="190"/>
      <c r="E928" s="11"/>
      <c r="F928" s="12"/>
      <c r="G928" s="13"/>
    </row>
    <row r="929" spans="1:8" s="47" customFormat="1" ht="23.25" customHeight="1" thickBot="1">
      <c r="A929" s="215"/>
      <c r="B929" s="216" t="s">
        <v>550</v>
      </c>
      <c r="C929" s="14" t="s">
        <v>1</v>
      </c>
      <c r="D929" s="15" t="s">
        <v>2</v>
      </c>
      <c r="E929" s="15" t="s">
        <v>3</v>
      </c>
      <c r="F929" s="16" t="s">
        <v>4</v>
      </c>
      <c r="G929" s="15" t="s">
        <v>5</v>
      </c>
      <c r="H929" s="215"/>
    </row>
    <row r="930" spans="1:8" ht="15">
      <c r="A930" s="211" t="s">
        <v>484</v>
      </c>
      <c r="B930" s="216" t="str">
        <f ca="1">_xlfn.CONCAT(B928,A930)</f>
        <v>307EA178-A</v>
      </c>
      <c r="C930" s="17" t="str">
        <f>_xlfn.XLOOKUP(H930,'Materiales unitario'!$A$1:$A$2500,'Materiales unitario'!B$1:B$2500,,0,1)</f>
        <v>Tubo Conduit PVC ø1"</v>
      </c>
      <c r="D930" s="184" t="str">
        <f>_xlfn.XLOOKUP(H930,'Materiales unitario'!A$1:A$2500,'Materiales unitario'!C$1:C$2500,,0,1)</f>
        <v>ml</v>
      </c>
      <c r="E930" s="197">
        <f>_xlfn.XLOOKUP(H930,'Materiales unitario'!$A$1:$A$2500,'Materiales unitario'!D$1:D$2500,,0,1)</f>
        <v>2866.6666666666665</v>
      </c>
      <c r="F930" s="19">
        <v>1.05</v>
      </c>
      <c r="G930" s="20">
        <f t="shared" ref="G930:G935" si="21">+E930*F930</f>
        <v>3010</v>
      </c>
      <c r="H930" s="217" t="s">
        <v>576</v>
      </c>
    </row>
    <row r="931" spans="1:8" ht="15">
      <c r="A931" s="211" t="s">
        <v>485</v>
      </c>
      <c r="B931" s="216" t="str">
        <f ca="1">_xlfn.CONCAT(B928,A931)</f>
        <v>307EA178-B</v>
      </c>
      <c r="C931" s="17" t="str">
        <f>_xlfn.XLOOKUP(H931,'Materiales unitario'!$A$1:$A$2500,'Materiales unitario'!B$1:B$2500,,0,1)</f>
        <v>Adaptador terminal PVC ø1"</v>
      </c>
      <c r="D931" s="184" t="str">
        <f>_xlfn.XLOOKUP(H931,'Materiales unitario'!A$1:A$2500,'Materiales unitario'!C$1:C$2500,,0,1)</f>
        <v>un</v>
      </c>
      <c r="E931" s="197">
        <f>_xlfn.XLOOKUP(H931,'Materiales unitario'!$A$1:$A$2500,'Materiales unitario'!D$1:D$2500,,0,1)</f>
        <v>850</v>
      </c>
      <c r="F931" s="19">
        <v>0.1</v>
      </c>
      <c r="G931" s="20">
        <f t="shared" si="21"/>
        <v>85</v>
      </c>
      <c r="H931" s="217" t="s">
        <v>577</v>
      </c>
    </row>
    <row r="932" spans="1:8" ht="15">
      <c r="A932" s="211" t="s">
        <v>486</v>
      </c>
      <c r="B932" s="216" t="str">
        <f ca="1">_xlfn.CONCAT(B928,A932)</f>
        <v>307EA178-C</v>
      </c>
      <c r="C932" s="17" t="str">
        <f>_xlfn.XLOOKUP(H932,'Materiales unitario'!$A$1:$A$2500,'Materiales unitario'!B$1:B$2500,,0,1)</f>
        <v>Curva PVC ø1"</v>
      </c>
      <c r="D932" s="184" t="str">
        <f>_xlfn.XLOOKUP(H932,'Materiales unitario'!A$1:A$2500,'Materiales unitario'!C$1:C$2500,,0,1)</f>
        <v>un</v>
      </c>
      <c r="E932" s="197">
        <f>_xlfn.XLOOKUP(H932,'Materiales unitario'!$A$1:$A$2500,'Materiales unitario'!D$1:D$2500,,0,1)</f>
        <v>1150</v>
      </c>
      <c r="F932" s="19">
        <v>7.0000000000000007E-2</v>
      </c>
      <c r="G932" s="20">
        <f t="shared" si="21"/>
        <v>80.500000000000014</v>
      </c>
      <c r="H932" s="217" t="s">
        <v>578</v>
      </c>
    </row>
    <row r="933" spans="1:8" ht="15">
      <c r="A933" s="211" t="s">
        <v>487</v>
      </c>
      <c r="B933" s="216" t="str">
        <f ca="1">_xlfn.CONCAT(B928,A933)</f>
        <v>307EA178-D</v>
      </c>
      <c r="C933" s="17" t="str">
        <f>_xlfn.XLOOKUP(H933,'Materiales unitario'!$A$1:$A$2500,'Materiales unitario'!B$1:B$2500,,0,1)</f>
        <v xml:space="preserve">Soporte Metálico Uniestruc Tubería ø1" </v>
      </c>
      <c r="D933" s="184" t="str">
        <f>_xlfn.XLOOKUP(H933,'Materiales unitario'!A$1:A$2500,'Materiales unitario'!C$1:C$2500,,0,1)</f>
        <v>un</v>
      </c>
      <c r="E933" s="197">
        <f>_xlfn.XLOOKUP(H933,'Materiales unitario'!$A$1:$A$2500,'Materiales unitario'!D$1:D$2500,,0,1)</f>
        <v>1300</v>
      </c>
      <c r="F933" s="19">
        <v>0.3</v>
      </c>
      <c r="G933" s="20">
        <f t="shared" si="21"/>
        <v>390</v>
      </c>
      <c r="H933" s="217" t="s">
        <v>579</v>
      </c>
    </row>
    <row r="934" spans="1:8" ht="15">
      <c r="A934" s="211" t="s">
        <v>488</v>
      </c>
      <c r="B934" s="216" t="str">
        <f ca="1">_xlfn.CONCAT(B928,A934)</f>
        <v>307EA178-E</v>
      </c>
      <c r="C934" s="17" t="str">
        <f>_xlfn.XLOOKUP(H934,'Materiales unitario'!$A$1:$A$2500,'Materiales unitario'!B$1:B$2500,,0,1)</f>
        <v>Regata en concreto</v>
      </c>
      <c r="D934" s="184" t="str">
        <f>_xlfn.XLOOKUP(H934,'Materiales unitario'!A$1:A$2500,'Materiales unitario'!C$1:C$2500,,0,1)</f>
        <v>un</v>
      </c>
      <c r="E934" s="197">
        <f>_xlfn.XLOOKUP(H934,'Materiales unitario'!$A$1:$A$2500,'Materiales unitario'!D$1:D$2500,,0,1)</f>
        <v>2100</v>
      </c>
      <c r="F934" s="19">
        <v>0.65</v>
      </c>
      <c r="G934" s="20">
        <f t="shared" si="21"/>
        <v>1365</v>
      </c>
      <c r="H934" s="217" t="s">
        <v>581</v>
      </c>
    </row>
    <row r="935" spans="1:8" ht="15">
      <c r="A935" s="211" t="s">
        <v>489</v>
      </c>
      <c r="B935" s="216" t="str">
        <f ca="1">_xlfn.CONCAT(B928,A935)</f>
        <v>307EA178-F</v>
      </c>
      <c r="C935" s="17" t="str">
        <f>_xlfn.XLOOKUP(H935,'Materiales unitario'!$A$1:$A$2500,'Materiales unitario'!B$1:B$2500,,0,1)</f>
        <v>Soldadura liquida PVC 1/4 de galón</v>
      </c>
      <c r="D935" s="184" t="str">
        <f>_xlfn.XLOOKUP(H935,'Materiales unitario'!A$1:A$2500,'Materiales unitario'!C$1:C$2500,,0,1)</f>
        <v>un</v>
      </c>
      <c r="E935" s="197">
        <f>_xlfn.XLOOKUP(H935,'Materiales unitario'!$A$1:$A$2500,'Materiales unitario'!D$1:D$2500,,0,1)</f>
        <v>60900</v>
      </c>
      <c r="F935" s="19">
        <v>0.01</v>
      </c>
      <c r="G935" s="20">
        <f t="shared" si="21"/>
        <v>609</v>
      </c>
      <c r="H935" s="217" t="s">
        <v>530</v>
      </c>
    </row>
    <row r="936" spans="1:8">
      <c r="A936" s="211" t="s">
        <v>490</v>
      </c>
      <c r="B936" s="216" t="str">
        <f ca="1">_xlfn.CONCAT(B928,A936)</f>
        <v>307EA178-G</v>
      </c>
      <c r="C936" s="17"/>
      <c r="D936" s="184"/>
      <c r="E936" s="197"/>
      <c r="F936" s="19"/>
      <c r="G936" s="20"/>
    </row>
    <row r="937" spans="1:8">
      <c r="A937" s="211" t="s">
        <v>491</v>
      </c>
      <c r="B937" s="216" t="str">
        <f ca="1">_xlfn.CONCAT(B928,A937)</f>
        <v>307EA178-H</v>
      </c>
      <c r="C937" s="17"/>
      <c r="D937" s="184"/>
      <c r="E937" s="197"/>
      <c r="F937" s="19"/>
      <c r="G937" s="20"/>
    </row>
    <row r="938" spans="1:8">
      <c r="A938" s="211" t="s">
        <v>492</v>
      </c>
      <c r="B938" s="216" t="str">
        <f ca="1">_xlfn.CONCAT(B928,A938)</f>
        <v>307EA178-I</v>
      </c>
      <c r="C938" s="17"/>
      <c r="D938" s="184"/>
      <c r="E938" s="197"/>
      <c r="F938" s="19"/>
      <c r="G938" s="20"/>
    </row>
    <row r="939" spans="1:8">
      <c r="A939" s="211" t="s">
        <v>493</v>
      </c>
      <c r="B939" s="216" t="str">
        <f ca="1">_xlfn.CONCAT(B928,A939)</f>
        <v>307EA178-J</v>
      </c>
      <c r="C939" s="17"/>
      <c r="D939" s="184"/>
      <c r="E939" s="197"/>
      <c r="F939" s="19"/>
      <c r="G939" s="20"/>
    </row>
    <row r="940" spans="1:8">
      <c r="A940" s="211" t="s">
        <v>494</v>
      </c>
      <c r="B940" s="216" t="str">
        <f ca="1">_xlfn.CONCAT(B928,A940)</f>
        <v>307EA178-K</v>
      </c>
      <c r="C940" s="17"/>
      <c r="D940" s="184"/>
      <c r="E940" s="197"/>
      <c r="F940" s="19"/>
      <c r="G940" s="20"/>
    </row>
    <row r="941" spans="1:8">
      <c r="A941" s="211" t="s">
        <v>495</v>
      </c>
      <c r="B941" s="216" t="str">
        <f ca="1">_xlfn.CONCAT(B928,A941)</f>
        <v>307EA178-L</v>
      </c>
      <c r="C941" s="17"/>
      <c r="D941" s="184"/>
      <c r="E941" s="197"/>
      <c r="F941" s="19"/>
      <c r="G941" s="20"/>
    </row>
    <row r="942" spans="1:8">
      <c r="A942" s="211" t="s">
        <v>496</v>
      </c>
      <c r="B942" s="216" t="str">
        <f ca="1">_xlfn.CONCAT(B928,A942)</f>
        <v>307EA178-M</v>
      </c>
      <c r="C942" s="17"/>
      <c r="D942" s="184"/>
      <c r="E942" s="197"/>
      <c r="F942" s="19"/>
      <c r="G942" s="20"/>
    </row>
    <row r="943" spans="1:8">
      <c r="A943" s="211" t="s">
        <v>497</v>
      </c>
      <c r="B943" s="216" t="str">
        <f ca="1">_xlfn.CONCAT(B928,A943)</f>
        <v>307EA178-N</v>
      </c>
      <c r="C943" s="17"/>
      <c r="D943" s="184"/>
      <c r="E943" s="197"/>
      <c r="F943" s="19"/>
      <c r="G943" s="20"/>
    </row>
    <row r="944" spans="1:8">
      <c r="A944" s="211" t="s">
        <v>498</v>
      </c>
      <c r="B944" s="216" t="str">
        <f ca="1">_xlfn.CONCAT(B928,A944)</f>
        <v>307EA178-O</v>
      </c>
      <c r="C944" s="17"/>
      <c r="D944" s="184"/>
      <c r="E944" s="197"/>
      <c r="F944" s="19"/>
      <c r="G944" s="20"/>
    </row>
    <row r="945" spans="1:8">
      <c r="A945" s="211" t="s">
        <v>499</v>
      </c>
      <c r="B945" s="216" t="str">
        <f ca="1">_xlfn.CONCAT(B928,A945)</f>
        <v>307EA178-P</v>
      </c>
      <c r="C945" s="17"/>
      <c r="D945" s="184"/>
      <c r="E945" s="197"/>
      <c r="F945" s="19"/>
      <c r="G945" s="20"/>
    </row>
    <row r="946" spans="1:8">
      <c r="A946" s="211" t="s">
        <v>500</v>
      </c>
      <c r="B946" s="216" t="str">
        <f ca="1">_xlfn.CONCAT(B928,A946)</f>
        <v>307EA178-Q</v>
      </c>
      <c r="C946" s="17"/>
      <c r="D946" s="184"/>
      <c r="E946" s="197"/>
      <c r="F946" s="19"/>
      <c r="G946" s="20"/>
    </row>
    <row r="947" spans="1:8">
      <c r="A947" s="211" t="s">
        <v>501</v>
      </c>
      <c r="B947" s="216" t="str">
        <f ca="1">_xlfn.CONCAT(B928,A947)</f>
        <v>307EA178-R</v>
      </c>
      <c r="C947" s="17"/>
      <c r="D947" s="184"/>
      <c r="E947" s="197"/>
      <c r="F947" s="19"/>
      <c r="G947" s="20"/>
    </row>
    <row r="948" spans="1:8">
      <c r="A948" s="211" t="s">
        <v>502</v>
      </c>
      <c r="B948" s="216" t="str">
        <f ca="1">_xlfn.CONCAT(B928,A948)</f>
        <v>307EA178-S</v>
      </c>
      <c r="C948" s="17"/>
      <c r="D948" s="184"/>
      <c r="E948" s="197"/>
      <c r="F948" s="19"/>
      <c r="G948" s="20"/>
    </row>
    <row r="949" spans="1:8">
      <c r="A949" s="211" t="s">
        <v>503</v>
      </c>
      <c r="B949" s="216" t="str">
        <f ca="1">_xlfn.CONCAT(B928,A949)</f>
        <v>307EA178-T</v>
      </c>
      <c r="C949" s="17"/>
      <c r="D949" s="184"/>
      <c r="E949" s="197"/>
      <c r="F949" s="19"/>
      <c r="G949" s="20"/>
    </row>
    <row r="950" spans="1:8" ht="14.25" thickBot="1">
      <c r="A950" s="211" t="s">
        <v>504</v>
      </c>
      <c r="B950" s="216" t="str">
        <f ca="1">_xlfn.CONCAT(B928,A950)</f>
        <v>307EA178-U</v>
      </c>
      <c r="C950" s="17"/>
      <c r="D950" s="184"/>
      <c r="E950" s="197"/>
      <c r="F950" s="19"/>
      <c r="G950" s="20"/>
    </row>
    <row r="951" spans="1:8" ht="16.5" customHeight="1" thickBot="1">
      <c r="A951" s="211" t="s">
        <v>505</v>
      </c>
      <c r="B951" s="216" t="str">
        <f ca="1">_xlfn.CONCAT(B928,A951)</f>
        <v>307EA178-V</v>
      </c>
      <c r="C951" s="17" t="s">
        <v>17</v>
      </c>
      <c r="D951" s="192" t="s">
        <v>17</v>
      </c>
      <c r="E951" s="18"/>
      <c r="F951" s="22" t="s">
        <v>18</v>
      </c>
      <c r="G951" s="23">
        <f>SUM(G930:G950)</f>
        <v>5539.5</v>
      </c>
    </row>
    <row r="952" spans="1:8" ht="28.5" customHeight="1" thickBot="1">
      <c r="A952" s="211" t="s">
        <v>506</v>
      </c>
      <c r="B952" s="216" t="str">
        <f ca="1">_xlfn.CONCAT(B928,A952)</f>
        <v>307EA178-W</v>
      </c>
      <c r="C952" s="10" t="s">
        <v>19</v>
      </c>
      <c r="D952" s="190"/>
      <c r="E952" s="11"/>
      <c r="F952" s="12"/>
      <c r="G952" s="13"/>
    </row>
    <row r="953" spans="1:8" s="47" customFormat="1" ht="23.25" customHeight="1" thickBot="1">
      <c r="A953" s="211" t="s">
        <v>507</v>
      </c>
      <c r="B953" s="216" t="str">
        <f ca="1">_xlfn.CONCAT(B928,A953)</f>
        <v>307EA178-X</v>
      </c>
      <c r="C953" s="14" t="s">
        <v>1</v>
      </c>
      <c r="D953" s="15"/>
      <c r="E953" s="15" t="s">
        <v>20</v>
      </c>
      <c r="F953" s="16" t="s">
        <v>21</v>
      </c>
      <c r="G953" s="15" t="s">
        <v>5</v>
      </c>
      <c r="H953" s="215"/>
    </row>
    <row r="954" spans="1:8">
      <c r="A954" s="211" t="s">
        <v>508</v>
      </c>
      <c r="B954" s="216" t="str">
        <f ca="1">_xlfn.CONCAT(B928,A954)</f>
        <v>307EA178-Y</v>
      </c>
      <c r="C954" s="24" t="s">
        <v>22</v>
      </c>
      <c r="D954" s="184"/>
      <c r="E954" s="25">
        <f>_xlfn.XLOOKUP(C954,'H-MO'!B$7:B$30,'H-MO'!D$7:D$30,,0,1)</f>
        <v>2436.5624999999995</v>
      </c>
      <c r="F954" s="19">
        <v>0.05</v>
      </c>
      <c r="G954" s="33">
        <f t="shared" ref="G954:G959" si="22">+E954*F954</f>
        <v>121.82812499999999</v>
      </c>
    </row>
    <row r="955" spans="1:8">
      <c r="A955" s="211" t="s">
        <v>509</v>
      </c>
      <c r="B955" s="216" t="str">
        <f ca="1">_xlfn.CONCAT(B928,A955)</f>
        <v>307EA178-Z</v>
      </c>
      <c r="C955" s="24" t="s">
        <v>23</v>
      </c>
      <c r="D955" s="184"/>
      <c r="E955" s="25">
        <f>_xlfn.XLOOKUP(C955,'H-MO'!B$7:B$30,'H-MO'!D$7:D$30,,0,1)</f>
        <v>1461.9374999999998</v>
      </c>
      <c r="F955" s="19">
        <v>1.0893913043478261E-2</v>
      </c>
      <c r="G955" s="33">
        <f t="shared" si="22"/>
        <v>15.926219999999997</v>
      </c>
    </row>
    <row r="956" spans="1:8">
      <c r="A956" s="211" t="s">
        <v>510</v>
      </c>
      <c r="B956" s="216" t="str">
        <f ca="1">_xlfn.CONCAT(B928,A956)</f>
        <v>307EA178-aa</v>
      </c>
      <c r="C956" s="24" t="s">
        <v>24</v>
      </c>
      <c r="D956" s="185"/>
      <c r="E956" s="25">
        <f>_xlfn.XLOOKUP(C956,'H-MO'!B$7:B$30,'H-MO'!D$7:D$30,,0,1)</f>
        <v>29238.749999999996</v>
      </c>
      <c r="F956" s="28">
        <v>1.8156521739130435E-4</v>
      </c>
      <c r="G956" s="33">
        <f t="shared" si="22"/>
        <v>5.3087399999999993</v>
      </c>
    </row>
    <row r="957" spans="1:8">
      <c r="A957" s="211" t="s">
        <v>511</v>
      </c>
      <c r="B957" s="216" t="str">
        <f ca="1">_xlfn.CONCAT(B928,A957)</f>
        <v>307EA178-ab</v>
      </c>
      <c r="C957" s="24" t="s">
        <v>25</v>
      </c>
      <c r="D957" s="185"/>
      <c r="E957" s="25">
        <f>_xlfn.XLOOKUP(C957,'H-MO'!B$7:B$30,'H-MO'!D$7:D$30,,0,1)</f>
        <v>2761.4374999999995</v>
      </c>
      <c r="F957" s="28">
        <v>0.05</v>
      </c>
      <c r="G957" s="33">
        <f t="shared" si="22"/>
        <v>138.07187499999998</v>
      </c>
    </row>
    <row r="958" spans="1:8">
      <c r="A958" s="211" t="s">
        <v>512</v>
      </c>
      <c r="B958" s="216" t="str">
        <f ca="1">_xlfn.CONCAT(B928,A958)</f>
        <v>307EA178-ac</v>
      </c>
      <c r="C958" s="24"/>
      <c r="D958" s="185"/>
      <c r="E958" s="29"/>
      <c r="F958" s="28"/>
      <c r="G958" s="33">
        <f t="shared" si="22"/>
        <v>0</v>
      </c>
    </row>
    <row r="959" spans="1:8" ht="14.25" thickBot="1">
      <c r="A959" s="211" t="s">
        <v>513</v>
      </c>
      <c r="B959" s="216" t="str">
        <f ca="1">_xlfn.CONCAT(B928,A959)</f>
        <v>307EA178-ad</v>
      </c>
      <c r="C959" s="24"/>
      <c r="D959" s="185"/>
      <c r="E959" s="29"/>
      <c r="F959" s="28"/>
      <c r="G959" s="33">
        <f t="shared" si="22"/>
        <v>0</v>
      </c>
    </row>
    <row r="960" spans="1:8" ht="16.5" customHeight="1" thickBot="1">
      <c r="A960" s="211" t="s">
        <v>514</v>
      </c>
      <c r="B960" s="216" t="str">
        <f ca="1">_xlfn.CONCAT(B928,A960)</f>
        <v>307EA178-ae</v>
      </c>
      <c r="C960" s="17"/>
      <c r="D960" s="192"/>
      <c r="E960" s="18"/>
      <c r="F960" s="22" t="s">
        <v>26</v>
      </c>
      <c r="G960" s="23">
        <f>SUM(G954:G959)</f>
        <v>281.13495999999998</v>
      </c>
    </row>
    <row r="961" spans="1:8" ht="28.5" customHeight="1" thickBot="1">
      <c r="A961" s="211" t="s">
        <v>515</v>
      </c>
      <c r="B961" s="216" t="str">
        <f ca="1">_xlfn.CONCAT(B928,A961)</f>
        <v>307EA178-af</v>
      </c>
      <c r="C961" s="10" t="s">
        <v>27</v>
      </c>
      <c r="D961" s="190"/>
      <c r="E961" s="11"/>
      <c r="F961" s="12"/>
      <c r="G961" s="13"/>
    </row>
    <row r="962" spans="1:8" s="47" customFormat="1" ht="23.25" customHeight="1" thickBot="1">
      <c r="A962" s="211" t="s">
        <v>516</v>
      </c>
      <c r="B962" s="216" t="str">
        <f ca="1">_xlfn.CONCAT(B928,A962)</f>
        <v>307EA178-ag</v>
      </c>
      <c r="C962" s="14" t="s">
        <v>1</v>
      </c>
      <c r="D962" s="15" t="s">
        <v>28</v>
      </c>
      <c r="E962" s="15" t="s">
        <v>20</v>
      </c>
      <c r="F962" s="16" t="s">
        <v>21</v>
      </c>
      <c r="G962" s="15" t="s">
        <v>5</v>
      </c>
      <c r="H962" s="215"/>
    </row>
    <row r="963" spans="1:8">
      <c r="A963" s="211" t="s">
        <v>517</v>
      </c>
      <c r="B963" s="216" t="str">
        <f ca="1">_xlfn.CONCAT(B928,A963)</f>
        <v>307EA178-ah</v>
      </c>
      <c r="C963" s="30" t="s">
        <v>29</v>
      </c>
      <c r="D963" s="186">
        <f>'H-MO'!$N$77</f>
        <v>725918.52892505517</v>
      </c>
      <c r="E963" s="31">
        <f>+D963/8</f>
        <v>90739.816115631897</v>
      </c>
      <c r="F963" s="32">
        <v>0.05</v>
      </c>
      <c r="G963" s="33">
        <f>+E963*F963</f>
        <v>4536.9908057815946</v>
      </c>
    </row>
    <row r="964" spans="1:8">
      <c r="A964" s="211" t="s">
        <v>518</v>
      </c>
      <c r="B964" s="216" t="str">
        <f ca="1">_xlfn.CONCAT(B928,A964)</f>
        <v>307EA178-ai</v>
      </c>
      <c r="C964" s="34" t="s">
        <v>30</v>
      </c>
      <c r="D964" s="187">
        <f>'H-MO'!$N$86</f>
        <v>685561.39085756091</v>
      </c>
      <c r="E964" s="29">
        <f>+D964/8</f>
        <v>85695.173857195114</v>
      </c>
      <c r="F964" s="28">
        <v>0</v>
      </c>
      <c r="G964" s="33">
        <f>+E964*F964</f>
        <v>0</v>
      </c>
    </row>
    <row r="965" spans="1:8" ht="14.25" thickBot="1">
      <c r="A965" s="211" t="s">
        <v>519</v>
      </c>
      <c r="B965" s="216" t="str">
        <f ca="1">_xlfn.CONCAT(B928,A965)</f>
        <v>307EA178-aj</v>
      </c>
      <c r="C965" s="34"/>
      <c r="D965" s="187"/>
      <c r="E965" s="29"/>
      <c r="F965" s="28"/>
      <c r="G965" s="33">
        <f>+E965*F965</f>
        <v>0</v>
      </c>
    </row>
    <row r="966" spans="1:8" ht="17.25" customHeight="1" thickBot="1">
      <c r="A966" s="211" t="s">
        <v>520</v>
      </c>
      <c r="B966" s="216" t="str">
        <f ca="1">_xlfn.CONCAT(B928,A966)</f>
        <v>307EA178-ak</v>
      </c>
      <c r="C966" s="34"/>
      <c r="D966" s="185"/>
      <c r="E966" s="26"/>
      <c r="F966" s="36" t="s">
        <v>31</v>
      </c>
      <c r="G966" s="23">
        <f>SUM(G963:G965)</f>
        <v>4536.9908057815946</v>
      </c>
    </row>
    <row r="967" spans="1:8" ht="14.25" thickBot="1">
      <c r="A967" s="211" t="s">
        <v>521</v>
      </c>
      <c r="B967" s="216" t="str">
        <f ca="1">_xlfn.CONCAT(B928,A967)</f>
        <v>307EA178-al</v>
      </c>
      <c r="C967" s="37"/>
      <c r="E967" s="38"/>
      <c r="F967" s="22"/>
      <c r="G967" s="39"/>
    </row>
    <row r="968" spans="1:8" ht="23.25" customHeight="1" thickBot="1">
      <c r="A968" s="211" t="s">
        <v>522</v>
      </c>
      <c r="B968" s="216" t="str">
        <f ca="1">_xlfn.CONCAT(B928,A968)</f>
        <v>307EA178-am</v>
      </c>
      <c r="C968" s="40"/>
      <c r="D968" s="193"/>
      <c r="E968" s="41"/>
      <c r="F968" s="42"/>
      <c r="G968" s="43">
        <f>+G951+G960+G966</f>
        <v>10357.625765781595</v>
      </c>
    </row>
    <row r="969" spans="1:8" ht="21" customHeight="1" thickBot="1">
      <c r="B969" s="212" t="s">
        <v>550</v>
      </c>
      <c r="C969" s="2"/>
      <c r="D969" s="183"/>
      <c r="F969" s="4"/>
      <c r="G969" s="5"/>
    </row>
    <row r="970" spans="1:8" s="45" customFormat="1" ht="34.5" customHeight="1">
      <c r="A970" s="213"/>
      <c r="B970" s="214">
        <v>23</v>
      </c>
      <c r="C970" s="242" t="str">
        <f ca="1">_xlfn.XLOOKUP(B970,Cantidades!$A$10:$A$314,Cantidades!$C$10:$C$314,,0,1)</f>
        <v>Suministro e instalación de tubería EMT 3/4"</v>
      </c>
      <c r="D970" s="243"/>
      <c r="E970" s="243"/>
      <c r="F970" s="243"/>
      <c r="G970" s="244"/>
      <c r="H970" s="213"/>
    </row>
    <row r="971" spans="1:8" s="47" customFormat="1" ht="24.95" customHeight="1" thickBot="1">
      <c r="A971" s="215"/>
      <c r="B971" s="216" t="s">
        <v>550</v>
      </c>
      <c r="C971" s="177"/>
      <c r="D971" s="189"/>
      <c r="E971" s="178"/>
      <c r="F971" s="179" t="s">
        <v>636</v>
      </c>
      <c r="G971" s="209" t="str">
        <f ca="1">B972</f>
        <v>20D1A895-</v>
      </c>
      <c r="H971" s="215"/>
    </row>
    <row r="972" spans="1:8" ht="28.5" customHeight="1" thickBot="1">
      <c r="B972" s="212" t="str">
        <f ca="1">_xlfn.XLOOKUP(C970,Cantidades!$C$1:$C$314,Cantidades!$B$1:$B$314,"",0,1)</f>
        <v>20D1A895-</v>
      </c>
      <c r="C972" s="10" t="s">
        <v>0</v>
      </c>
      <c r="D972" s="190"/>
      <c r="E972" s="11"/>
      <c r="F972" s="12"/>
      <c r="G972" s="13"/>
    </row>
    <row r="973" spans="1:8" s="47" customFormat="1" ht="23.25" customHeight="1" thickBot="1">
      <c r="A973" s="215"/>
      <c r="B973" s="216" t="s">
        <v>550</v>
      </c>
      <c r="C973" s="14" t="s">
        <v>1</v>
      </c>
      <c r="D973" s="15" t="s">
        <v>2</v>
      </c>
      <c r="E973" s="15" t="s">
        <v>3</v>
      </c>
      <c r="F973" s="16" t="s">
        <v>4</v>
      </c>
      <c r="G973" s="15" t="s">
        <v>5</v>
      </c>
      <c r="H973" s="215"/>
    </row>
    <row r="974" spans="1:8" ht="15">
      <c r="A974" s="211" t="s">
        <v>484</v>
      </c>
      <c r="B974" s="216" t="str">
        <f ca="1">_xlfn.CONCAT(B972,A974)</f>
        <v>20D1A895-A</v>
      </c>
      <c r="C974" s="17" t="str">
        <f>_xlfn.XLOOKUP(H974,'Materiales unitario'!$A$1:$A$2500,'Materiales unitario'!B$1:B$2500,,0,1)</f>
        <v>Tubo metálico ø3/4" EMT</v>
      </c>
      <c r="D974" s="184" t="str">
        <f>_xlfn.XLOOKUP(H974,'Materiales unitario'!A$1:A$2500,'Materiales unitario'!C$1:C$2500,,0,1)</f>
        <v>ml</v>
      </c>
      <c r="E974" s="197">
        <f>_xlfn.XLOOKUP(H974,'Materiales unitario'!$A$1:$A$2500,'Materiales unitario'!D$1:D$2500,,0,1)</f>
        <v>11733</v>
      </c>
      <c r="F974" s="19">
        <v>1.05</v>
      </c>
      <c r="G974" s="20">
        <f>+E974*F974</f>
        <v>12319.65</v>
      </c>
      <c r="H974" s="217" t="s">
        <v>388</v>
      </c>
    </row>
    <row r="975" spans="1:8" ht="15">
      <c r="A975" s="211" t="s">
        <v>485</v>
      </c>
      <c r="B975" s="216" t="str">
        <f ca="1">_xlfn.CONCAT(B972,A975)</f>
        <v>20D1A895-B</v>
      </c>
      <c r="C975" s="17" t="str">
        <f>_xlfn.XLOOKUP(H975,'Materiales unitario'!$A$1:$A$2500,'Materiales unitario'!B$1:B$2500,,0,1)</f>
        <v>Unión metálica ø3/4" EMT</v>
      </c>
      <c r="D975" s="184" t="str">
        <f>_xlfn.XLOOKUP(H975,'Materiales unitario'!A$1:A$2500,'Materiales unitario'!C$1:C$2500,,0,1)</f>
        <v>un</v>
      </c>
      <c r="E975" s="197">
        <f>_xlfn.XLOOKUP(H975,'Materiales unitario'!$A$1:$A$2500,'Materiales unitario'!D$1:D$2500,,0,1)</f>
        <v>1800</v>
      </c>
      <c r="F975" s="19">
        <v>0.4</v>
      </c>
      <c r="G975" s="20">
        <f>+E975*F975</f>
        <v>720</v>
      </c>
      <c r="H975" s="217" t="s">
        <v>392</v>
      </c>
    </row>
    <row r="976" spans="1:8" ht="15">
      <c r="A976" s="211" t="s">
        <v>486</v>
      </c>
      <c r="B976" s="216" t="str">
        <f ca="1">_xlfn.CONCAT(B972,A976)</f>
        <v>20D1A895-C</v>
      </c>
      <c r="C976" s="17" t="str">
        <f>_xlfn.XLOOKUP(H976,'Materiales unitario'!$A$1:$A$2500,'Materiales unitario'!B$1:B$2500,,0,1)</f>
        <v xml:space="preserve">Terminal metálico ø3/4" EMT </v>
      </c>
      <c r="D976" s="184" t="str">
        <f>_xlfn.XLOOKUP(H976,'Materiales unitario'!A$1:A$2500,'Materiales unitario'!C$1:C$2500,,0,1)</f>
        <v>un</v>
      </c>
      <c r="E976" s="197">
        <f>_xlfn.XLOOKUP(H976,'Materiales unitario'!$A$1:$A$2500,'Materiales unitario'!D$1:D$2500,,0,1)</f>
        <v>2200</v>
      </c>
      <c r="F976" s="19">
        <v>0.1</v>
      </c>
      <c r="G976" s="20">
        <f>+E976*F976</f>
        <v>220</v>
      </c>
      <c r="H976" s="217" t="s">
        <v>371</v>
      </c>
    </row>
    <row r="977" spans="1:8" ht="15">
      <c r="A977" s="211" t="s">
        <v>487</v>
      </c>
      <c r="B977" s="216" t="str">
        <f ca="1">_xlfn.CONCAT(B972,A977)</f>
        <v>20D1A895-D</v>
      </c>
      <c r="C977" s="17" t="str">
        <f>_xlfn.XLOOKUP(H977,'Materiales unitario'!$A$1:$A$2500,'Materiales unitario'!B$1:B$2500,,0,1)</f>
        <v>Accesorios de anclaje y fijacion.</v>
      </c>
      <c r="D977" s="184" t="str">
        <f>_xlfn.XLOOKUP(H977,'Materiales unitario'!A$1:A$2500,'Materiales unitario'!C$1:C$2500,,0,1)</f>
        <v>un</v>
      </c>
      <c r="E977" s="197">
        <f>_xlfn.XLOOKUP(H977,'Materiales unitario'!$A$1:$A$2500,'Materiales unitario'!D$1:D$2500,,0,1)</f>
        <v>10000</v>
      </c>
      <c r="F977" s="19">
        <v>0.25</v>
      </c>
      <c r="G977" s="20">
        <f>+E977*F977</f>
        <v>2500</v>
      </c>
      <c r="H977" s="217" t="s">
        <v>222</v>
      </c>
    </row>
    <row r="978" spans="1:8" ht="15">
      <c r="A978" s="211" t="s">
        <v>488</v>
      </c>
      <c r="B978" s="216" t="str">
        <f ca="1">_xlfn.CONCAT(B972,A978)</f>
        <v>20D1A895-E</v>
      </c>
      <c r="C978" s="17"/>
      <c r="D978" s="184"/>
      <c r="E978" s="197"/>
      <c r="F978" s="19"/>
      <c r="G978" s="20"/>
      <c r="H978" s="217"/>
    </row>
    <row r="979" spans="1:8" ht="15">
      <c r="A979" s="211" t="s">
        <v>489</v>
      </c>
      <c r="B979" s="216" t="str">
        <f ca="1">_xlfn.CONCAT(B972,A979)</f>
        <v>20D1A895-F</v>
      </c>
      <c r="C979" s="17"/>
      <c r="D979" s="184"/>
      <c r="E979" s="197"/>
      <c r="F979" s="19"/>
      <c r="G979" s="20"/>
      <c r="H979" s="217"/>
    </row>
    <row r="980" spans="1:8">
      <c r="A980" s="211" t="s">
        <v>490</v>
      </c>
      <c r="B980" s="216" t="str">
        <f ca="1">_xlfn.CONCAT(B972,A980)</f>
        <v>20D1A895-G</v>
      </c>
      <c r="C980" s="17"/>
      <c r="D980" s="184"/>
      <c r="E980" s="197"/>
      <c r="F980" s="19"/>
      <c r="G980" s="20"/>
    </row>
    <row r="981" spans="1:8">
      <c r="A981" s="211" t="s">
        <v>491</v>
      </c>
      <c r="B981" s="216" t="str">
        <f ca="1">_xlfn.CONCAT(B972,A981)</f>
        <v>20D1A895-H</v>
      </c>
      <c r="C981" s="17"/>
      <c r="D981" s="184"/>
      <c r="E981" s="197"/>
      <c r="F981" s="19"/>
      <c r="G981" s="20"/>
    </row>
    <row r="982" spans="1:8">
      <c r="A982" s="211" t="s">
        <v>492</v>
      </c>
      <c r="B982" s="216" t="str">
        <f ca="1">_xlfn.CONCAT(B972,A982)</f>
        <v>20D1A895-I</v>
      </c>
      <c r="C982" s="17"/>
      <c r="D982" s="184"/>
      <c r="E982" s="197"/>
      <c r="F982" s="19"/>
      <c r="G982" s="20"/>
    </row>
    <row r="983" spans="1:8">
      <c r="A983" s="211" t="s">
        <v>493</v>
      </c>
      <c r="B983" s="216" t="str">
        <f ca="1">_xlfn.CONCAT(B972,A983)</f>
        <v>20D1A895-J</v>
      </c>
      <c r="C983" s="17"/>
      <c r="D983" s="184"/>
      <c r="E983" s="197"/>
      <c r="F983" s="19"/>
      <c r="G983" s="20"/>
    </row>
    <row r="984" spans="1:8">
      <c r="A984" s="211" t="s">
        <v>494</v>
      </c>
      <c r="B984" s="216" t="str">
        <f ca="1">_xlfn.CONCAT(B972,A984)</f>
        <v>20D1A895-K</v>
      </c>
      <c r="C984" s="17"/>
      <c r="D984" s="184"/>
      <c r="E984" s="197"/>
      <c r="F984" s="19"/>
      <c r="G984" s="20"/>
    </row>
    <row r="985" spans="1:8">
      <c r="A985" s="211" t="s">
        <v>495</v>
      </c>
      <c r="B985" s="216" t="str">
        <f ca="1">_xlfn.CONCAT(B972,A985)</f>
        <v>20D1A895-L</v>
      </c>
      <c r="C985" s="17"/>
      <c r="D985" s="184"/>
      <c r="E985" s="197"/>
      <c r="F985" s="19"/>
      <c r="G985" s="20"/>
    </row>
    <row r="986" spans="1:8">
      <c r="A986" s="211" t="s">
        <v>496</v>
      </c>
      <c r="B986" s="216" t="str">
        <f ca="1">_xlfn.CONCAT(B972,A986)</f>
        <v>20D1A895-M</v>
      </c>
      <c r="C986" s="17"/>
      <c r="D986" s="184"/>
      <c r="E986" s="197"/>
      <c r="F986" s="19"/>
      <c r="G986" s="20"/>
    </row>
    <row r="987" spans="1:8">
      <c r="A987" s="211" t="s">
        <v>497</v>
      </c>
      <c r="B987" s="216" t="str">
        <f ca="1">_xlfn.CONCAT(B972,A987)</f>
        <v>20D1A895-N</v>
      </c>
      <c r="C987" s="17"/>
      <c r="D987" s="184"/>
      <c r="E987" s="197"/>
      <c r="F987" s="19"/>
      <c r="G987" s="20"/>
    </row>
    <row r="988" spans="1:8">
      <c r="A988" s="211" t="s">
        <v>498</v>
      </c>
      <c r="B988" s="216" t="str">
        <f ca="1">_xlfn.CONCAT(B972,A988)</f>
        <v>20D1A895-O</v>
      </c>
      <c r="C988" s="17"/>
      <c r="D988" s="184"/>
      <c r="E988" s="197"/>
      <c r="F988" s="19"/>
      <c r="G988" s="20"/>
    </row>
    <row r="989" spans="1:8">
      <c r="A989" s="211" t="s">
        <v>499</v>
      </c>
      <c r="B989" s="216" t="str">
        <f ca="1">_xlfn.CONCAT(B972,A989)</f>
        <v>20D1A895-P</v>
      </c>
      <c r="C989" s="17"/>
      <c r="D989" s="184"/>
      <c r="E989" s="197"/>
      <c r="F989" s="19"/>
      <c r="G989" s="20"/>
    </row>
    <row r="990" spans="1:8">
      <c r="A990" s="211" t="s">
        <v>500</v>
      </c>
      <c r="B990" s="216" t="str">
        <f ca="1">_xlfn.CONCAT(B972,A990)</f>
        <v>20D1A895-Q</v>
      </c>
      <c r="C990" s="17"/>
      <c r="D990" s="184"/>
      <c r="E990" s="197"/>
      <c r="F990" s="19"/>
      <c r="G990" s="20"/>
    </row>
    <row r="991" spans="1:8">
      <c r="A991" s="211" t="s">
        <v>501</v>
      </c>
      <c r="B991" s="216" t="str">
        <f ca="1">_xlfn.CONCAT(B972,A991)</f>
        <v>20D1A895-R</v>
      </c>
      <c r="C991" s="17"/>
      <c r="D991" s="184"/>
      <c r="E991" s="197"/>
      <c r="F991" s="19"/>
      <c r="G991" s="20"/>
    </row>
    <row r="992" spans="1:8">
      <c r="A992" s="211" t="s">
        <v>502</v>
      </c>
      <c r="B992" s="216" t="str">
        <f ca="1">_xlfn.CONCAT(B972,A992)</f>
        <v>20D1A895-S</v>
      </c>
      <c r="C992" s="17"/>
      <c r="D992" s="184"/>
      <c r="E992" s="197"/>
      <c r="F992" s="19"/>
      <c r="G992" s="20"/>
    </row>
    <row r="993" spans="1:8">
      <c r="A993" s="211" t="s">
        <v>503</v>
      </c>
      <c r="B993" s="216" t="str">
        <f ca="1">_xlfn.CONCAT(B972,A993)</f>
        <v>20D1A895-T</v>
      </c>
      <c r="C993" s="17"/>
      <c r="D993" s="184"/>
      <c r="E993" s="197"/>
      <c r="F993" s="19"/>
      <c r="G993" s="20"/>
    </row>
    <row r="994" spans="1:8" ht="14.25" thickBot="1">
      <c r="A994" s="211" t="s">
        <v>504</v>
      </c>
      <c r="B994" s="216" t="str">
        <f ca="1">_xlfn.CONCAT(B972,A994)</f>
        <v>20D1A895-U</v>
      </c>
      <c r="C994" s="17"/>
      <c r="D994" s="184"/>
      <c r="E994" s="197"/>
      <c r="F994" s="19"/>
      <c r="G994" s="20"/>
    </row>
    <row r="995" spans="1:8" ht="16.5" customHeight="1" thickBot="1">
      <c r="A995" s="211" t="s">
        <v>505</v>
      </c>
      <c r="B995" s="216" t="str">
        <f ca="1">_xlfn.CONCAT(B972,A995)</f>
        <v>20D1A895-V</v>
      </c>
      <c r="C995" s="17" t="s">
        <v>17</v>
      </c>
      <c r="D995" s="192" t="s">
        <v>17</v>
      </c>
      <c r="E995" s="18"/>
      <c r="F995" s="22" t="s">
        <v>18</v>
      </c>
      <c r="G995" s="23">
        <f>SUM(G974:G994)</f>
        <v>15759.65</v>
      </c>
    </row>
    <row r="996" spans="1:8" ht="28.5" customHeight="1" thickBot="1">
      <c r="A996" s="211" t="s">
        <v>506</v>
      </c>
      <c r="B996" s="216" t="str">
        <f ca="1">_xlfn.CONCAT(B972,A996)</f>
        <v>20D1A895-W</v>
      </c>
      <c r="C996" s="10" t="s">
        <v>19</v>
      </c>
      <c r="D996" s="190"/>
      <c r="E996" s="11"/>
      <c r="F996" s="12"/>
      <c r="G996" s="13"/>
    </row>
    <row r="997" spans="1:8" s="47" customFormat="1" ht="23.25" customHeight="1" thickBot="1">
      <c r="A997" s="211" t="s">
        <v>507</v>
      </c>
      <c r="B997" s="216" t="str">
        <f ca="1">_xlfn.CONCAT(B972,A997)</f>
        <v>20D1A895-X</v>
      </c>
      <c r="C997" s="14" t="s">
        <v>1</v>
      </c>
      <c r="D997" s="15"/>
      <c r="E997" s="15" t="s">
        <v>20</v>
      </c>
      <c r="F997" s="16" t="s">
        <v>21</v>
      </c>
      <c r="G997" s="15" t="s">
        <v>5</v>
      </c>
      <c r="H997" s="215"/>
    </row>
    <row r="998" spans="1:8">
      <c r="A998" s="211" t="s">
        <v>508</v>
      </c>
      <c r="B998" s="216" t="str">
        <f ca="1">_xlfn.CONCAT(B972,A998)</f>
        <v>20D1A895-Y</v>
      </c>
      <c r="C998" s="24" t="s">
        <v>22</v>
      </c>
      <c r="D998" s="184"/>
      <c r="E998" s="25">
        <f>_xlfn.XLOOKUP(C998,'H-MO'!B$7:B$30,'H-MO'!D$7:D$30,,0,1)</f>
        <v>2436.5624999999995</v>
      </c>
      <c r="F998" s="19">
        <v>0.3</v>
      </c>
      <c r="G998" s="33">
        <f t="shared" ref="G998:G1003" si="23">+E998*F998</f>
        <v>730.96874999999989</v>
      </c>
    </row>
    <row r="999" spans="1:8">
      <c r="A999" s="211" t="s">
        <v>509</v>
      </c>
      <c r="B999" s="216" t="str">
        <f ca="1">_xlfn.CONCAT(B972,A999)</f>
        <v>20D1A895-Z</v>
      </c>
      <c r="C999" s="24" t="s">
        <v>23</v>
      </c>
      <c r="D999" s="184"/>
      <c r="E999" s="25">
        <f>_xlfn.XLOOKUP(C999,'H-MO'!B$7:B$30,'H-MO'!D$7:D$30,,0,1)</f>
        <v>1461.9374999999998</v>
      </c>
      <c r="F999" s="19">
        <v>0.1</v>
      </c>
      <c r="G999" s="33">
        <f t="shared" si="23"/>
        <v>146.19374999999999</v>
      </c>
    </row>
    <row r="1000" spans="1:8">
      <c r="A1000" s="211" t="s">
        <v>510</v>
      </c>
      <c r="B1000" s="216" t="str">
        <f ca="1">_xlfn.CONCAT(B972,A1000)</f>
        <v>20D1A895-aa</v>
      </c>
      <c r="C1000" s="24" t="s">
        <v>24</v>
      </c>
      <c r="D1000" s="185"/>
      <c r="E1000" s="25">
        <f>_xlfn.XLOOKUP(C1000,'H-MO'!B$7:B$30,'H-MO'!D$7:D$30,,0,1)</f>
        <v>29238.749999999996</v>
      </c>
      <c r="F1000" s="28">
        <v>1.4999999999999999E-2</v>
      </c>
      <c r="G1000" s="33">
        <f t="shared" si="23"/>
        <v>438.58124999999995</v>
      </c>
    </row>
    <row r="1001" spans="1:8">
      <c r="A1001" s="211" t="s">
        <v>511</v>
      </c>
      <c r="B1001" s="216" t="str">
        <f ca="1">_xlfn.CONCAT(B972,A1001)</f>
        <v>20D1A895-ab</v>
      </c>
      <c r="C1001" s="24" t="s">
        <v>25</v>
      </c>
      <c r="D1001" s="185"/>
      <c r="E1001" s="25">
        <f>_xlfn.XLOOKUP(C1001,'H-MO'!B$7:B$30,'H-MO'!D$7:D$30,,0,1)</f>
        <v>2761.4374999999995</v>
      </c>
      <c r="F1001" s="28">
        <v>0.1</v>
      </c>
      <c r="G1001" s="33">
        <f t="shared" si="23"/>
        <v>276.14374999999995</v>
      </c>
    </row>
    <row r="1002" spans="1:8">
      <c r="A1002" s="211" t="s">
        <v>512</v>
      </c>
      <c r="B1002" s="216" t="str">
        <f ca="1">_xlfn.CONCAT(B972,A1002)</f>
        <v>20D1A895-ac</v>
      </c>
      <c r="C1002" s="24"/>
      <c r="D1002" s="185"/>
      <c r="E1002" s="29"/>
      <c r="F1002" s="28"/>
      <c r="G1002" s="33">
        <f t="shared" si="23"/>
        <v>0</v>
      </c>
    </row>
    <row r="1003" spans="1:8" ht="14.25" thickBot="1">
      <c r="A1003" s="211" t="s">
        <v>513</v>
      </c>
      <c r="B1003" s="216" t="str">
        <f ca="1">_xlfn.CONCAT(B972,A1003)</f>
        <v>20D1A895-ad</v>
      </c>
      <c r="C1003" s="24"/>
      <c r="D1003" s="185"/>
      <c r="E1003" s="29"/>
      <c r="F1003" s="28"/>
      <c r="G1003" s="33">
        <f t="shared" si="23"/>
        <v>0</v>
      </c>
    </row>
    <row r="1004" spans="1:8" ht="16.5" customHeight="1" thickBot="1">
      <c r="A1004" s="211" t="s">
        <v>514</v>
      </c>
      <c r="B1004" s="216" t="str">
        <f ca="1">_xlfn.CONCAT(B972,A1004)</f>
        <v>20D1A895-ae</v>
      </c>
      <c r="C1004" s="17"/>
      <c r="D1004" s="192"/>
      <c r="E1004" s="18"/>
      <c r="F1004" s="22" t="s">
        <v>26</v>
      </c>
      <c r="G1004" s="23">
        <f>SUM(G998:G1003)</f>
        <v>1591.8874999999998</v>
      </c>
    </row>
    <row r="1005" spans="1:8" ht="28.5" customHeight="1" thickBot="1">
      <c r="A1005" s="211" t="s">
        <v>515</v>
      </c>
      <c r="B1005" s="216" t="str">
        <f ca="1">_xlfn.CONCAT(B972,A1005)</f>
        <v>20D1A895-af</v>
      </c>
      <c r="C1005" s="10" t="s">
        <v>27</v>
      </c>
      <c r="D1005" s="190"/>
      <c r="E1005" s="11"/>
      <c r="F1005" s="12"/>
      <c r="G1005" s="13"/>
    </row>
    <row r="1006" spans="1:8" s="47" customFormat="1" ht="23.25" customHeight="1" thickBot="1">
      <c r="A1006" s="211" t="s">
        <v>516</v>
      </c>
      <c r="B1006" s="216" t="str">
        <f ca="1">_xlfn.CONCAT(B972,A1006)</f>
        <v>20D1A895-ag</v>
      </c>
      <c r="C1006" s="14" t="s">
        <v>1</v>
      </c>
      <c r="D1006" s="15" t="s">
        <v>28</v>
      </c>
      <c r="E1006" s="15" t="s">
        <v>20</v>
      </c>
      <c r="F1006" s="16" t="s">
        <v>21</v>
      </c>
      <c r="G1006" s="15" t="s">
        <v>5</v>
      </c>
      <c r="H1006" s="215"/>
    </row>
    <row r="1007" spans="1:8">
      <c r="A1007" s="211" t="s">
        <v>517</v>
      </c>
      <c r="B1007" s="216" t="str">
        <f ca="1">_xlfn.CONCAT(B972,A1007)</f>
        <v>20D1A895-ah</v>
      </c>
      <c r="C1007" s="30" t="s">
        <v>29</v>
      </c>
      <c r="D1007" s="186">
        <f>'H-MO'!$N$77</f>
        <v>725918.52892505517</v>
      </c>
      <c r="E1007" s="31">
        <f>+D1007/8</f>
        <v>90739.816115631897</v>
      </c>
      <c r="F1007" s="32">
        <v>0.17</v>
      </c>
      <c r="G1007" s="33">
        <f>+E1007*F1007</f>
        <v>15425.768739657424</v>
      </c>
    </row>
    <row r="1008" spans="1:8">
      <c r="A1008" s="211" t="s">
        <v>518</v>
      </c>
      <c r="B1008" s="216" t="str">
        <f ca="1">_xlfn.CONCAT(B972,A1008)</f>
        <v>20D1A895-ai</v>
      </c>
      <c r="C1008" s="34" t="s">
        <v>30</v>
      </c>
      <c r="D1008" s="187">
        <f>'H-MO'!$N$86</f>
        <v>685561.39085756091</v>
      </c>
      <c r="E1008" s="29">
        <f>+D1008/8</f>
        <v>85695.173857195114</v>
      </c>
      <c r="F1008" s="28">
        <v>0</v>
      </c>
      <c r="G1008" s="33">
        <f>+E1008*F1008</f>
        <v>0</v>
      </c>
    </row>
    <row r="1009" spans="1:8" ht="14.25" thickBot="1">
      <c r="A1009" s="211" t="s">
        <v>519</v>
      </c>
      <c r="B1009" s="216" t="str">
        <f ca="1">_xlfn.CONCAT(B972,A1009)</f>
        <v>20D1A895-aj</v>
      </c>
      <c r="C1009" s="34"/>
      <c r="D1009" s="187"/>
      <c r="E1009" s="29"/>
      <c r="F1009" s="28"/>
      <c r="G1009" s="33">
        <f>+E1009*F1009</f>
        <v>0</v>
      </c>
    </row>
    <row r="1010" spans="1:8" ht="17.25" customHeight="1" thickBot="1">
      <c r="A1010" s="211" t="s">
        <v>520</v>
      </c>
      <c r="B1010" s="216" t="str">
        <f ca="1">_xlfn.CONCAT(B972,A1010)</f>
        <v>20D1A895-ak</v>
      </c>
      <c r="C1010" s="34"/>
      <c r="D1010" s="185"/>
      <c r="E1010" s="26"/>
      <c r="F1010" s="36" t="s">
        <v>31</v>
      </c>
      <c r="G1010" s="23">
        <f>SUM(G1007:G1009)</f>
        <v>15425.768739657424</v>
      </c>
    </row>
    <row r="1011" spans="1:8" ht="14.25" thickBot="1">
      <c r="A1011" s="211" t="s">
        <v>521</v>
      </c>
      <c r="B1011" s="216" t="str">
        <f ca="1">_xlfn.CONCAT(B972,A1011)</f>
        <v>20D1A895-al</v>
      </c>
      <c r="C1011" s="37"/>
      <c r="E1011" s="38"/>
      <c r="F1011" s="22"/>
      <c r="G1011" s="39"/>
    </row>
    <row r="1012" spans="1:8" ht="23.25" customHeight="1" thickBot="1">
      <c r="A1012" s="211" t="s">
        <v>522</v>
      </c>
      <c r="B1012" s="216" t="str">
        <f ca="1">_xlfn.CONCAT(B972,A1012)</f>
        <v>20D1A895-am</v>
      </c>
      <c r="C1012" s="40"/>
      <c r="D1012" s="193"/>
      <c r="E1012" s="41"/>
      <c r="F1012" s="42"/>
      <c r="G1012" s="43">
        <f>+G995+G1004+G1010</f>
        <v>32777.306239657424</v>
      </c>
    </row>
    <row r="1013" spans="1:8" ht="21" customHeight="1" thickBot="1">
      <c r="B1013" s="212" t="s">
        <v>550</v>
      </c>
      <c r="C1013" s="2"/>
      <c r="D1013" s="183"/>
      <c r="F1013" s="4"/>
      <c r="G1013" s="5"/>
    </row>
    <row r="1014" spans="1:8" s="45" customFormat="1" ht="34.5" customHeight="1">
      <c r="A1014" s="213"/>
      <c r="B1014" s="214">
        <v>24</v>
      </c>
      <c r="C1014" s="242" t="str">
        <f ca="1">_xlfn.XLOOKUP(B1014,Cantidades!$A$10:$A$314,Cantidades!$C$10:$C$314,,0,1)</f>
        <v>Suministro e instalación de canaleta metálica 10x5 cm con separador. Incluye canaleta y demás accesorios para su correcta instalación,  fincionamiento y señalización.</v>
      </c>
      <c r="D1014" s="243"/>
      <c r="E1014" s="243"/>
      <c r="F1014" s="243"/>
      <c r="G1014" s="244"/>
      <c r="H1014" s="213"/>
    </row>
    <row r="1015" spans="1:8" s="47" customFormat="1" ht="24.95" customHeight="1" thickBot="1">
      <c r="A1015" s="215"/>
      <c r="B1015" s="216" t="s">
        <v>550</v>
      </c>
      <c r="C1015" s="177"/>
      <c r="D1015" s="189"/>
      <c r="E1015" s="178"/>
      <c r="F1015" s="179" t="s">
        <v>636</v>
      </c>
      <c r="G1015" s="209" t="str">
        <f ca="1">B1016</f>
        <v>97DEC52-</v>
      </c>
      <c r="H1015" s="215"/>
    </row>
    <row r="1016" spans="1:8" ht="28.5" customHeight="1" thickBot="1">
      <c r="B1016" s="212" t="str">
        <f ca="1">_xlfn.XLOOKUP(C1014,Cantidades!$C$1:$C$314,Cantidades!$B$1:$B$314,"",0,1)</f>
        <v>97DEC52-</v>
      </c>
      <c r="C1016" s="10" t="s">
        <v>0</v>
      </c>
      <c r="D1016" s="190"/>
      <c r="E1016" s="11"/>
      <c r="F1016" s="12"/>
      <c r="G1016" s="13"/>
    </row>
    <row r="1017" spans="1:8" s="47" customFormat="1" ht="23.25" customHeight="1" thickBot="1">
      <c r="A1017" s="215"/>
      <c r="B1017" s="216" t="s">
        <v>550</v>
      </c>
      <c r="C1017" s="14" t="s">
        <v>1</v>
      </c>
      <c r="D1017" s="15" t="s">
        <v>2</v>
      </c>
      <c r="E1017" s="15" t="s">
        <v>3</v>
      </c>
      <c r="F1017" s="16" t="s">
        <v>4</v>
      </c>
      <c r="G1017" s="15" t="s">
        <v>5</v>
      </c>
      <c r="H1017" s="215"/>
    </row>
    <row r="1018" spans="1:8" ht="15">
      <c r="A1018" s="211" t="s">
        <v>484</v>
      </c>
      <c r="B1018" s="216" t="str">
        <f ca="1">_xlfn.CONCAT(B1016,A1018)</f>
        <v>97DEC52-A</v>
      </c>
      <c r="C1018" s="17" t="str">
        <f>_xlfn.XLOOKUP(H1018,'Materiales unitario'!$A$1:$A$2500,'Materiales unitario'!B$1:B$2500,,0,1)</f>
        <v>Canaleta de 10x5 cm con division x 2,4 mts.</v>
      </c>
      <c r="D1018" s="184" t="str">
        <f>_xlfn.XLOOKUP(H1018,'Materiales unitario'!A$1:A$2500,'Materiales unitario'!C$1:C$2500,,0,1)</f>
        <v>ml</v>
      </c>
      <c r="E1018" s="197">
        <f>_xlfn.XLOOKUP(H1018,'Materiales unitario'!$A$1:$A$2500,'Materiales unitario'!D$1:D$2500,,0,1)</f>
        <v>55291.666666666672</v>
      </c>
      <c r="F1018" s="19">
        <v>1.05</v>
      </c>
      <c r="G1018" s="20">
        <f>+E1018*F1018</f>
        <v>58056.250000000007</v>
      </c>
      <c r="H1018" s="217" t="s">
        <v>587</v>
      </c>
    </row>
    <row r="1019" spans="1:8" ht="15">
      <c r="A1019" s="211" t="s">
        <v>485</v>
      </c>
      <c r="B1019" s="216" t="str">
        <f ca="1">_xlfn.CONCAT(B1016,A1019)</f>
        <v>97DEC52-B</v>
      </c>
      <c r="C1019" s="17" t="str">
        <f>_xlfn.XLOOKUP(H1019,'Materiales unitario'!$A$1:$A$2500,'Materiales unitario'!B$1:B$2500,,0,1)</f>
        <v>Accesorios de anclaje y fijacion.</v>
      </c>
      <c r="D1019" s="184" t="str">
        <f>_xlfn.XLOOKUP(H1019,'Materiales unitario'!A$1:A$2500,'Materiales unitario'!C$1:C$2500,,0,1)</f>
        <v>un</v>
      </c>
      <c r="E1019" s="197">
        <f>_xlfn.XLOOKUP(H1019,'Materiales unitario'!$A$1:$A$2500,'Materiales unitario'!D$1:D$2500,,0,1)</f>
        <v>10000</v>
      </c>
      <c r="F1019" s="19">
        <v>0.125</v>
      </c>
      <c r="G1019" s="20">
        <f>+E1019*F1019</f>
        <v>1250</v>
      </c>
      <c r="H1019" s="217" t="s">
        <v>222</v>
      </c>
    </row>
    <row r="1020" spans="1:8" ht="15">
      <c r="A1020" s="211" t="s">
        <v>486</v>
      </c>
      <c r="B1020" s="216" t="str">
        <f ca="1">_xlfn.CONCAT(B1016,A1020)</f>
        <v>97DEC52-C</v>
      </c>
      <c r="C1020" s="17" t="str">
        <f>_xlfn.XLOOKUP(H1020,'Materiales unitario'!$A$1:$A$2500,'Materiales unitario'!B$1:B$2500,,0,1)</f>
        <v>Troquel para canaleta metalica</v>
      </c>
      <c r="D1020" s="184" t="str">
        <f>_xlfn.XLOOKUP(H1020,'Materiales unitario'!A$1:A$2500,'Materiales unitario'!C$1:C$2500,,0,1)</f>
        <v>un</v>
      </c>
      <c r="E1020" s="197">
        <f>_xlfn.XLOOKUP(H1020,'Materiales unitario'!$A$1:$A$2500,'Materiales unitario'!D$1:D$2500,,0,1)</f>
        <v>5800</v>
      </c>
      <c r="F1020" s="19">
        <v>0.2</v>
      </c>
      <c r="G1020" s="20">
        <f>+E1020*F1020</f>
        <v>1160</v>
      </c>
      <c r="H1020" s="217" t="s">
        <v>589</v>
      </c>
    </row>
    <row r="1021" spans="1:8" ht="15">
      <c r="A1021" s="211" t="s">
        <v>487</v>
      </c>
      <c r="B1021" s="216" t="str">
        <f ca="1">_xlfn.CONCAT(B1016,A1021)</f>
        <v>97DEC52-D</v>
      </c>
      <c r="C1021" s="17" t="str">
        <f>_xlfn.XLOOKUP(H1021,'Materiales unitario'!$A$1:$A$2500,'Materiales unitario'!B$1:B$2500,,0,1)</f>
        <v>Marquillas para circuito</v>
      </c>
      <c r="D1021" s="184" t="str">
        <f>_xlfn.XLOOKUP(H1021,'Materiales unitario'!A$1:A$2500,'Materiales unitario'!C$1:C$2500,,0,1)</f>
        <v>un</v>
      </c>
      <c r="E1021" s="197">
        <f>_xlfn.XLOOKUP(H1021,'Materiales unitario'!$A$1:$A$2500,'Materiales unitario'!D$1:D$2500,,0,1)</f>
        <v>1000</v>
      </c>
      <c r="F1021" s="19">
        <v>0.25</v>
      </c>
      <c r="G1021" s="20">
        <f>+E1021*F1021</f>
        <v>250</v>
      </c>
      <c r="H1021" s="217" t="s">
        <v>339</v>
      </c>
    </row>
    <row r="1022" spans="1:8" ht="15">
      <c r="A1022" s="211" t="s">
        <v>488</v>
      </c>
      <c r="B1022" s="216" t="str">
        <f ca="1">_xlfn.CONCAT(B1016,A1022)</f>
        <v>97DEC52-E</v>
      </c>
      <c r="C1022" s="17"/>
      <c r="D1022" s="184"/>
      <c r="E1022" s="197"/>
      <c r="F1022" s="19"/>
      <c r="G1022" s="20"/>
      <c r="H1022" s="217"/>
    </row>
    <row r="1023" spans="1:8" ht="15">
      <c r="A1023" s="211" t="s">
        <v>489</v>
      </c>
      <c r="B1023" s="216" t="str">
        <f ca="1">_xlfn.CONCAT(B1016,A1023)</f>
        <v>97DEC52-F</v>
      </c>
      <c r="C1023" s="17"/>
      <c r="D1023" s="184"/>
      <c r="E1023" s="197"/>
      <c r="F1023" s="19"/>
      <c r="G1023" s="20"/>
      <c r="H1023" s="217"/>
    </row>
    <row r="1024" spans="1:8">
      <c r="A1024" s="211" t="s">
        <v>490</v>
      </c>
      <c r="B1024" s="216" t="str">
        <f ca="1">_xlfn.CONCAT(B1016,A1024)</f>
        <v>97DEC52-G</v>
      </c>
      <c r="C1024" s="17"/>
      <c r="D1024" s="184"/>
      <c r="E1024" s="197"/>
      <c r="F1024" s="19"/>
      <c r="G1024" s="20"/>
    </row>
    <row r="1025" spans="1:7">
      <c r="A1025" s="211" t="s">
        <v>491</v>
      </c>
      <c r="B1025" s="216" t="str">
        <f ca="1">_xlfn.CONCAT(B1016,A1025)</f>
        <v>97DEC52-H</v>
      </c>
      <c r="C1025" s="17"/>
      <c r="D1025" s="184"/>
      <c r="E1025" s="197"/>
      <c r="F1025" s="19"/>
      <c r="G1025" s="20"/>
    </row>
    <row r="1026" spans="1:7">
      <c r="A1026" s="211" t="s">
        <v>492</v>
      </c>
      <c r="B1026" s="216" t="str">
        <f ca="1">_xlfn.CONCAT(B1016,A1026)</f>
        <v>97DEC52-I</v>
      </c>
      <c r="C1026" s="17"/>
      <c r="D1026" s="184"/>
      <c r="E1026" s="197"/>
      <c r="F1026" s="19"/>
      <c r="G1026" s="20"/>
    </row>
    <row r="1027" spans="1:7">
      <c r="A1027" s="211" t="s">
        <v>493</v>
      </c>
      <c r="B1027" s="216" t="str">
        <f ca="1">_xlfn.CONCAT(B1016,A1027)</f>
        <v>97DEC52-J</v>
      </c>
      <c r="C1027" s="17"/>
      <c r="D1027" s="184"/>
      <c r="E1027" s="197"/>
      <c r="F1027" s="19"/>
      <c r="G1027" s="20"/>
    </row>
    <row r="1028" spans="1:7">
      <c r="A1028" s="211" t="s">
        <v>494</v>
      </c>
      <c r="B1028" s="216" t="str">
        <f ca="1">_xlfn.CONCAT(B1016,A1028)</f>
        <v>97DEC52-K</v>
      </c>
      <c r="C1028" s="17"/>
      <c r="D1028" s="184"/>
      <c r="E1028" s="197"/>
      <c r="F1028" s="19"/>
      <c r="G1028" s="20"/>
    </row>
    <row r="1029" spans="1:7">
      <c r="A1029" s="211" t="s">
        <v>495</v>
      </c>
      <c r="B1029" s="216" t="str">
        <f ca="1">_xlfn.CONCAT(B1016,A1029)</f>
        <v>97DEC52-L</v>
      </c>
      <c r="C1029" s="17"/>
      <c r="D1029" s="184"/>
      <c r="E1029" s="197"/>
      <c r="F1029" s="19"/>
      <c r="G1029" s="20"/>
    </row>
    <row r="1030" spans="1:7">
      <c r="A1030" s="211" t="s">
        <v>496</v>
      </c>
      <c r="B1030" s="216" t="str">
        <f ca="1">_xlfn.CONCAT(B1016,A1030)</f>
        <v>97DEC52-M</v>
      </c>
      <c r="C1030" s="17"/>
      <c r="D1030" s="184"/>
      <c r="E1030" s="197"/>
      <c r="F1030" s="19"/>
      <c r="G1030" s="20"/>
    </row>
    <row r="1031" spans="1:7">
      <c r="A1031" s="211" t="s">
        <v>497</v>
      </c>
      <c r="B1031" s="216" t="str">
        <f ca="1">_xlfn.CONCAT(B1016,A1031)</f>
        <v>97DEC52-N</v>
      </c>
      <c r="C1031" s="17"/>
      <c r="D1031" s="184"/>
      <c r="E1031" s="197"/>
      <c r="F1031" s="19"/>
      <c r="G1031" s="20"/>
    </row>
    <row r="1032" spans="1:7">
      <c r="A1032" s="211" t="s">
        <v>498</v>
      </c>
      <c r="B1032" s="216" t="str">
        <f ca="1">_xlfn.CONCAT(B1016,A1032)</f>
        <v>97DEC52-O</v>
      </c>
      <c r="C1032" s="17"/>
      <c r="D1032" s="184"/>
      <c r="E1032" s="197"/>
      <c r="F1032" s="19"/>
      <c r="G1032" s="20"/>
    </row>
    <row r="1033" spans="1:7">
      <c r="A1033" s="211" t="s">
        <v>499</v>
      </c>
      <c r="B1033" s="216" t="str">
        <f ca="1">_xlfn.CONCAT(B1016,A1033)</f>
        <v>97DEC52-P</v>
      </c>
      <c r="C1033" s="17"/>
      <c r="D1033" s="184"/>
      <c r="E1033" s="197"/>
      <c r="F1033" s="19"/>
      <c r="G1033" s="20"/>
    </row>
    <row r="1034" spans="1:7">
      <c r="A1034" s="211" t="s">
        <v>500</v>
      </c>
      <c r="B1034" s="216" t="str">
        <f ca="1">_xlfn.CONCAT(B1016,A1034)</f>
        <v>97DEC52-Q</v>
      </c>
      <c r="C1034" s="17"/>
      <c r="D1034" s="184"/>
      <c r="E1034" s="197"/>
      <c r="F1034" s="19"/>
      <c r="G1034" s="20"/>
    </row>
    <row r="1035" spans="1:7">
      <c r="A1035" s="211" t="s">
        <v>501</v>
      </c>
      <c r="B1035" s="216" t="str">
        <f ca="1">_xlfn.CONCAT(B1016,A1035)</f>
        <v>97DEC52-R</v>
      </c>
      <c r="C1035" s="17"/>
      <c r="D1035" s="184"/>
      <c r="E1035" s="197"/>
      <c r="F1035" s="19"/>
      <c r="G1035" s="20"/>
    </row>
    <row r="1036" spans="1:7">
      <c r="A1036" s="211" t="s">
        <v>502</v>
      </c>
      <c r="B1036" s="216" t="str">
        <f ca="1">_xlfn.CONCAT(B1016,A1036)</f>
        <v>97DEC52-S</v>
      </c>
      <c r="C1036" s="17"/>
      <c r="D1036" s="184"/>
      <c r="E1036" s="197"/>
      <c r="F1036" s="19"/>
      <c r="G1036" s="20"/>
    </row>
    <row r="1037" spans="1:7">
      <c r="A1037" s="211" t="s">
        <v>503</v>
      </c>
      <c r="B1037" s="216" t="str">
        <f ca="1">_xlfn.CONCAT(B1016,A1037)</f>
        <v>97DEC52-T</v>
      </c>
      <c r="C1037" s="17"/>
      <c r="D1037" s="184"/>
      <c r="E1037" s="197"/>
      <c r="F1037" s="19"/>
      <c r="G1037" s="20"/>
    </row>
    <row r="1038" spans="1:7" ht="14.25" thickBot="1">
      <c r="A1038" s="211" t="s">
        <v>504</v>
      </c>
      <c r="B1038" s="216" t="str">
        <f ca="1">_xlfn.CONCAT(B1016,A1038)</f>
        <v>97DEC52-U</v>
      </c>
      <c r="C1038" s="17"/>
      <c r="D1038" s="184"/>
      <c r="E1038" s="197"/>
      <c r="F1038" s="19"/>
      <c r="G1038" s="20"/>
    </row>
    <row r="1039" spans="1:7" ht="16.5" customHeight="1" thickBot="1">
      <c r="A1039" s="211" t="s">
        <v>505</v>
      </c>
      <c r="B1039" s="216" t="str">
        <f ca="1">_xlfn.CONCAT(B1016,A1039)</f>
        <v>97DEC52-V</v>
      </c>
      <c r="C1039" s="17" t="s">
        <v>17</v>
      </c>
      <c r="D1039" s="192" t="s">
        <v>17</v>
      </c>
      <c r="E1039" s="18"/>
      <c r="F1039" s="22" t="s">
        <v>18</v>
      </c>
      <c r="G1039" s="23">
        <f>SUM(G1018:G1038)</f>
        <v>60716.250000000007</v>
      </c>
    </row>
    <row r="1040" spans="1:7" ht="28.5" customHeight="1" thickBot="1">
      <c r="A1040" s="211" t="s">
        <v>506</v>
      </c>
      <c r="B1040" s="216" t="str">
        <f ca="1">_xlfn.CONCAT(B1016,A1040)</f>
        <v>97DEC52-W</v>
      </c>
      <c r="C1040" s="10" t="s">
        <v>19</v>
      </c>
      <c r="D1040" s="190"/>
      <c r="E1040" s="11"/>
      <c r="F1040" s="12"/>
      <c r="G1040" s="13"/>
    </row>
    <row r="1041" spans="1:8" s="47" customFormat="1" ht="23.25" customHeight="1" thickBot="1">
      <c r="A1041" s="211" t="s">
        <v>507</v>
      </c>
      <c r="B1041" s="216" t="str">
        <f ca="1">_xlfn.CONCAT(B1016,A1041)</f>
        <v>97DEC52-X</v>
      </c>
      <c r="C1041" s="14" t="s">
        <v>1</v>
      </c>
      <c r="D1041" s="15"/>
      <c r="E1041" s="15" t="s">
        <v>20</v>
      </c>
      <c r="F1041" s="16" t="s">
        <v>21</v>
      </c>
      <c r="G1041" s="15" t="s">
        <v>5</v>
      </c>
      <c r="H1041" s="215"/>
    </row>
    <row r="1042" spans="1:8">
      <c r="A1042" s="211" t="s">
        <v>508</v>
      </c>
      <c r="B1042" s="216" t="str">
        <f ca="1">_xlfn.CONCAT(B1016,A1042)</f>
        <v>97DEC52-Y</v>
      </c>
      <c r="C1042" s="24" t="s">
        <v>22</v>
      </c>
      <c r="D1042" s="184"/>
      <c r="E1042" s="25">
        <f>_xlfn.XLOOKUP(C1042,'H-MO'!B$7:B$30,'H-MO'!D$7:D$30,,0,1)</f>
        <v>2436.5624999999995</v>
      </c>
      <c r="F1042" s="19">
        <v>0.2</v>
      </c>
      <c r="G1042" s="33">
        <f t="shared" ref="G1042:G1047" si="24">+E1042*F1042</f>
        <v>487.31249999999994</v>
      </c>
    </row>
    <row r="1043" spans="1:8">
      <c r="A1043" s="211" t="s">
        <v>509</v>
      </c>
      <c r="B1043" s="216" t="str">
        <f ca="1">_xlfn.CONCAT(B1016,A1043)</f>
        <v>97DEC52-Z</v>
      </c>
      <c r="C1043" s="24" t="s">
        <v>23</v>
      </c>
      <c r="D1043" s="184"/>
      <c r="E1043" s="25">
        <f>_xlfn.XLOOKUP(C1043,'H-MO'!B$7:B$30,'H-MO'!D$7:D$30,,0,1)</f>
        <v>1461.9374999999998</v>
      </c>
      <c r="F1043" s="19">
        <v>0.15</v>
      </c>
      <c r="G1043" s="33">
        <f t="shared" si="24"/>
        <v>219.29062499999995</v>
      </c>
    </row>
    <row r="1044" spans="1:8">
      <c r="A1044" s="211" t="s">
        <v>510</v>
      </c>
      <c r="B1044" s="216" t="str">
        <f ca="1">_xlfn.CONCAT(B1016,A1044)</f>
        <v>97DEC52-aa</v>
      </c>
      <c r="C1044" s="24" t="s">
        <v>24</v>
      </c>
      <c r="D1044" s="185"/>
      <c r="E1044" s="25">
        <f>_xlfn.XLOOKUP(C1044,'H-MO'!B$7:B$30,'H-MO'!D$7:D$30,,0,1)</f>
        <v>29238.749999999996</v>
      </c>
      <c r="F1044" s="28">
        <v>1.4999999999999999E-2</v>
      </c>
      <c r="G1044" s="33">
        <f t="shared" si="24"/>
        <v>438.58124999999995</v>
      </c>
    </row>
    <row r="1045" spans="1:8">
      <c r="A1045" s="211" t="s">
        <v>511</v>
      </c>
      <c r="B1045" s="216" t="str">
        <f ca="1">_xlfn.CONCAT(B1016,A1045)</f>
        <v>97DEC52-ab</v>
      </c>
      <c r="C1045" s="24" t="s">
        <v>25</v>
      </c>
      <c r="D1045" s="185"/>
      <c r="E1045" s="25">
        <f>_xlfn.XLOOKUP(C1045,'H-MO'!B$7:B$30,'H-MO'!D$7:D$30,,0,1)</f>
        <v>2761.4374999999995</v>
      </c>
      <c r="F1045" s="28">
        <v>0.1</v>
      </c>
      <c r="G1045" s="33">
        <f t="shared" si="24"/>
        <v>276.14374999999995</v>
      </c>
    </row>
    <row r="1046" spans="1:8">
      <c r="A1046" s="211" t="s">
        <v>512</v>
      </c>
      <c r="B1046" s="216" t="str">
        <f ca="1">_xlfn.CONCAT(B1016,A1046)</f>
        <v>97DEC52-ac</v>
      </c>
      <c r="C1046" s="24"/>
      <c r="D1046" s="185"/>
      <c r="E1046" s="29"/>
      <c r="F1046" s="28"/>
      <c r="G1046" s="33">
        <f t="shared" si="24"/>
        <v>0</v>
      </c>
    </row>
    <row r="1047" spans="1:8" ht="14.25" thickBot="1">
      <c r="A1047" s="211" t="s">
        <v>513</v>
      </c>
      <c r="B1047" s="216" t="str">
        <f ca="1">_xlfn.CONCAT(B1016,A1047)</f>
        <v>97DEC52-ad</v>
      </c>
      <c r="C1047" s="24"/>
      <c r="D1047" s="185"/>
      <c r="E1047" s="29"/>
      <c r="F1047" s="28"/>
      <c r="G1047" s="33">
        <f t="shared" si="24"/>
        <v>0</v>
      </c>
    </row>
    <row r="1048" spans="1:8" ht="16.5" customHeight="1" thickBot="1">
      <c r="A1048" s="211" t="s">
        <v>514</v>
      </c>
      <c r="B1048" s="216" t="str">
        <f ca="1">_xlfn.CONCAT(B1016,A1048)</f>
        <v>97DEC52-ae</v>
      </c>
      <c r="C1048" s="17"/>
      <c r="D1048" s="192"/>
      <c r="E1048" s="18"/>
      <c r="F1048" s="22" t="s">
        <v>26</v>
      </c>
      <c r="G1048" s="23">
        <f>SUM(G1042:G1047)</f>
        <v>1421.3281249999998</v>
      </c>
    </row>
    <row r="1049" spans="1:8" ht="28.5" customHeight="1" thickBot="1">
      <c r="A1049" s="211" t="s">
        <v>515</v>
      </c>
      <c r="B1049" s="216" t="str">
        <f ca="1">_xlfn.CONCAT(B1016,A1049)</f>
        <v>97DEC52-af</v>
      </c>
      <c r="C1049" s="10" t="s">
        <v>27</v>
      </c>
      <c r="D1049" s="190"/>
      <c r="E1049" s="11"/>
      <c r="F1049" s="12"/>
      <c r="G1049" s="13"/>
    </row>
    <row r="1050" spans="1:8" s="47" customFormat="1" ht="23.25" customHeight="1" thickBot="1">
      <c r="A1050" s="211" t="s">
        <v>516</v>
      </c>
      <c r="B1050" s="216" t="str">
        <f ca="1">_xlfn.CONCAT(B1016,A1050)</f>
        <v>97DEC52-ag</v>
      </c>
      <c r="C1050" s="14" t="s">
        <v>1</v>
      </c>
      <c r="D1050" s="15" t="s">
        <v>28</v>
      </c>
      <c r="E1050" s="15" t="s">
        <v>20</v>
      </c>
      <c r="F1050" s="16" t="s">
        <v>21</v>
      </c>
      <c r="G1050" s="15" t="s">
        <v>5</v>
      </c>
      <c r="H1050" s="215"/>
    </row>
    <row r="1051" spans="1:8">
      <c r="A1051" s="211" t="s">
        <v>517</v>
      </c>
      <c r="B1051" s="216" t="str">
        <f ca="1">_xlfn.CONCAT(B1016,A1051)</f>
        <v>97DEC52-ah</v>
      </c>
      <c r="C1051" s="30" t="s">
        <v>29</v>
      </c>
      <c r="D1051" s="186">
        <f>'H-MO'!$N$77</f>
        <v>725918.52892505517</v>
      </c>
      <c r="E1051" s="31">
        <f>+D1051/8</f>
        <v>90739.816115631897</v>
      </c>
      <c r="F1051" s="32">
        <v>0.18</v>
      </c>
      <c r="G1051" s="33">
        <f>+E1051*F1051</f>
        <v>16333.166900813741</v>
      </c>
    </row>
    <row r="1052" spans="1:8">
      <c r="A1052" s="211" t="s">
        <v>518</v>
      </c>
      <c r="B1052" s="216" t="str">
        <f ca="1">_xlfn.CONCAT(B1016,A1052)</f>
        <v>97DEC52-ai</v>
      </c>
      <c r="C1052" s="34" t="s">
        <v>30</v>
      </c>
      <c r="D1052" s="187">
        <f>'H-MO'!$N$86</f>
        <v>685561.39085756091</v>
      </c>
      <c r="E1052" s="29">
        <f>+D1052/8</f>
        <v>85695.173857195114</v>
      </c>
      <c r="F1052" s="28">
        <v>0</v>
      </c>
      <c r="G1052" s="33">
        <f>+E1052*F1052</f>
        <v>0</v>
      </c>
    </row>
    <row r="1053" spans="1:8" ht="14.25" thickBot="1">
      <c r="A1053" s="211" t="s">
        <v>519</v>
      </c>
      <c r="B1053" s="216" t="str">
        <f ca="1">_xlfn.CONCAT(B1016,A1053)</f>
        <v>97DEC52-aj</v>
      </c>
      <c r="C1053" s="34"/>
      <c r="D1053" s="187"/>
      <c r="E1053" s="29"/>
      <c r="F1053" s="28"/>
      <c r="G1053" s="33">
        <f>+E1053*F1053</f>
        <v>0</v>
      </c>
    </row>
    <row r="1054" spans="1:8" ht="17.25" customHeight="1" thickBot="1">
      <c r="A1054" s="211" t="s">
        <v>520</v>
      </c>
      <c r="B1054" s="216" t="str">
        <f ca="1">_xlfn.CONCAT(B1016,A1054)</f>
        <v>97DEC52-ak</v>
      </c>
      <c r="C1054" s="34"/>
      <c r="D1054" s="185"/>
      <c r="E1054" s="26"/>
      <c r="F1054" s="36" t="s">
        <v>31</v>
      </c>
      <c r="G1054" s="23">
        <f>SUM(G1051:G1053)</f>
        <v>16333.166900813741</v>
      </c>
    </row>
    <row r="1055" spans="1:8" ht="14.25" thickBot="1">
      <c r="A1055" s="211" t="s">
        <v>521</v>
      </c>
      <c r="B1055" s="216" t="str">
        <f ca="1">_xlfn.CONCAT(B1016,A1055)</f>
        <v>97DEC52-al</v>
      </c>
      <c r="C1055" s="37"/>
      <c r="E1055" s="38"/>
      <c r="F1055" s="22"/>
      <c r="G1055" s="39"/>
    </row>
    <row r="1056" spans="1:8" ht="23.25" customHeight="1" thickBot="1">
      <c r="A1056" s="211" t="s">
        <v>522</v>
      </c>
      <c r="B1056" s="216" t="str">
        <f ca="1">_xlfn.CONCAT(B1016,A1056)</f>
        <v>97DEC52-am</v>
      </c>
      <c r="C1056" s="40"/>
      <c r="D1056" s="193"/>
      <c r="E1056" s="41"/>
      <c r="F1056" s="42"/>
      <c r="G1056" s="43">
        <f>+G1039+G1048+G1054</f>
        <v>78470.745025813754</v>
      </c>
    </row>
    <row r="1057" spans="1:8" ht="21.75" thickBot="1">
      <c r="B1057" s="212" t="s">
        <v>550</v>
      </c>
      <c r="C1057" s="2"/>
      <c r="D1057" s="183"/>
      <c r="F1057" s="4"/>
      <c r="G1057" s="5"/>
    </row>
    <row r="1058" spans="1:8" s="45" customFormat="1" ht="34.5" customHeight="1">
      <c r="A1058" s="213"/>
      <c r="B1058" s="214">
        <v>25</v>
      </c>
      <c r="C1058" s="242" t="str">
        <f ca="1">_xlfn.XLOOKUP(B1058,Cantidades!$A$10:$A$314,Cantidades!$C$10:$C$314,,0,1)</f>
        <v>Suministro e instalación de salida tomacorriente doble monofásica extractor.  Incluye caja 5800, conectores, cable #12 AWG de cobre, tubería PVC SCH40.</v>
      </c>
      <c r="D1058" s="243"/>
      <c r="E1058" s="243"/>
      <c r="F1058" s="243"/>
      <c r="G1058" s="244"/>
      <c r="H1058" s="213"/>
    </row>
    <row r="1059" spans="1:8" s="47" customFormat="1" ht="24.95" customHeight="1" thickBot="1">
      <c r="A1059" s="215"/>
      <c r="B1059" s="216" t="s">
        <v>550</v>
      </c>
      <c r="C1059" s="177"/>
      <c r="D1059" s="189"/>
      <c r="E1059" s="178"/>
      <c r="F1059" s="179" t="s">
        <v>636</v>
      </c>
      <c r="G1059" s="209" t="str">
        <f ca="1">B1060</f>
        <v>140743BF-</v>
      </c>
      <c r="H1059" s="215"/>
    </row>
    <row r="1060" spans="1:8" ht="28.5" customHeight="1" thickBot="1">
      <c r="B1060" s="212" t="str">
        <f ca="1">_xlfn.XLOOKUP(C1058,Cantidades!$C$1:$C$314,Cantidades!$B$1:$B$314,"",0,1)</f>
        <v>140743BF-</v>
      </c>
      <c r="C1060" s="10" t="s">
        <v>0</v>
      </c>
      <c r="D1060" s="190"/>
      <c r="E1060" s="11"/>
      <c r="F1060" s="12"/>
      <c r="G1060" s="13"/>
    </row>
    <row r="1061" spans="1:8" s="47" customFormat="1" ht="23.25" customHeight="1" thickBot="1">
      <c r="A1061" s="215"/>
      <c r="B1061" s="216" t="s">
        <v>550</v>
      </c>
      <c r="C1061" s="14" t="s">
        <v>1</v>
      </c>
      <c r="D1061" s="15" t="s">
        <v>2</v>
      </c>
      <c r="E1061" s="15" t="s">
        <v>3</v>
      </c>
      <c r="F1061" s="16" t="s">
        <v>4</v>
      </c>
      <c r="G1061" s="15" t="s">
        <v>5</v>
      </c>
      <c r="H1061" s="215"/>
    </row>
    <row r="1062" spans="1:8" ht="15">
      <c r="A1062" s="211" t="s">
        <v>484</v>
      </c>
      <c r="B1062" s="216" t="str">
        <f ca="1">_xlfn.CONCAT(B1060,A1062)</f>
        <v>140743BF-A</v>
      </c>
      <c r="C1062" s="17" t="str">
        <f>_xlfn.XLOOKUP(H1062,'Materiales unitario'!$A$1:$A$2500,'Materiales unitario'!B$1:B$2500,,0,1)</f>
        <v>Tubo Conduit PVC Sch40 1-2 Pulgadas</v>
      </c>
      <c r="D1062" s="184" t="str">
        <f>_xlfn.XLOOKUP(H1062,'Materiales unitario'!A$1:A$2500,'Materiales unitario'!C$1:C$2500,,0,1)</f>
        <v>ml</v>
      </c>
      <c r="E1062" s="197">
        <f>_xlfn.XLOOKUP(H1062,'Materiales unitario'!$A$1:$A$2500,'Materiales unitario'!D$1:D$2500,,0,1)</f>
        <v>2966.6666666666665</v>
      </c>
      <c r="F1062" s="19">
        <v>4.2</v>
      </c>
      <c r="G1062" s="20">
        <f>+E1062*F1062</f>
        <v>12460</v>
      </c>
      <c r="H1062" s="217" t="s">
        <v>601</v>
      </c>
    </row>
    <row r="1063" spans="1:8" ht="15">
      <c r="A1063" s="211" t="s">
        <v>485</v>
      </c>
      <c r="B1063" s="216" t="str">
        <f ca="1">_xlfn.CONCAT(B1060,A1063)</f>
        <v>140743BF-B</v>
      </c>
      <c r="C1063" s="17" t="str">
        <f>_xlfn.XLOOKUP(H1063,'Materiales unitario'!$A$1:$A$2500,'Materiales unitario'!B$1:B$2500,,0,1)</f>
        <v>Tubo Conduit PVC SCH40 3-4 Pulgadas</v>
      </c>
      <c r="D1063" s="184" t="str">
        <f>_xlfn.XLOOKUP(H1063,'Materiales unitario'!A$1:A$2500,'Materiales unitario'!C$1:C$2500,,0,1)</f>
        <v>ml</v>
      </c>
      <c r="E1063" s="197">
        <f>_xlfn.XLOOKUP(H1063,'Materiales unitario'!$A$1:$A$2500,'Materiales unitario'!D$1:D$2500,,0,1)</f>
        <v>3966.6666666666665</v>
      </c>
      <c r="F1063" s="19">
        <v>1.8</v>
      </c>
      <c r="G1063" s="20">
        <f t="shared" ref="G1063:G1073" si="25">+E1063*F1063</f>
        <v>7140</v>
      </c>
      <c r="H1063" s="217" t="s">
        <v>602</v>
      </c>
    </row>
    <row r="1064" spans="1:8" ht="15">
      <c r="A1064" s="211" t="s">
        <v>486</v>
      </c>
      <c r="B1064" s="216" t="str">
        <f ca="1">_xlfn.CONCAT(B1060,A1064)</f>
        <v>140743BF-C</v>
      </c>
      <c r="C1064" s="17" t="str">
        <f>_xlfn.XLOOKUP(H1064,'Materiales unitario'!$A$1:$A$2500,'Materiales unitario'!B$1:B$2500,,0,1)</f>
        <v>Adaptador terminal PVC ø1/2"</v>
      </c>
      <c r="D1064" s="184" t="str">
        <f>_xlfn.XLOOKUP(H1064,'Materiales unitario'!A$1:A$2500,'Materiales unitario'!C$1:C$2500,,0,1)</f>
        <v>un</v>
      </c>
      <c r="E1064" s="197">
        <f>_xlfn.XLOOKUP(H1064,'Materiales unitario'!$A$1:$A$2500,'Materiales unitario'!D$1:D$2500,,0,1)</f>
        <v>720</v>
      </c>
      <c r="F1064" s="19">
        <v>2</v>
      </c>
      <c r="G1064" s="20">
        <f t="shared" si="25"/>
        <v>1440</v>
      </c>
      <c r="H1064" s="217" t="s">
        <v>603</v>
      </c>
    </row>
    <row r="1065" spans="1:8" ht="15">
      <c r="A1065" s="211" t="s">
        <v>487</v>
      </c>
      <c r="B1065" s="216" t="str">
        <f ca="1">_xlfn.CONCAT(B1060,A1065)</f>
        <v>140743BF-D</v>
      </c>
      <c r="C1065" s="17" t="str">
        <f>_xlfn.XLOOKUP(H1065,'Materiales unitario'!$A$1:$A$2500,'Materiales unitario'!B$1:B$2500,,0,1)</f>
        <v>Adaptador terminal PVC ø3/4"</v>
      </c>
      <c r="D1065" s="184" t="str">
        <f>_xlfn.XLOOKUP(H1065,'Materiales unitario'!A$1:A$2500,'Materiales unitario'!C$1:C$2500,,0,1)</f>
        <v>un</v>
      </c>
      <c r="E1065" s="197">
        <f>_xlfn.XLOOKUP(H1065,'Materiales unitario'!$A$1:$A$2500,'Materiales unitario'!D$1:D$2500,,0,1)</f>
        <v>920</v>
      </c>
      <c r="F1065" s="19">
        <v>0.3</v>
      </c>
      <c r="G1065" s="20">
        <f t="shared" si="25"/>
        <v>276</v>
      </c>
      <c r="H1065" s="217" t="s">
        <v>604</v>
      </c>
    </row>
    <row r="1066" spans="1:8" ht="15">
      <c r="A1066" s="211" t="s">
        <v>488</v>
      </c>
      <c r="B1066" s="216" t="str">
        <f ca="1">_xlfn.CONCAT(B1060,A1066)</f>
        <v>140743BF-E</v>
      </c>
      <c r="C1066" s="17" t="str">
        <f>_xlfn.XLOOKUP(H1066,'Materiales unitario'!$A$1:$A$2500,'Materiales unitario'!B$1:B$2500,,0,1)</f>
        <v>Caja galvanizada ref. 2400 (Cal. 20)</v>
      </c>
      <c r="D1066" s="184" t="str">
        <f>_xlfn.XLOOKUP(H1066,'Materiales unitario'!A$1:A$2500,'Materiales unitario'!C$1:C$2500,,0,1)</f>
        <v>un</v>
      </c>
      <c r="E1066" s="197">
        <f>_xlfn.XLOOKUP(H1066,'Materiales unitario'!$A$1:$A$2500,'Materiales unitario'!D$1:D$2500,,0,1)</f>
        <v>3150</v>
      </c>
      <c r="F1066" s="19">
        <v>0.5</v>
      </c>
      <c r="G1066" s="20">
        <f t="shared" si="25"/>
        <v>1575</v>
      </c>
      <c r="H1066" s="217" t="s">
        <v>605</v>
      </c>
    </row>
    <row r="1067" spans="1:8" ht="15">
      <c r="A1067" s="211" t="s">
        <v>489</v>
      </c>
      <c r="B1067" s="216" t="str">
        <f ca="1">_xlfn.CONCAT(B1060,A1067)</f>
        <v>140743BF-F</v>
      </c>
      <c r="C1067" s="17" t="str">
        <f>_xlfn.XLOOKUP(H1067,'Materiales unitario'!$A$1:$A$2500,'Materiales unitario'!B$1:B$2500,,0,1)</f>
        <v>Caja galvanizada ref. 5800 (Cal. 20)</v>
      </c>
      <c r="D1067" s="184" t="str">
        <f>_xlfn.XLOOKUP(H1067,'Materiales unitario'!A$1:A$2500,'Materiales unitario'!C$1:C$2500,,0,1)</f>
        <v>un</v>
      </c>
      <c r="E1067" s="197">
        <f>_xlfn.XLOOKUP(H1067,'Materiales unitario'!$A$1:$A$2500,'Materiales unitario'!D$1:D$2500,,0,1)</f>
        <v>2900</v>
      </c>
      <c r="F1067" s="19">
        <v>0.5</v>
      </c>
      <c r="G1067" s="20">
        <f t="shared" si="25"/>
        <v>1450</v>
      </c>
      <c r="H1067" s="217" t="s">
        <v>606</v>
      </c>
    </row>
    <row r="1068" spans="1:8" ht="15">
      <c r="A1068" s="211" t="s">
        <v>490</v>
      </c>
      <c r="B1068" s="216" t="str">
        <f ca="1">_xlfn.CONCAT(B1060,A1068)</f>
        <v>140743BF-G</v>
      </c>
      <c r="C1068" s="17" t="str">
        <f>_xlfn.XLOOKUP(H1068,'Materiales unitario'!$A$1:$A$2500,'Materiales unitario'!B$1:B$2500,,0,1)</f>
        <v>Caja galvanizada octagonal (Cal. 20)</v>
      </c>
      <c r="D1068" s="184" t="str">
        <f>_xlfn.XLOOKUP(H1068,'Materiales unitario'!A$1:A$2500,'Materiales unitario'!C$1:C$2500,,0,1)</f>
        <v>un</v>
      </c>
      <c r="E1068" s="197">
        <f>_xlfn.XLOOKUP(H1068,'Materiales unitario'!$A$1:$A$2500,'Materiales unitario'!D$1:D$2500,,0,1)</f>
        <v>2900</v>
      </c>
      <c r="F1068" s="19">
        <v>0.1</v>
      </c>
      <c r="G1068" s="20">
        <f t="shared" si="25"/>
        <v>290</v>
      </c>
      <c r="H1068" s="217" t="s">
        <v>607</v>
      </c>
    </row>
    <row r="1069" spans="1:8" ht="15">
      <c r="A1069" s="211" t="s">
        <v>491</v>
      </c>
      <c r="B1069" s="216" t="str">
        <f ca="1">_xlfn.CONCAT(B1060,A1069)</f>
        <v>140743BF-H</v>
      </c>
      <c r="C1069" s="17" t="str">
        <f>_xlfn.XLOOKUP(H1069,'Materiales unitario'!$A$1:$A$2500,'Materiales unitario'!B$1:B$2500,,0,1)</f>
        <v xml:space="preserve">Tornillo lámina #14x1/2" goloso </v>
      </c>
      <c r="D1069" s="184" t="str">
        <f>_xlfn.XLOOKUP(H1069,'Materiales unitario'!A$1:A$2500,'Materiales unitario'!C$1:C$2500,,0,1)</f>
        <v>un</v>
      </c>
      <c r="E1069" s="197">
        <f>_xlfn.XLOOKUP(H1069,'Materiales unitario'!$A$1:$A$2500,'Materiales unitario'!D$1:D$2500,,0,1)</f>
        <v>200</v>
      </c>
      <c r="F1069" s="19">
        <v>2</v>
      </c>
      <c r="G1069" s="20">
        <f t="shared" si="25"/>
        <v>400</v>
      </c>
      <c r="H1069" s="217" t="s">
        <v>608</v>
      </c>
    </row>
    <row r="1070" spans="1:8" ht="15">
      <c r="A1070" s="211" t="s">
        <v>492</v>
      </c>
      <c r="B1070" s="216" t="str">
        <f ca="1">_xlfn.CONCAT(B1060,A1070)</f>
        <v>140743BF-I</v>
      </c>
      <c r="C1070" s="17" t="str">
        <f>_xlfn.XLOOKUP(H1070,'Materiales unitario'!$A$1:$A$2500,'Materiales unitario'!B$1:B$2500,,0,1)</f>
        <v>Suplemento galvanizado de ø1/4" (Cal. 24)</v>
      </c>
      <c r="D1070" s="184" t="str">
        <f>_xlfn.XLOOKUP(H1070,'Materiales unitario'!A$1:A$2500,'Materiales unitario'!C$1:C$2500,,0,1)</f>
        <v>un</v>
      </c>
      <c r="E1070" s="197">
        <f>_xlfn.XLOOKUP(H1070,'Materiales unitario'!$A$1:$A$2500,'Materiales unitario'!D$1:D$2500,,0,1)</f>
        <v>1200</v>
      </c>
      <c r="F1070" s="19">
        <v>0.5</v>
      </c>
      <c r="G1070" s="20">
        <f t="shared" si="25"/>
        <v>600</v>
      </c>
      <c r="H1070" s="217" t="s">
        <v>609</v>
      </c>
    </row>
    <row r="1071" spans="1:8" ht="15">
      <c r="A1071" s="211" t="s">
        <v>493</v>
      </c>
      <c r="B1071" s="216" t="str">
        <f ca="1">_xlfn.CONCAT(B1060,A1071)</f>
        <v>140743BF-J</v>
      </c>
      <c r="C1071" s="17" t="str">
        <f>_xlfn.XLOOKUP(H1071,'Materiales unitario'!$A$1:$A$2500,'Materiales unitario'!B$1:B$2500,,0,1)</f>
        <v>Conector de resorte rojo "R" 18-10 AWG</v>
      </c>
      <c r="D1071" s="184" t="str">
        <f>_xlfn.XLOOKUP(H1071,'Materiales unitario'!A$1:A$2500,'Materiales unitario'!C$1:C$2500,,0,1)</f>
        <v>un</v>
      </c>
      <c r="E1071" s="197">
        <f>_xlfn.XLOOKUP(H1071,'Materiales unitario'!$A$1:$A$2500,'Materiales unitario'!D$1:D$2500,,0,1)</f>
        <v>280</v>
      </c>
      <c r="F1071" s="19">
        <v>3</v>
      </c>
      <c r="G1071" s="20">
        <f t="shared" si="25"/>
        <v>840</v>
      </c>
      <c r="H1071" s="217" t="s">
        <v>302</v>
      </c>
    </row>
    <row r="1072" spans="1:8" ht="15">
      <c r="A1072" s="211" t="s">
        <v>494</v>
      </c>
      <c r="B1072" s="216" t="str">
        <f ca="1">_xlfn.CONCAT(B1060,A1072)</f>
        <v>140743BF-K</v>
      </c>
      <c r="C1072" s="17" t="str">
        <f>_xlfn.XLOOKUP(H1072,'Materiales unitario'!$A$1:$A$2500,'Materiales unitario'!B$1:B$2500,,0,1)</f>
        <v>Soldadura liquida PVC 1/4 de galón</v>
      </c>
      <c r="D1072" s="184" t="str">
        <f>_xlfn.XLOOKUP(H1072,'Materiales unitario'!A$1:A$2500,'Materiales unitario'!C$1:C$2500,,0,1)</f>
        <v>un</v>
      </c>
      <c r="E1072" s="197">
        <f>_xlfn.XLOOKUP(H1072,'Materiales unitario'!$A$1:$A$2500,'Materiales unitario'!D$1:D$2500,,0,1)</f>
        <v>60900</v>
      </c>
      <c r="F1072" s="19">
        <v>1.2E-2</v>
      </c>
      <c r="G1072" s="20">
        <f t="shared" si="25"/>
        <v>730.80000000000007</v>
      </c>
      <c r="H1072" s="217" t="s">
        <v>530</v>
      </c>
    </row>
    <row r="1073" spans="1:8" ht="15">
      <c r="A1073" s="211" t="s">
        <v>495</v>
      </c>
      <c r="B1073" s="216" t="str">
        <f ca="1">_xlfn.CONCAT(B1060,A1073)</f>
        <v>140743BF-L</v>
      </c>
      <c r="C1073" s="17" t="str">
        <f>_xlfn.XLOOKUP(H1073,'Materiales unitario'!$A$1:$A$2500,'Materiales unitario'!B$1:B$2500,,0,1)</f>
        <v>Cable de cobre aislado #12 AWG-THHN/THWN Color negro</v>
      </c>
      <c r="D1073" s="184" t="str">
        <f>_xlfn.XLOOKUP(H1073,'Materiales unitario'!A$1:A$2500,'Materiales unitario'!C$1:C$2500,,0,1)</f>
        <v>ml</v>
      </c>
      <c r="E1073" s="197">
        <f>_xlfn.XLOOKUP(H1073,'Materiales unitario'!$A$1:$A$2500,'Materiales unitario'!D$1:D$2500,,0,1)</f>
        <v>3020</v>
      </c>
      <c r="F1073" s="19">
        <v>21</v>
      </c>
      <c r="G1073" s="20">
        <f t="shared" si="25"/>
        <v>63420</v>
      </c>
      <c r="H1073" s="217" t="s">
        <v>267</v>
      </c>
    </row>
    <row r="1074" spans="1:8" ht="15">
      <c r="A1074" s="211" t="s">
        <v>496</v>
      </c>
      <c r="B1074" s="216" t="str">
        <f ca="1">_xlfn.CONCAT(B1060,A1074)</f>
        <v>140743BF-M</v>
      </c>
      <c r="C1074" s="17"/>
      <c r="D1074" s="184"/>
      <c r="E1074" s="197"/>
      <c r="F1074" s="19"/>
      <c r="G1074" s="20"/>
      <c r="H1074" s="217"/>
    </row>
    <row r="1075" spans="1:8">
      <c r="A1075" s="211" t="s">
        <v>497</v>
      </c>
      <c r="B1075" s="216" t="str">
        <f ca="1">_xlfn.CONCAT(B1060,A1075)</f>
        <v>140743BF-N</v>
      </c>
      <c r="C1075" s="17"/>
      <c r="D1075" s="184"/>
      <c r="E1075" s="197"/>
      <c r="F1075" s="19"/>
      <c r="G1075" s="20"/>
    </row>
    <row r="1076" spans="1:8">
      <c r="A1076" s="211" t="s">
        <v>498</v>
      </c>
      <c r="B1076" s="216" t="str">
        <f ca="1">_xlfn.CONCAT(B1060,A1076)</f>
        <v>140743BF-O</v>
      </c>
      <c r="C1076" s="17"/>
      <c r="D1076" s="184"/>
      <c r="E1076" s="197"/>
      <c r="F1076" s="19"/>
      <c r="G1076" s="20"/>
    </row>
    <row r="1077" spans="1:8">
      <c r="A1077" s="211" t="s">
        <v>499</v>
      </c>
      <c r="B1077" s="216" t="str">
        <f ca="1">_xlfn.CONCAT(B1060,A1077)</f>
        <v>140743BF-P</v>
      </c>
      <c r="C1077" s="17"/>
      <c r="D1077" s="184"/>
      <c r="E1077" s="197"/>
      <c r="F1077" s="19"/>
      <c r="G1077" s="20"/>
    </row>
    <row r="1078" spans="1:8">
      <c r="A1078" s="211" t="s">
        <v>500</v>
      </c>
      <c r="B1078" s="216" t="str">
        <f ca="1">_xlfn.CONCAT(B1060,A1078)</f>
        <v>140743BF-Q</v>
      </c>
      <c r="C1078" s="17"/>
      <c r="D1078" s="184"/>
      <c r="E1078" s="197"/>
      <c r="F1078" s="19"/>
      <c r="G1078" s="20"/>
    </row>
    <row r="1079" spans="1:8">
      <c r="A1079" s="211" t="s">
        <v>501</v>
      </c>
      <c r="B1079" s="216" t="str">
        <f ca="1">_xlfn.CONCAT(B1060,A1079)</f>
        <v>140743BF-R</v>
      </c>
      <c r="C1079" s="17"/>
      <c r="D1079" s="184"/>
      <c r="E1079" s="197"/>
      <c r="F1079" s="19"/>
      <c r="G1079" s="20"/>
    </row>
    <row r="1080" spans="1:8">
      <c r="A1080" s="211" t="s">
        <v>502</v>
      </c>
      <c r="B1080" s="216" t="str">
        <f ca="1">_xlfn.CONCAT(B1060,A1080)</f>
        <v>140743BF-S</v>
      </c>
      <c r="C1080" s="17"/>
      <c r="D1080" s="184"/>
      <c r="E1080" s="197"/>
      <c r="F1080" s="19"/>
      <c r="G1080" s="20"/>
    </row>
    <row r="1081" spans="1:8">
      <c r="A1081" s="211" t="s">
        <v>503</v>
      </c>
      <c r="B1081" s="216" t="str">
        <f ca="1">_xlfn.CONCAT(B1060,A1081)</f>
        <v>140743BF-T</v>
      </c>
      <c r="C1081" s="17"/>
      <c r="D1081" s="184"/>
      <c r="E1081" s="197"/>
      <c r="F1081" s="19"/>
      <c r="G1081" s="20"/>
    </row>
    <row r="1082" spans="1:8" ht="14.25" thickBot="1">
      <c r="A1082" s="211" t="s">
        <v>504</v>
      </c>
      <c r="B1082" s="216" t="str">
        <f ca="1">_xlfn.CONCAT(B1060,A1082)</f>
        <v>140743BF-U</v>
      </c>
      <c r="C1082" s="17"/>
      <c r="D1082" s="184"/>
      <c r="E1082" s="197"/>
      <c r="F1082" s="19"/>
      <c r="G1082" s="20"/>
    </row>
    <row r="1083" spans="1:8" ht="16.5" customHeight="1" thickBot="1">
      <c r="A1083" s="211" t="s">
        <v>505</v>
      </c>
      <c r="B1083" s="216" t="str">
        <f ca="1">_xlfn.CONCAT(B1060,A1083)</f>
        <v>140743BF-V</v>
      </c>
      <c r="C1083" s="17" t="s">
        <v>17</v>
      </c>
      <c r="D1083" s="192" t="s">
        <v>17</v>
      </c>
      <c r="E1083" s="18"/>
      <c r="F1083" s="22" t="s">
        <v>18</v>
      </c>
      <c r="G1083" s="23">
        <f>SUM(G1062:G1082)</f>
        <v>90621.8</v>
      </c>
    </row>
    <row r="1084" spans="1:8" ht="28.5" customHeight="1" thickBot="1">
      <c r="A1084" s="211" t="s">
        <v>506</v>
      </c>
      <c r="B1084" s="216" t="str">
        <f ca="1">_xlfn.CONCAT(B1060,A1084)</f>
        <v>140743BF-W</v>
      </c>
      <c r="C1084" s="10" t="s">
        <v>19</v>
      </c>
      <c r="D1084" s="190"/>
      <c r="E1084" s="11"/>
      <c r="F1084" s="12"/>
      <c r="G1084" s="13"/>
    </row>
    <row r="1085" spans="1:8" s="47" customFormat="1" ht="23.25" customHeight="1" thickBot="1">
      <c r="A1085" s="211" t="s">
        <v>507</v>
      </c>
      <c r="B1085" s="216" t="str">
        <f ca="1">_xlfn.CONCAT(B1060,A1085)</f>
        <v>140743BF-X</v>
      </c>
      <c r="C1085" s="14" t="s">
        <v>1</v>
      </c>
      <c r="D1085" s="15"/>
      <c r="E1085" s="15" t="s">
        <v>20</v>
      </c>
      <c r="F1085" s="16" t="s">
        <v>21</v>
      </c>
      <c r="G1085" s="15" t="s">
        <v>5</v>
      </c>
      <c r="H1085" s="215"/>
    </row>
    <row r="1086" spans="1:8">
      <c r="A1086" s="211" t="s">
        <v>508</v>
      </c>
      <c r="B1086" s="216" t="str">
        <f ca="1">_xlfn.CONCAT(B1060,A1086)</f>
        <v>140743BF-Y</v>
      </c>
      <c r="C1086" s="24" t="s">
        <v>22</v>
      </c>
      <c r="D1086" s="184"/>
      <c r="E1086" s="25">
        <f>_xlfn.XLOOKUP(C1086,'H-MO'!B$7:B$30,'H-MO'!D$7:D$30,,0,1)</f>
        <v>2436.5624999999995</v>
      </c>
      <c r="F1086" s="19">
        <v>0.3</v>
      </c>
      <c r="G1086" s="33">
        <f t="shared" ref="G1086:G1091" si="26">+E1086*F1086</f>
        <v>730.96874999999989</v>
      </c>
    </row>
    <row r="1087" spans="1:8">
      <c r="A1087" s="211" t="s">
        <v>509</v>
      </c>
      <c r="B1087" s="216" t="str">
        <f ca="1">_xlfn.CONCAT(B1060,A1087)</f>
        <v>140743BF-Z</v>
      </c>
      <c r="C1087" s="24" t="s">
        <v>23</v>
      </c>
      <c r="D1087" s="184"/>
      <c r="E1087" s="25">
        <f>_xlfn.XLOOKUP(C1087,'H-MO'!B$7:B$30,'H-MO'!D$7:D$30,,0,1)</f>
        <v>1461.9374999999998</v>
      </c>
      <c r="F1087" s="19">
        <v>9.7711304347826086E-2</v>
      </c>
      <c r="G1087" s="33">
        <f t="shared" si="26"/>
        <v>142.84781999999998</v>
      </c>
    </row>
    <row r="1088" spans="1:8">
      <c r="A1088" s="211" t="s">
        <v>510</v>
      </c>
      <c r="B1088" s="216" t="str">
        <f ca="1">_xlfn.CONCAT(B1060,A1088)</f>
        <v>140743BF-aa</v>
      </c>
      <c r="C1088" s="24" t="s">
        <v>24</v>
      </c>
      <c r="D1088" s="185"/>
      <c r="E1088" s="25">
        <f>_xlfn.XLOOKUP(C1088,'H-MO'!B$7:B$30,'H-MO'!D$7:D$30,,0,1)</f>
        <v>29238.749999999996</v>
      </c>
      <c r="F1088" s="28">
        <v>1.6285217391304348E-3</v>
      </c>
      <c r="G1088" s="33">
        <f t="shared" si="26"/>
        <v>47.615939999999995</v>
      </c>
    </row>
    <row r="1089" spans="1:8">
      <c r="A1089" s="211" t="s">
        <v>511</v>
      </c>
      <c r="B1089" s="216" t="str">
        <f ca="1">_xlfn.CONCAT(B1060,A1089)</f>
        <v>140743BF-ab</v>
      </c>
      <c r="C1089" s="24" t="s">
        <v>25</v>
      </c>
      <c r="D1089" s="185"/>
      <c r="E1089" s="25">
        <f>_xlfn.XLOOKUP(C1089,'H-MO'!B$7:B$30,'H-MO'!D$7:D$30,,0,1)</f>
        <v>2761.4374999999995</v>
      </c>
      <c r="F1089" s="28">
        <v>0.3</v>
      </c>
      <c r="G1089" s="33">
        <f t="shared" si="26"/>
        <v>828.43124999999986</v>
      </c>
    </row>
    <row r="1090" spans="1:8">
      <c r="A1090" s="211" t="s">
        <v>512</v>
      </c>
      <c r="B1090" s="216" t="str">
        <f ca="1">_xlfn.CONCAT(B1060,A1090)</f>
        <v>140743BF-ac</v>
      </c>
      <c r="C1090" s="24"/>
      <c r="D1090" s="185"/>
      <c r="E1090" s="29"/>
      <c r="F1090" s="28"/>
      <c r="G1090" s="33">
        <f t="shared" si="26"/>
        <v>0</v>
      </c>
    </row>
    <row r="1091" spans="1:8" ht="14.25" thickBot="1">
      <c r="A1091" s="211" t="s">
        <v>513</v>
      </c>
      <c r="B1091" s="216" t="str">
        <f ca="1">_xlfn.CONCAT(B1060,A1091)</f>
        <v>140743BF-ad</v>
      </c>
      <c r="C1091" s="24"/>
      <c r="D1091" s="185"/>
      <c r="E1091" s="29"/>
      <c r="F1091" s="28"/>
      <c r="G1091" s="33">
        <f t="shared" si="26"/>
        <v>0</v>
      </c>
    </row>
    <row r="1092" spans="1:8" ht="16.5" customHeight="1" thickBot="1">
      <c r="A1092" s="211" t="s">
        <v>514</v>
      </c>
      <c r="B1092" s="216" t="str">
        <f ca="1">_xlfn.CONCAT(B1060,A1092)</f>
        <v>140743BF-ae</v>
      </c>
      <c r="C1092" s="17"/>
      <c r="D1092" s="192"/>
      <c r="E1092" s="18"/>
      <c r="F1092" s="22" t="s">
        <v>26</v>
      </c>
      <c r="G1092" s="23">
        <f>SUM(G1086:G1091)</f>
        <v>1749.8637599999997</v>
      </c>
    </row>
    <row r="1093" spans="1:8" ht="28.5" customHeight="1" thickBot="1">
      <c r="A1093" s="211" t="s">
        <v>515</v>
      </c>
      <c r="B1093" s="216" t="str">
        <f ca="1">_xlfn.CONCAT(B1060,A1093)</f>
        <v>140743BF-af</v>
      </c>
      <c r="C1093" s="10" t="s">
        <v>27</v>
      </c>
      <c r="D1093" s="190"/>
      <c r="E1093" s="11"/>
      <c r="F1093" s="12"/>
      <c r="G1093" s="13"/>
    </row>
    <row r="1094" spans="1:8" s="47" customFormat="1" ht="23.25" customHeight="1" thickBot="1">
      <c r="A1094" s="211" t="s">
        <v>516</v>
      </c>
      <c r="B1094" s="216" t="str">
        <f ca="1">_xlfn.CONCAT(B1060,A1094)</f>
        <v>140743BF-ag</v>
      </c>
      <c r="C1094" s="14" t="s">
        <v>1</v>
      </c>
      <c r="D1094" s="15" t="s">
        <v>28</v>
      </c>
      <c r="E1094" s="15" t="s">
        <v>20</v>
      </c>
      <c r="F1094" s="16" t="s">
        <v>21</v>
      </c>
      <c r="G1094" s="15" t="s">
        <v>5</v>
      </c>
      <c r="H1094" s="215"/>
    </row>
    <row r="1095" spans="1:8">
      <c r="A1095" s="211" t="s">
        <v>517</v>
      </c>
      <c r="B1095" s="216" t="str">
        <f ca="1">_xlfn.CONCAT(B1060,A1095)</f>
        <v>140743BF-ah</v>
      </c>
      <c r="C1095" s="30" t="s">
        <v>29</v>
      </c>
      <c r="D1095" s="186">
        <f>'H-MO'!$N$77</f>
        <v>725918.52892505517</v>
      </c>
      <c r="E1095" s="31">
        <f>+D1095/8</f>
        <v>90739.816115631897</v>
      </c>
      <c r="F1095" s="32">
        <v>0.33</v>
      </c>
      <c r="G1095" s="33">
        <f>+E1095*F1095</f>
        <v>29944.139318158526</v>
      </c>
    </row>
    <row r="1096" spans="1:8">
      <c r="A1096" s="211" t="s">
        <v>518</v>
      </c>
      <c r="B1096" s="216" t="str">
        <f ca="1">_xlfn.CONCAT(B1060,A1096)</f>
        <v>140743BF-ai</v>
      </c>
      <c r="C1096" s="34" t="s">
        <v>30</v>
      </c>
      <c r="D1096" s="187">
        <f>'H-MO'!$N$86</f>
        <v>685561.39085756091</v>
      </c>
      <c r="E1096" s="29">
        <f>+D1096/8</f>
        <v>85695.173857195114</v>
      </c>
      <c r="F1096" s="28">
        <v>0.05</v>
      </c>
      <c r="G1096" s="33">
        <f>+E1096*F1096</f>
        <v>4284.7586928597557</v>
      </c>
    </row>
    <row r="1097" spans="1:8" ht="14.25" thickBot="1">
      <c r="A1097" s="211" t="s">
        <v>519</v>
      </c>
      <c r="B1097" s="216" t="str">
        <f ca="1">_xlfn.CONCAT(B1060,A1097)</f>
        <v>140743BF-aj</v>
      </c>
      <c r="C1097" s="34"/>
      <c r="D1097" s="187"/>
      <c r="E1097" s="29"/>
      <c r="F1097" s="28"/>
      <c r="G1097" s="33">
        <f>+E1097*F1097</f>
        <v>0</v>
      </c>
    </row>
    <row r="1098" spans="1:8" ht="17.25" customHeight="1" thickBot="1">
      <c r="A1098" s="211" t="s">
        <v>520</v>
      </c>
      <c r="B1098" s="216" t="str">
        <f ca="1">_xlfn.CONCAT(B1060,A1098)</f>
        <v>140743BF-ak</v>
      </c>
      <c r="C1098" s="34"/>
      <c r="D1098" s="185"/>
      <c r="E1098" s="26"/>
      <c r="F1098" s="36" t="s">
        <v>31</v>
      </c>
      <c r="G1098" s="23">
        <f>SUM(G1095:G1097)</f>
        <v>34228.898011018282</v>
      </c>
    </row>
    <row r="1099" spans="1:8" ht="14.25" thickBot="1">
      <c r="A1099" s="211" t="s">
        <v>521</v>
      </c>
      <c r="B1099" s="216" t="str">
        <f ca="1">_xlfn.CONCAT(B1060,A1099)</f>
        <v>140743BF-al</v>
      </c>
      <c r="C1099" s="37"/>
      <c r="E1099" s="38"/>
      <c r="F1099" s="22"/>
      <c r="G1099" s="39"/>
    </row>
    <row r="1100" spans="1:8" ht="23.25" customHeight="1" thickBot="1">
      <c r="A1100" s="211" t="s">
        <v>522</v>
      </c>
      <c r="B1100" s="216" t="str">
        <f ca="1">_xlfn.CONCAT(B1060,A1100)</f>
        <v>140743BF-am</v>
      </c>
      <c r="C1100" s="40"/>
      <c r="D1100" s="193"/>
      <c r="E1100" s="41"/>
      <c r="F1100" s="42"/>
      <c r="G1100" s="43">
        <f>+G1083+G1092+G1098</f>
        <v>126600.56177101829</v>
      </c>
    </row>
    <row r="1101" spans="1:8" ht="21.75" thickBot="1">
      <c r="B1101" s="212" t="s">
        <v>550</v>
      </c>
      <c r="C1101" s="2"/>
      <c r="D1101" s="183"/>
      <c r="F1101" s="4"/>
      <c r="G1101" s="5"/>
    </row>
    <row r="1102" spans="1:8" s="45" customFormat="1" ht="34.5" customHeight="1">
      <c r="A1102" s="213"/>
      <c r="B1102" s="214">
        <v>26</v>
      </c>
      <c r="C1102" s="242" t="str">
        <f ca="1">_xlfn.XLOOKUP(B1102,Cantidades!$A$10:$A$314,Cantidades!$C$10:$C$314,,0,1)</f>
        <v>Suministro e instalación de salida tomacorriente doble monofásica extractor.  Incluye caja 5800, conectores, cable #12 AWG de cobre, tubería SCH 40 y demás accesorios para su correcta instalación,  fincionamiento y señalización. (sin aparato)</v>
      </c>
      <c r="D1102" s="243"/>
      <c r="E1102" s="243"/>
      <c r="F1102" s="243"/>
      <c r="G1102" s="244"/>
      <c r="H1102" s="213"/>
    </row>
    <row r="1103" spans="1:8" s="47" customFormat="1" ht="24.95" customHeight="1" thickBot="1">
      <c r="A1103" s="215"/>
      <c r="B1103" s="216" t="s">
        <v>550</v>
      </c>
      <c r="C1103" s="177"/>
      <c r="D1103" s="189"/>
      <c r="E1103" s="178"/>
      <c r="F1103" s="179" t="s">
        <v>636</v>
      </c>
      <c r="G1103" s="209" t="str">
        <f ca="1">B1104</f>
        <v>1C70FA60-</v>
      </c>
      <c r="H1103" s="215"/>
    </row>
    <row r="1104" spans="1:8" ht="28.5" customHeight="1" thickBot="1">
      <c r="B1104" s="212" t="str">
        <f ca="1">_xlfn.XLOOKUP(C1102,Cantidades!$C$1:$C$314,Cantidades!$B$1:$B$314,"",0,1)</f>
        <v>1C70FA60-</v>
      </c>
      <c r="C1104" s="10" t="s">
        <v>0</v>
      </c>
      <c r="D1104" s="190"/>
      <c r="E1104" s="11"/>
      <c r="F1104" s="12"/>
      <c r="G1104" s="13"/>
    </row>
    <row r="1105" spans="1:8" s="47" customFormat="1" ht="23.25" customHeight="1" thickBot="1">
      <c r="A1105" s="215"/>
      <c r="B1105" s="216" t="s">
        <v>550</v>
      </c>
      <c r="C1105" s="14" t="s">
        <v>1</v>
      </c>
      <c r="D1105" s="15" t="s">
        <v>2</v>
      </c>
      <c r="E1105" s="15" t="s">
        <v>3</v>
      </c>
      <c r="F1105" s="16" t="s">
        <v>4</v>
      </c>
      <c r="G1105" s="15" t="s">
        <v>5</v>
      </c>
      <c r="H1105" s="215"/>
    </row>
    <row r="1106" spans="1:8" ht="15">
      <c r="A1106" s="211" t="s">
        <v>484</v>
      </c>
      <c r="B1106" s="216" t="str">
        <f ca="1">_xlfn.CONCAT(B1104,A1106)</f>
        <v>1C70FA60-A</v>
      </c>
      <c r="C1106" s="17" t="str">
        <f>_xlfn.XLOOKUP(H1106,'Materiales unitario'!$A$1:$A$2500,'Materiales unitario'!B$1:B$2500,,0,1)</f>
        <v>Tubo Conduit PVC Sch40 1-2 Pulgadas</v>
      </c>
      <c r="D1106" s="184" t="str">
        <f>_xlfn.XLOOKUP(H1106,'Materiales unitario'!A$1:A$2500,'Materiales unitario'!C$1:C$2500,,0,1)</f>
        <v>ml</v>
      </c>
      <c r="E1106" s="197">
        <f>_xlfn.XLOOKUP(H1106,'Materiales unitario'!$A$1:$A$2500,'Materiales unitario'!D$1:D$2500,,0,1)</f>
        <v>2966.6666666666665</v>
      </c>
      <c r="F1106" s="19">
        <v>4.2</v>
      </c>
      <c r="G1106" s="20">
        <f>+E1106*F1106</f>
        <v>12460</v>
      </c>
      <c r="H1106" s="217" t="s">
        <v>601</v>
      </c>
    </row>
    <row r="1107" spans="1:8" ht="15">
      <c r="A1107" s="211" t="s">
        <v>485</v>
      </c>
      <c r="B1107" s="216" t="str">
        <f ca="1">_xlfn.CONCAT(B1104,A1107)</f>
        <v>1C70FA60-B</v>
      </c>
      <c r="C1107" s="17" t="str">
        <f>_xlfn.XLOOKUP(H1107,'Materiales unitario'!$A$1:$A$2500,'Materiales unitario'!B$1:B$2500,,0,1)</f>
        <v>Tubo Conduit PVC SCH40 3-4 Pulgadas</v>
      </c>
      <c r="D1107" s="184" t="str">
        <f>_xlfn.XLOOKUP(H1107,'Materiales unitario'!A$1:A$2500,'Materiales unitario'!C$1:C$2500,,0,1)</f>
        <v>ml</v>
      </c>
      <c r="E1107" s="197">
        <f>_xlfn.XLOOKUP(H1107,'Materiales unitario'!$A$1:$A$2500,'Materiales unitario'!D$1:D$2500,,0,1)</f>
        <v>3966.6666666666665</v>
      </c>
      <c r="F1107" s="19">
        <v>1.8</v>
      </c>
      <c r="G1107" s="20">
        <f t="shared" ref="G1107:G1117" si="27">+E1107*F1107</f>
        <v>7140</v>
      </c>
      <c r="H1107" s="217" t="s">
        <v>602</v>
      </c>
    </row>
    <row r="1108" spans="1:8" ht="15">
      <c r="A1108" s="211" t="s">
        <v>486</v>
      </c>
      <c r="B1108" s="216" t="str">
        <f ca="1">_xlfn.CONCAT(B1104,A1108)</f>
        <v>1C70FA60-C</v>
      </c>
      <c r="C1108" s="17" t="str">
        <f>_xlfn.XLOOKUP(H1108,'Materiales unitario'!$A$1:$A$2500,'Materiales unitario'!B$1:B$2500,,0,1)</f>
        <v>Adaptador terminal PVC ø1/2"</v>
      </c>
      <c r="D1108" s="184" t="str">
        <f>_xlfn.XLOOKUP(H1108,'Materiales unitario'!A$1:A$2500,'Materiales unitario'!C$1:C$2500,,0,1)</f>
        <v>un</v>
      </c>
      <c r="E1108" s="197">
        <f>_xlfn.XLOOKUP(H1108,'Materiales unitario'!$A$1:$A$2500,'Materiales unitario'!D$1:D$2500,,0,1)</f>
        <v>720</v>
      </c>
      <c r="F1108" s="19">
        <v>2</v>
      </c>
      <c r="G1108" s="20">
        <f t="shared" si="27"/>
        <v>1440</v>
      </c>
      <c r="H1108" s="217" t="s">
        <v>603</v>
      </c>
    </row>
    <row r="1109" spans="1:8" ht="15">
      <c r="A1109" s="211" t="s">
        <v>487</v>
      </c>
      <c r="B1109" s="216" t="str">
        <f ca="1">_xlfn.CONCAT(B1104,A1109)</f>
        <v>1C70FA60-D</v>
      </c>
      <c r="C1109" s="17" t="str">
        <f>_xlfn.XLOOKUP(H1109,'Materiales unitario'!$A$1:$A$2500,'Materiales unitario'!B$1:B$2500,,0,1)</f>
        <v>Adaptador terminal PVC ø3/4"</v>
      </c>
      <c r="D1109" s="184" t="str">
        <f>_xlfn.XLOOKUP(H1109,'Materiales unitario'!A$1:A$2500,'Materiales unitario'!C$1:C$2500,,0,1)</f>
        <v>un</v>
      </c>
      <c r="E1109" s="197">
        <f>_xlfn.XLOOKUP(H1109,'Materiales unitario'!$A$1:$A$2500,'Materiales unitario'!D$1:D$2500,,0,1)</f>
        <v>920</v>
      </c>
      <c r="F1109" s="19">
        <v>0.3</v>
      </c>
      <c r="G1109" s="20">
        <f t="shared" si="27"/>
        <v>276</v>
      </c>
      <c r="H1109" s="217" t="s">
        <v>604</v>
      </c>
    </row>
    <row r="1110" spans="1:8" ht="15">
      <c r="A1110" s="211" t="s">
        <v>488</v>
      </c>
      <c r="B1110" s="216" t="str">
        <f ca="1">_xlfn.CONCAT(B1104,A1110)</f>
        <v>1C70FA60-E</v>
      </c>
      <c r="C1110" s="17" t="str">
        <f>_xlfn.XLOOKUP(H1110,'Materiales unitario'!$A$1:$A$2500,'Materiales unitario'!B$1:B$2500,,0,1)</f>
        <v>Caja galvanizada ref. 2400 (Cal. 20)</v>
      </c>
      <c r="D1110" s="184" t="str">
        <f>_xlfn.XLOOKUP(H1110,'Materiales unitario'!A$1:A$2500,'Materiales unitario'!C$1:C$2500,,0,1)</f>
        <v>un</v>
      </c>
      <c r="E1110" s="197">
        <f>_xlfn.XLOOKUP(H1110,'Materiales unitario'!$A$1:$A$2500,'Materiales unitario'!D$1:D$2500,,0,1)</f>
        <v>3150</v>
      </c>
      <c r="F1110" s="19">
        <v>0.1</v>
      </c>
      <c r="G1110" s="20">
        <f t="shared" si="27"/>
        <v>315</v>
      </c>
      <c r="H1110" s="217" t="s">
        <v>605</v>
      </c>
    </row>
    <row r="1111" spans="1:8" ht="15">
      <c r="A1111" s="211" t="s">
        <v>489</v>
      </c>
      <c r="B1111" s="216" t="str">
        <f ca="1">_xlfn.CONCAT(B1104,A1111)</f>
        <v>1C70FA60-F</v>
      </c>
      <c r="C1111" s="17" t="str">
        <f>_xlfn.XLOOKUP(H1111,'Materiales unitario'!$A$1:$A$2500,'Materiales unitario'!B$1:B$2500,,0,1)</f>
        <v>Caja galvanizada ref. 5800 (Cal. 20)</v>
      </c>
      <c r="D1111" s="184" t="str">
        <f>_xlfn.XLOOKUP(H1111,'Materiales unitario'!A$1:A$2500,'Materiales unitario'!C$1:C$2500,,0,1)</f>
        <v>un</v>
      </c>
      <c r="E1111" s="197">
        <f>_xlfn.XLOOKUP(H1111,'Materiales unitario'!$A$1:$A$2500,'Materiales unitario'!D$1:D$2500,,0,1)</f>
        <v>2900</v>
      </c>
      <c r="F1111" s="19">
        <v>0.9</v>
      </c>
      <c r="G1111" s="20">
        <f t="shared" si="27"/>
        <v>2610</v>
      </c>
      <c r="H1111" s="217" t="s">
        <v>606</v>
      </c>
    </row>
    <row r="1112" spans="1:8" ht="15">
      <c r="A1112" s="211" t="s">
        <v>490</v>
      </c>
      <c r="B1112" s="216" t="str">
        <f ca="1">_xlfn.CONCAT(B1104,A1112)</f>
        <v>1C70FA60-G</v>
      </c>
      <c r="C1112" s="17" t="str">
        <f>_xlfn.XLOOKUP(H1112,'Materiales unitario'!$A$1:$A$2500,'Materiales unitario'!B$1:B$2500,,0,1)</f>
        <v>Caja galvanizada octagonal (Cal. 20)</v>
      </c>
      <c r="D1112" s="184" t="str">
        <f>_xlfn.XLOOKUP(H1112,'Materiales unitario'!A$1:A$2500,'Materiales unitario'!C$1:C$2500,,0,1)</f>
        <v>un</v>
      </c>
      <c r="E1112" s="197">
        <f>_xlfn.XLOOKUP(H1112,'Materiales unitario'!$A$1:$A$2500,'Materiales unitario'!D$1:D$2500,,0,1)</f>
        <v>2900</v>
      </c>
      <c r="F1112" s="19">
        <v>0.01</v>
      </c>
      <c r="G1112" s="20">
        <f t="shared" si="27"/>
        <v>29</v>
      </c>
      <c r="H1112" s="217" t="s">
        <v>607</v>
      </c>
    </row>
    <row r="1113" spans="1:8" ht="15">
      <c r="A1113" s="211" t="s">
        <v>491</v>
      </c>
      <c r="B1113" s="216" t="str">
        <f ca="1">_xlfn.CONCAT(B1104,A1113)</f>
        <v>1C70FA60-H</v>
      </c>
      <c r="C1113" s="17" t="str">
        <f>_xlfn.XLOOKUP(H1113,'Materiales unitario'!$A$1:$A$2500,'Materiales unitario'!B$1:B$2500,,0,1)</f>
        <v xml:space="preserve">Tornillo lámina #14x1/2" goloso </v>
      </c>
      <c r="D1113" s="184" t="str">
        <f>_xlfn.XLOOKUP(H1113,'Materiales unitario'!A$1:A$2500,'Materiales unitario'!C$1:C$2500,,0,1)</f>
        <v>un</v>
      </c>
      <c r="E1113" s="197">
        <f>_xlfn.XLOOKUP(H1113,'Materiales unitario'!$A$1:$A$2500,'Materiales unitario'!D$1:D$2500,,0,1)</f>
        <v>200</v>
      </c>
      <c r="F1113" s="19">
        <v>2</v>
      </c>
      <c r="G1113" s="20">
        <f t="shared" si="27"/>
        <v>400</v>
      </c>
      <c r="H1113" s="217" t="s">
        <v>608</v>
      </c>
    </row>
    <row r="1114" spans="1:8" ht="15">
      <c r="A1114" s="211" t="s">
        <v>492</v>
      </c>
      <c r="B1114" s="216" t="str">
        <f ca="1">_xlfn.CONCAT(B1104,A1114)</f>
        <v>1C70FA60-I</v>
      </c>
      <c r="C1114" s="17" t="str">
        <f>_xlfn.XLOOKUP(H1114,'Materiales unitario'!$A$1:$A$2500,'Materiales unitario'!B$1:B$2500,,0,1)</f>
        <v>Suplemento galvanizado de ø1/4" (Cal. 24)</v>
      </c>
      <c r="D1114" s="184" t="str">
        <f>_xlfn.XLOOKUP(H1114,'Materiales unitario'!A$1:A$2500,'Materiales unitario'!C$1:C$2500,,0,1)</f>
        <v>un</v>
      </c>
      <c r="E1114" s="197">
        <f>_xlfn.XLOOKUP(H1114,'Materiales unitario'!$A$1:$A$2500,'Materiales unitario'!D$1:D$2500,,0,1)</f>
        <v>1200</v>
      </c>
      <c r="F1114" s="19">
        <v>0.5</v>
      </c>
      <c r="G1114" s="20">
        <f t="shared" si="27"/>
        <v>600</v>
      </c>
      <c r="H1114" s="217" t="s">
        <v>609</v>
      </c>
    </row>
    <row r="1115" spans="1:8" ht="15">
      <c r="A1115" s="211" t="s">
        <v>493</v>
      </c>
      <c r="B1115" s="216" t="str">
        <f ca="1">_xlfn.CONCAT(B1104,A1115)</f>
        <v>1C70FA60-J</v>
      </c>
      <c r="C1115" s="17" t="str">
        <f>_xlfn.XLOOKUP(H1115,'Materiales unitario'!$A$1:$A$2500,'Materiales unitario'!B$1:B$2500,,0,1)</f>
        <v>Conector de resorte rojo "R" 18-10 AWG</v>
      </c>
      <c r="D1115" s="184" t="str">
        <f>_xlfn.XLOOKUP(H1115,'Materiales unitario'!A$1:A$2500,'Materiales unitario'!C$1:C$2500,,0,1)</f>
        <v>un</v>
      </c>
      <c r="E1115" s="197">
        <f>_xlfn.XLOOKUP(H1115,'Materiales unitario'!$A$1:$A$2500,'Materiales unitario'!D$1:D$2500,,0,1)</f>
        <v>280</v>
      </c>
      <c r="F1115" s="19">
        <v>3</v>
      </c>
      <c r="G1115" s="20">
        <f t="shared" si="27"/>
        <v>840</v>
      </c>
      <c r="H1115" s="217" t="s">
        <v>302</v>
      </c>
    </row>
    <row r="1116" spans="1:8" ht="15">
      <c r="A1116" s="211" t="s">
        <v>494</v>
      </c>
      <c r="B1116" s="216" t="str">
        <f ca="1">_xlfn.CONCAT(B1104,A1116)</f>
        <v>1C70FA60-K</v>
      </c>
      <c r="C1116" s="17" t="str">
        <f>_xlfn.XLOOKUP(H1116,'Materiales unitario'!$A$1:$A$2500,'Materiales unitario'!B$1:B$2500,,0,1)</f>
        <v>Soldadura liquida PVC 1/4 de galón</v>
      </c>
      <c r="D1116" s="184" t="str">
        <f>_xlfn.XLOOKUP(H1116,'Materiales unitario'!A$1:A$2500,'Materiales unitario'!C$1:C$2500,,0,1)</f>
        <v>un</v>
      </c>
      <c r="E1116" s="197">
        <f>_xlfn.XLOOKUP(H1116,'Materiales unitario'!$A$1:$A$2500,'Materiales unitario'!D$1:D$2500,,0,1)</f>
        <v>60900</v>
      </c>
      <c r="F1116" s="19">
        <v>1.2E-2</v>
      </c>
      <c r="G1116" s="20">
        <f t="shared" si="27"/>
        <v>730.80000000000007</v>
      </c>
      <c r="H1116" s="217" t="s">
        <v>530</v>
      </c>
    </row>
    <row r="1117" spans="1:8" ht="15">
      <c r="A1117" s="211" t="s">
        <v>495</v>
      </c>
      <c r="B1117" s="216" t="str">
        <f ca="1">_xlfn.CONCAT(B1104,A1117)</f>
        <v>1C70FA60-L</v>
      </c>
      <c r="C1117" s="17" t="str">
        <f>_xlfn.XLOOKUP(H1117,'Materiales unitario'!$A$1:$A$2500,'Materiales unitario'!B$1:B$2500,,0,1)</f>
        <v>Cable de cobre aislado #12 AWG-THHN/THWN Color negro</v>
      </c>
      <c r="D1117" s="184" t="str">
        <f>_xlfn.XLOOKUP(H1117,'Materiales unitario'!A$1:A$2500,'Materiales unitario'!C$1:C$2500,,0,1)</f>
        <v>ml</v>
      </c>
      <c r="E1117" s="197">
        <f>_xlfn.XLOOKUP(H1117,'Materiales unitario'!$A$1:$A$2500,'Materiales unitario'!D$1:D$2500,,0,1)</f>
        <v>3020</v>
      </c>
      <c r="F1117" s="19">
        <v>21</v>
      </c>
      <c r="G1117" s="20">
        <f t="shared" si="27"/>
        <v>63420</v>
      </c>
      <c r="H1117" s="217" t="s">
        <v>267</v>
      </c>
    </row>
    <row r="1118" spans="1:8" ht="15">
      <c r="A1118" s="211" t="s">
        <v>496</v>
      </c>
      <c r="B1118" s="216" t="str">
        <f ca="1">_xlfn.CONCAT(B1104,A1118)</f>
        <v>1C70FA60-M</v>
      </c>
      <c r="C1118" s="17"/>
      <c r="D1118" s="184"/>
      <c r="E1118" s="197"/>
      <c r="F1118" s="19"/>
      <c r="G1118" s="20"/>
      <c r="H1118" s="217"/>
    </row>
    <row r="1119" spans="1:8">
      <c r="A1119" s="211" t="s">
        <v>497</v>
      </c>
      <c r="B1119" s="216" t="str">
        <f ca="1">_xlfn.CONCAT(B1104,A1119)</f>
        <v>1C70FA60-N</v>
      </c>
      <c r="C1119" s="17"/>
      <c r="D1119" s="184"/>
      <c r="E1119" s="197"/>
      <c r="F1119" s="19"/>
      <c r="G1119" s="20"/>
    </row>
    <row r="1120" spans="1:8">
      <c r="A1120" s="211" t="s">
        <v>498</v>
      </c>
      <c r="B1120" s="216" t="str">
        <f ca="1">_xlfn.CONCAT(B1104,A1120)</f>
        <v>1C70FA60-O</v>
      </c>
      <c r="C1120" s="17"/>
      <c r="D1120" s="184"/>
      <c r="E1120" s="197"/>
      <c r="F1120" s="19"/>
      <c r="G1120" s="20"/>
    </row>
    <row r="1121" spans="1:8">
      <c r="A1121" s="211" t="s">
        <v>499</v>
      </c>
      <c r="B1121" s="216" t="str">
        <f ca="1">_xlfn.CONCAT(B1104,A1121)</f>
        <v>1C70FA60-P</v>
      </c>
      <c r="C1121" s="17"/>
      <c r="D1121" s="184"/>
      <c r="E1121" s="197"/>
      <c r="F1121" s="19"/>
      <c r="G1121" s="20"/>
    </row>
    <row r="1122" spans="1:8">
      <c r="A1122" s="211" t="s">
        <v>500</v>
      </c>
      <c r="B1122" s="216" t="str">
        <f ca="1">_xlfn.CONCAT(B1104,A1122)</f>
        <v>1C70FA60-Q</v>
      </c>
      <c r="C1122" s="17"/>
      <c r="D1122" s="184"/>
      <c r="E1122" s="197"/>
      <c r="F1122" s="19"/>
      <c r="G1122" s="20"/>
    </row>
    <row r="1123" spans="1:8">
      <c r="A1123" s="211" t="s">
        <v>501</v>
      </c>
      <c r="B1123" s="216" t="str">
        <f ca="1">_xlfn.CONCAT(B1104,A1123)</f>
        <v>1C70FA60-R</v>
      </c>
      <c r="C1123" s="17"/>
      <c r="D1123" s="184"/>
      <c r="E1123" s="197"/>
      <c r="F1123" s="19"/>
      <c r="G1123" s="20"/>
    </row>
    <row r="1124" spans="1:8">
      <c r="A1124" s="211" t="s">
        <v>502</v>
      </c>
      <c r="B1124" s="216" t="str">
        <f ca="1">_xlfn.CONCAT(B1104,A1124)</f>
        <v>1C70FA60-S</v>
      </c>
      <c r="C1124" s="17"/>
      <c r="D1124" s="184"/>
      <c r="E1124" s="197"/>
      <c r="F1124" s="19"/>
      <c r="G1124" s="20"/>
    </row>
    <row r="1125" spans="1:8">
      <c r="A1125" s="211" t="s">
        <v>503</v>
      </c>
      <c r="B1125" s="216" t="str">
        <f ca="1">_xlfn.CONCAT(B1104,A1125)</f>
        <v>1C70FA60-T</v>
      </c>
      <c r="C1125" s="17"/>
      <c r="D1125" s="184"/>
      <c r="E1125" s="197"/>
      <c r="F1125" s="19"/>
      <c r="G1125" s="20"/>
    </row>
    <row r="1126" spans="1:8" ht="14.25" thickBot="1">
      <c r="A1126" s="211" t="s">
        <v>504</v>
      </c>
      <c r="B1126" s="216" t="str">
        <f ca="1">_xlfn.CONCAT(B1104,A1126)</f>
        <v>1C70FA60-U</v>
      </c>
      <c r="C1126" s="17"/>
      <c r="D1126" s="184"/>
      <c r="E1126" s="197"/>
      <c r="F1126" s="19"/>
      <c r="G1126" s="20"/>
    </row>
    <row r="1127" spans="1:8" ht="16.5" customHeight="1" thickBot="1">
      <c r="A1127" s="211" t="s">
        <v>505</v>
      </c>
      <c r="B1127" s="216" t="str">
        <f ca="1">_xlfn.CONCAT(B1104,A1127)</f>
        <v>1C70FA60-V</v>
      </c>
      <c r="C1127" s="17" t="s">
        <v>17</v>
      </c>
      <c r="D1127" s="192" t="s">
        <v>17</v>
      </c>
      <c r="E1127" s="18"/>
      <c r="F1127" s="22" t="s">
        <v>18</v>
      </c>
      <c r="G1127" s="23">
        <f>SUM(G1106:G1126)</f>
        <v>90260.800000000003</v>
      </c>
    </row>
    <row r="1128" spans="1:8" ht="28.5" customHeight="1" thickBot="1">
      <c r="A1128" s="211" t="s">
        <v>506</v>
      </c>
      <c r="B1128" s="216" t="str">
        <f ca="1">_xlfn.CONCAT(B1104,A1128)</f>
        <v>1C70FA60-W</v>
      </c>
      <c r="C1128" s="10" t="s">
        <v>19</v>
      </c>
      <c r="D1128" s="190"/>
      <c r="E1128" s="11"/>
      <c r="F1128" s="12"/>
      <c r="G1128" s="13"/>
    </row>
    <row r="1129" spans="1:8" s="47" customFormat="1" ht="23.25" customHeight="1" thickBot="1">
      <c r="A1129" s="211" t="s">
        <v>507</v>
      </c>
      <c r="B1129" s="216" t="str">
        <f ca="1">_xlfn.CONCAT(B1104,A1129)</f>
        <v>1C70FA60-X</v>
      </c>
      <c r="C1129" s="14" t="s">
        <v>1</v>
      </c>
      <c r="D1129" s="15"/>
      <c r="E1129" s="15" t="s">
        <v>20</v>
      </c>
      <c r="F1129" s="16" t="s">
        <v>21</v>
      </c>
      <c r="G1129" s="15" t="s">
        <v>5</v>
      </c>
      <c r="H1129" s="215"/>
    </row>
    <row r="1130" spans="1:8">
      <c r="A1130" s="211" t="s">
        <v>508</v>
      </c>
      <c r="B1130" s="216" t="str">
        <f ca="1">_xlfn.CONCAT(B1104,A1130)</f>
        <v>1C70FA60-Y</v>
      </c>
      <c r="C1130" s="24" t="s">
        <v>22</v>
      </c>
      <c r="D1130" s="184"/>
      <c r="E1130" s="25">
        <f>_xlfn.XLOOKUP(C1130,'H-MO'!B$7:B$30,'H-MO'!D$7:D$30,,0,1)</f>
        <v>2436.5624999999995</v>
      </c>
      <c r="F1130" s="19">
        <v>0.35</v>
      </c>
      <c r="G1130" s="33">
        <f t="shared" ref="G1130:G1135" si="28">+E1130*F1130</f>
        <v>852.79687499999977</v>
      </c>
    </row>
    <row r="1131" spans="1:8">
      <c r="A1131" s="211" t="s">
        <v>509</v>
      </c>
      <c r="B1131" s="216" t="str">
        <f ca="1">_xlfn.CONCAT(B1104,A1131)</f>
        <v>1C70FA60-Z</v>
      </c>
      <c r="C1131" s="24" t="s">
        <v>23</v>
      </c>
      <c r="D1131" s="184"/>
      <c r="E1131" s="25">
        <f>_xlfn.XLOOKUP(C1131,'H-MO'!B$7:B$30,'H-MO'!D$7:D$30,,0,1)</f>
        <v>1461.9374999999998</v>
      </c>
      <c r="F1131" s="19">
        <v>0.12239304347826087</v>
      </c>
      <c r="G1131" s="33">
        <f t="shared" si="28"/>
        <v>178.93097999999998</v>
      </c>
    </row>
    <row r="1132" spans="1:8">
      <c r="A1132" s="211" t="s">
        <v>510</v>
      </c>
      <c r="B1132" s="216" t="str">
        <f ca="1">_xlfn.CONCAT(B1104,A1132)</f>
        <v>1C70FA60-aa</v>
      </c>
      <c r="C1132" s="24" t="s">
        <v>24</v>
      </c>
      <c r="D1132" s="185"/>
      <c r="E1132" s="25">
        <f>_xlfn.XLOOKUP(C1132,'H-MO'!B$7:B$30,'H-MO'!D$7:D$30,,0,1)</f>
        <v>29238.749999999996</v>
      </c>
      <c r="F1132" s="28">
        <v>0.02</v>
      </c>
      <c r="G1132" s="33">
        <f t="shared" si="28"/>
        <v>584.77499999999998</v>
      </c>
    </row>
    <row r="1133" spans="1:8">
      <c r="A1133" s="211" t="s">
        <v>511</v>
      </c>
      <c r="B1133" s="216" t="str">
        <f ca="1">_xlfn.CONCAT(B1104,A1133)</f>
        <v>1C70FA60-ab</v>
      </c>
      <c r="C1133" s="24" t="s">
        <v>25</v>
      </c>
      <c r="D1133" s="185"/>
      <c r="E1133" s="25">
        <f>_xlfn.XLOOKUP(C1133,'H-MO'!B$7:B$30,'H-MO'!D$7:D$30,,0,1)</f>
        <v>2761.4374999999995</v>
      </c>
      <c r="F1133" s="28">
        <v>0.35</v>
      </c>
      <c r="G1133" s="33">
        <f t="shared" si="28"/>
        <v>966.50312499999973</v>
      </c>
    </row>
    <row r="1134" spans="1:8">
      <c r="A1134" s="211" t="s">
        <v>512</v>
      </c>
      <c r="B1134" s="216" t="str">
        <f ca="1">_xlfn.CONCAT(B1104,A1134)</f>
        <v>1C70FA60-ac</v>
      </c>
      <c r="C1134" s="24"/>
      <c r="D1134" s="185"/>
      <c r="E1134" s="29"/>
      <c r="F1134" s="28"/>
      <c r="G1134" s="33">
        <f t="shared" si="28"/>
        <v>0</v>
      </c>
    </row>
    <row r="1135" spans="1:8" ht="14.25" thickBot="1">
      <c r="A1135" s="211" t="s">
        <v>513</v>
      </c>
      <c r="B1135" s="216" t="str">
        <f ca="1">_xlfn.CONCAT(B1104,A1135)</f>
        <v>1C70FA60-ad</v>
      </c>
      <c r="C1135" s="24"/>
      <c r="D1135" s="185"/>
      <c r="E1135" s="29"/>
      <c r="F1135" s="28"/>
      <c r="G1135" s="33">
        <f t="shared" si="28"/>
        <v>0</v>
      </c>
    </row>
    <row r="1136" spans="1:8" ht="16.5" customHeight="1" thickBot="1">
      <c r="A1136" s="211" t="s">
        <v>514</v>
      </c>
      <c r="B1136" s="216" t="str">
        <f ca="1">_xlfn.CONCAT(B1104,A1136)</f>
        <v>1C70FA60-ae</v>
      </c>
      <c r="C1136" s="17"/>
      <c r="D1136" s="192"/>
      <c r="E1136" s="18"/>
      <c r="F1136" s="22" t="s">
        <v>26</v>
      </c>
      <c r="G1136" s="23">
        <f>SUM(G1130:G1135)</f>
        <v>2583.0059799999995</v>
      </c>
    </row>
    <row r="1137" spans="1:8" ht="28.5" customHeight="1" thickBot="1">
      <c r="A1137" s="211" t="s">
        <v>515</v>
      </c>
      <c r="B1137" s="216" t="str">
        <f ca="1">_xlfn.CONCAT(B1104,A1137)</f>
        <v>1C70FA60-af</v>
      </c>
      <c r="C1137" s="10" t="s">
        <v>27</v>
      </c>
      <c r="D1137" s="190"/>
      <c r="E1137" s="11"/>
      <c r="F1137" s="12"/>
      <c r="G1137" s="13"/>
    </row>
    <row r="1138" spans="1:8" s="47" customFormat="1" ht="23.25" customHeight="1" thickBot="1">
      <c r="A1138" s="211" t="s">
        <v>516</v>
      </c>
      <c r="B1138" s="216" t="str">
        <f ca="1">_xlfn.CONCAT(B1104,A1138)</f>
        <v>1C70FA60-ag</v>
      </c>
      <c r="C1138" s="14" t="s">
        <v>1</v>
      </c>
      <c r="D1138" s="15" t="s">
        <v>28</v>
      </c>
      <c r="E1138" s="15" t="s">
        <v>20</v>
      </c>
      <c r="F1138" s="16" t="s">
        <v>21</v>
      </c>
      <c r="G1138" s="15" t="s">
        <v>5</v>
      </c>
      <c r="H1138" s="215"/>
    </row>
    <row r="1139" spans="1:8">
      <c r="A1139" s="211" t="s">
        <v>517</v>
      </c>
      <c r="B1139" s="216" t="str">
        <f ca="1">_xlfn.CONCAT(B1104,A1139)</f>
        <v>1C70FA60-ah</v>
      </c>
      <c r="C1139" s="30" t="s">
        <v>29</v>
      </c>
      <c r="D1139" s="186">
        <f>'H-MO'!$N$77</f>
        <v>725918.52892505517</v>
      </c>
      <c r="E1139" s="31">
        <f>+D1139/8</f>
        <v>90739.816115631897</v>
      </c>
      <c r="F1139" s="32">
        <v>0.3</v>
      </c>
      <c r="G1139" s="33">
        <f>+E1139*F1139</f>
        <v>27221.94483468957</v>
      </c>
    </row>
    <row r="1140" spans="1:8">
      <c r="A1140" s="211" t="s">
        <v>518</v>
      </c>
      <c r="B1140" s="216" t="str">
        <f ca="1">_xlfn.CONCAT(B1104,A1140)</f>
        <v>1C70FA60-ai</v>
      </c>
      <c r="C1140" s="34" t="s">
        <v>30</v>
      </c>
      <c r="D1140" s="187">
        <f>'H-MO'!$N$86</f>
        <v>685561.39085756091</v>
      </c>
      <c r="E1140" s="29">
        <f>+D1140/8</f>
        <v>85695.173857195114</v>
      </c>
      <c r="F1140" s="28">
        <v>0.05</v>
      </c>
      <c r="G1140" s="33">
        <f>+E1140*F1140</f>
        <v>4284.7586928597557</v>
      </c>
    </row>
    <row r="1141" spans="1:8" ht="14.25" thickBot="1">
      <c r="A1141" s="211" t="s">
        <v>519</v>
      </c>
      <c r="B1141" s="216" t="str">
        <f ca="1">_xlfn.CONCAT(B1104,A1141)</f>
        <v>1C70FA60-aj</v>
      </c>
      <c r="C1141" s="34"/>
      <c r="D1141" s="187"/>
      <c r="E1141" s="29"/>
      <c r="F1141" s="28"/>
      <c r="G1141" s="33">
        <f>+E1141*F1141</f>
        <v>0</v>
      </c>
    </row>
    <row r="1142" spans="1:8" ht="17.25" customHeight="1" thickBot="1">
      <c r="A1142" s="211" t="s">
        <v>520</v>
      </c>
      <c r="B1142" s="216" t="str">
        <f ca="1">_xlfn.CONCAT(B1104,A1142)</f>
        <v>1C70FA60-ak</v>
      </c>
      <c r="C1142" s="34"/>
      <c r="D1142" s="185"/>
      <c r="E1142" s="26"/>
      <c r="F1142" s="36" t="s">
        <v>31</v>
      </c>
      <c r="G1142" s="23">
        <f>SUM(G1139:G1141)</f>
        <v>31506.703527549325</v>
      </c>
    </row>
    <row r="1143" spans="1:8" ht="14.25" thickBot="1">
      <c r="A1143" s="211" t="s">
        <v>521</v>
      </c>
      <c r="B1143" s="216" t="str">
        <f ca="1">_xlfn.CONCAT(B1104,A1143)</f>
        <v>1C70FA60-al</v>
      </c>
      <c r="C1143" s="37"/>
      <c r="E1143" s="38"/>
      <c r="F1143" s="22"/>
      <c r="G1143" s="39"/>
    </row>
    <row r="1144" spans="1:8" ht="23.25" customHeight="1" thickBot="1">
      <c r="A1144" s="211" t="s">
        <v>522</v>
      </c>
      <c r="B1144" s="216" t="str">
        <f ca="1">_xlfn.CONCAT(B1104,A1144)</f>
        <v>1C70FA60-am</v>
      </c>
      <c r="C1144" s="40"/>
      <c r="D1144" s="193"/>
      <c r="E1144" s="41"/>
      <c r="F1144" s="42"/>
      <c r="G1144" s="43">
        <f>+G1127+G1136+G1142</f>
        <v>124350.50950754933</v>
      </c>
    </row>
    <row r="1145" spans="1:8" ht="21.75" thickBot="1">
      <c r="B1145" s="212" t="s">
        <v>550</v>
      </c>
      <c r="C1145" s="2"/>
      <c r="D1145" s="183"/>
      <c r="F1145" s="4"/>
      <c r="G1145" s="5"/>
    </row>
    <row r="1146" spans="1:8" s="45" customFormat="1" ht="34.5" customHeight="1">
      <c r="A1146" s="213"/>
      <c r="B1146" s="214">
        <v>27</v>
      </c>
      <c r="C1146" s="242" t="str">
        <f ca="1">_xlfn.XLOOKUP(B1146,Cantidades!$A$10:$A$314,Cantidades!$C$10:$C$314,,0,1)</f>
        <v>Suministro e instalación de tomacorriente doble monofásica polo a tierra. Incluye caja de conexión, cable #12 AWG de cobre, tubería PVC 4 metros y demás accesorios para su correcta instalación,  fincionamiento y señalización.</v>
      </c>
      <c r="D1146" s="243"/>
      <c r="E1146" s="243"/>
      <c r="F1146" s="243"/>
      <c r="G1146" s="244"/>
      <c r="H1146" s="213"/>
    </row>
    <row r="1147" spans="1:8" s="47" customFormat="1" ht="24.95" customHeight="1" thickBot="1">
      <c r="A1147" s="215"/>
      <c r="B1147" s="216" t="s">
        <v>550</v>
      </c>
      <c r="C1147" s="177"/>
      <c r="D1147" s="189"/>
      <c r="E1147" s="178"/>
      <c r="F1147" s="179" t="s">
        <v>636</v>
      </c>
      <c r="G1147" s="209" t="str">
        <f ca="1">B1148</f>
        <v>31B2542C-</v>
      </c>
      <c r="H1147" s="215"/>
    </row>
    <row r="1148" spans="1:8" ht="28.5" customHeight="1" thickBot="1">
      <c r="B1148" s="212" t="str">
        <f ca="1">_xlfn.XLOOKUP(C1146,Cantidades!$C$1:$C$314,Cantidades!$B$1:$B$314,"",0,1)</f>
        <v>31B2542C-</v>
      </c>
      <c r="C1148" s="10" t="s">
        <v>0</v>
      </c>
      <c r="D1148" s="190"/>
      <c r="E1148" s="11"/>
      <c r="F1148" s="12"/>
      <c r="G1148" s="13"/>
    </row>
    <row r="1149" spans="1:8" s="47" customFormat="1" ht="23.25" customHeight="1" thickBot="1">
      <c r="A1149" s="215"/>
      <c r="B1149" s="216" t="s">
        <v>550</v>
      </c>
      <c r="C1149" s="14" t="s">
        <v>1</v>
      </c>
      <c r="D1149" s="15" t="s">
        <v>2</v>
      </c>
      <c r="E1149" s="15" t="s">
        <v>3</v>
      </c>
      <c r="F1149" s="16" t="s">
        <v>4</v>
      </c>
      <c r="G1149" s="15" t="s">
        <v>5</v>
      </c>
      <c r="H1149" s="215"/>
    </row>
    <row r="1150" spans="1:8">
      <c r="A1150" s="211" t="s">
        <v>484</v>
      </c>
      <c r="B1150" s="216" t="str">
        <f ca="1">_xlfn.CONCAT(B1148,A1150)</f>
        <v>31B2542C-A</v>
      </c>
      <c r="C1150" s="17" t="str">
        <f>_xlfn.XLOOKUP(H1150,'Materiales unitario'!$A$1:$A$2500,'Materiales unitario'!B$1:B$2500,,0,1)</f>
        <v>Tubo Conduit PVC 3-4 Pulgadas</v>
      </c>
      <c r="D1150" s="184" t="str">
        <f>_xlfn.XLOOKUP(H1150,'Materiales unitario'!A$1:A$2500,'Materiales unitario'!C$1:C$2500,,0,1)</f>
        <v>ml</v>
      </c>
      <c r="E1150" s="197">
        <f>_xlfn.XLOOKUP(H1150,'Materiales unitario'!$A$1:$A$2500,'Materiales unitario'!D$1:D$2500,,0,1)</f>
        <v>2066.6666666666665</v>
      </c>
      <c r="F1150" s="19">
        <v>4.5</v>
      </c>
      <c r="G1150" s="20">
        <f>+E1150*F1150</f>
        <v>9300</v>
      </c>
      <c r="H1150" s="211" t="s">
        <v>614</v>
      </c>
    </row>
    <row r="1151" spans="1:8">
      <c r="A1151" s="211" t="s">
        <v>485</v>
      </c>
      <c r="B1151" s="216" t="str">
        <f ca="1">_xlfn.CONCAT(B1148,A1151)</f>
        <v>31B2542C-B</v>
      </c>
      <c r="C1151" s="17" t="str">
        <f>_xlfn.XLOOKUP(H1151,'Materiales unitario'!$A$1:$A$2500,'Materiales unitario'!B$1:B$2500,,0,1)</f>
        <v>Adaptador terminal PVC ø3/4"</v>
      </c>
      <c r="D1151" s="184" t="str">
        <f>_xlfn.XLOOKUP(H1151,'Materiales unitario'!A$1:A$2500,'Materiales unitario'!C$1:C$2500,,0,1)</f>
        <v>un</v>
      </c>
      <c r="E1151" s="197">
        <f>_xlfn.XLOOKUP(H1151,'Materiales unitario'!$A$1:$A$2500,'Materiales unitario'!D$1:D$2500,,0,1)</f>
        <v>920</v>
      </c>
      <c r="F1151" s="19">
        <v>2</v>
      </c>
      <c r="G1151" s="20">
        <f t="shared" ref="G1151:G1158" si="29">+E1151*F1151</f>
        <v>1840</v>
      </c>
      <c r="H1151" s="211" t="s">
        <v>604</v>
      </c>
    </row>
    <row r="1152" spans="1:8">
      <c r="A1152" s="211" t="s">
        <v>486</v>
      </c>
      <c r="B1152" s="216" t="str">
        <f ca="1">_xlfn.CONCAT(B1148,A1152)</f>
        <v>31B2542C-C</v>
      </c>
      <c r="C1152" s="17" t="str">
        <f>_xlfn.XLOOKUP(H1152,'Materiales unitario'!$A$1:$A$2500,'Materiales unitario'!B$1:B$2500,,0,1)</f>
        <v>Caja galvanizada ref. 2400 (Cal. 20)</v>
      </c>
      <c r="D1152" s="184" t="str">
        <f>_xlfn.XLOOKUP(H1152,'Materiales unitario'!A$1:A$2500,'Materiales unitario'!C$1:C$2500,,0,1)</f>
        <v>un</v>
      </c>
      <c r="E1152" s="197">
        <f>_xlfn.XLOOKUP(H1152,'Materiales unitario'!$A$1:$A$2500,'Materiales unitario'!D$1:D$2500,,0,1)</f>
        <v>3150</v>
      </c>
      <c r="F1152" s="19">
        <v>1</v>
      </c>
      <c r="G1152" s="20">
        <f t="shared" si="29"/>
        <v>3150</v>
      </c>
      <c r="H1152" s="211" t="s">
        <v>605</v>
      </c>
    </row>
    <row r="1153" spans="1:8">
      <c r="A1153" s="211" t="s">
        <v>487</v>
      </c>
      <c r="B1153" s="216" t="str">
        <f ca="1">_xlfn.CONCAT(B1148,A1153)</f>
        <v>31B2542C-D</v>
      </c>
      <c r="C1153" s="17" t="str">
        <f>_xlfn.XLOOKUP(H1153,'Materiales unitario'!$A$1:$A$2500,'Materiales unitario'!B$1:B$2500,,0,1)</f>
        <v>Caja galvanizada ref. 5800 (Cal. 20)</v>
      </c>
      <c r="D1153" s="184" t="str">
        <f>_xlfn.XLOOKUP(H1153,'Materiales unitario'!A$1:A$2500,'Materiales unitario'!C$1:C$2500,,0,1)</f>
        <v>un</v>
      </c>
      <c r="E1153" s="197">
        <f>_xlfn.XLOOKUP(H1153,'Materiales unitario'!$A$1:$A$2500,'Materiales unitario'!D$1:D$2500,,0,1)</f>
        <v>2900</v>
      </c>
      <c r="F1153" s="19">
        <v>0.1</v>
      </c>
      <c r="G1153" s="20">
        <f t="shared" si="29"/>
        <v>290</v>
      </c>
      <c r="H1153" s="211" t="s">
        <v>606</v>
      </c>
    </row>
    <row r="1154" spans="1:8">
      <c r="A1154" s="211" t="s">
        <v>488</v>
      </c>
      <c r="B1154" s="216" t="str">
        <f ca="1">_xlfn.CONCAT(B1148,A1154)</f>
        <v>31B2542C-E</v>
      </c>
      <c r="C1154" s="17" t="str">
        <f>_xlfn.XLOOKUP(H1154,'Materiales unitario'!$A$1:$A$2500,'Materiales unitario'!B$1:B$2500,,0,1)</f>
        <v xml:space="preserve">Tornillo lámina #14x1/2" goloso </v>
      </c>
      <c r="D1154" s="184" t="str">
        <f>_xlfn.XLOOKUP(H1154,'Materiales unitario'!A$1:A$2500,'Materiales unitario'!C$1:C$2500,,0,1)</f>
        <v>un</v>
      </c>
      <c r="E1154" s="197">
        <f>_xlfn.XLOOKUP(H1154,'Materiales unitario'!$A$1:$A$2500,'Materiales unitario'!D$1:D$2500,,0,1)</f>
        <v>200</v>
      </c>
      <c r="F1154" s="19">
        <v>2</v>
      </c>
      <c r="G1154" s="20">
        <f t="shared" si="29"/>
        <v>400</v>
      </c>
      <c r="H1154" s="211" t="s">
        <v>608</v>
      </c>
    </row>
    <row r="1155" spans="1:8">
      <c r="A1155" s="211" t="s">
        <v>489</v>
      </c>
      <c r="B1155" s="216" t="str">
        <f ca="1">_xlfn.CONCAT(B1148,A1155)</f>
        <v>31B2542C-F</v>
      </c>
      <c r="C1155" s="17" t="str">
        <f>_xlfn.XLOOKUP(H1155,'Materiales unitario'!$A$1:$A$2500,'Materiales unitario'!B$1:B$2500,,0,1)</f>
        <v>Suplemento galvanizado de ø1/4" (Cal. 24)</v>
      </c>
      <c r="D1155" s="184" t="str">
        <f>_xlfn.XLOOKUP(H1155,'Materiales unitario'!A$1:A$2500,'Materiales unitario'!C$1:C$2500,,0,1)</f>
        <v>un</v>
      </c>
      <c r="E1155" s="197">
        <f>_xlfn.XLOOKUP(H1155,'Materiales unitario'!$A$1:$A$2500,'Materiales unitario'!D$1:D$2500,,0,1)</f>
        <v>1200</v>
      </c>
      <c r="F1155" s="19">
        <v>1</v>
      </c>
      <c r="G1155" s="20">
        <f t="shared" si="29"/>
        <v>1200</v>
      </c>
      <c r="H1155" s="211" t="s">
        <v>609</v>
      </c>
    </row>
    <row r="1156" spans="1:8">
      <c r="A1156" s="211" t="s">
        <v>490</v>
      </c>
      <c r="B1156" s="216" t="str">
        <f ca="1">_xlfn.CONCAT(B1148,A1156)</f>
        <v>31B2542C-G</v>
      </c>
      <c r="C1156" s="17" t="str">
        <f>_xlfn.XLOOKUP(H1156,'Materiales unitario'!$A$1:$A$2500,'Materiales unitario'!B$1:B$2500,,0,1)</f>
        <v>Conector de resorte rojo "R" 18-10 AWG</v>
      </c>
      <c r="D1156" s="184" t="str">
        <f>_xlfn.XLOOKUP(H1156,'Materiales unitario'!A$1:A$2500,'Materiales unitario'!C$1:C$2500,,0,1)</f>
        <v>un</v>
      </c>
      <c r="E1156" s="197">
        <f>_xlfn.XLOOKUP(H1156,'Materiales unitario'!$A$1:$A$2500,'Materiales unitario'!D$1:D$2500,,0,1)</f>
        <v>280</v>
      </c>
      <c r="F1156" s="19">
        <v>3</v>
      </c>
      <c r="G1156" s="20">
        <f t="shared" si="29"/>
        <v>840</v>
      </c>
      <c r="H1156" s="211" t="s">
        <v>302</v>
      </c>
    </row>
    <row r="1157" spans="1:8">
      <c r="A1157" s="211" t="s">
        <v>491</v>
      </c>
      <c r="B1157" s="216" t="str">
        <f ca="1">_xlfn.CONCAT(B1148,A1157)</f>
        <v>31B2542C-H</v>
      </c>
      <c r="C1157" s="17" t="str">
        <f>_xlfn.XLOOKUP(H1157,'Materiales unitario'!$A$1:$A$2500,'Materiales unitario'!B$1:B$2500,,0,1)</f>
        <v>Soldadura liquida PVC 1/4 de galón</v>
      </c>
      <c r="D1157" s="184" t="str">
        <f>_xlfn.XLOOKUP(H1157,'Materiales unitario'!A$1:A$2500,'Materiales unitario'!C$1:C$2500,,0,1)</f>
        <v>un</v>
      </c>
      <c r="E1157" s="197">
        <f>_xlfn.XLOOKUP(H1157,'Materiales unitario'!$A$1:$A$2500,'Materiales unitario'!D$1:D$2500,,0,1)</f>
        <v>60900</v>
      </c>
      <c r="F1157" s="19">
        <v>7.0000000000000001E-3</v>
      </c>
      <c r="G1157" s="20">
        <f t="shared" si="29"/>
        <v>426.3</v>
      </c>
      <c r="H1157" s="211" t="s">
        <v>530</v>
      </c>
    </row>
    <row r="1158" spans="1:8">
      <c r="A1158" s="211" t="s">
        <v>492</v>
      </c>
      <c r="B1158" s="216" t="str">
        <f ca="1">_xlfn.CONCAT(B1148,A1158)</f>
        <v>31B2542C-I</v>
      </c>
      <c r="C1158" s="17" t="str">
        <f>_xlfn.XLOOKUP(H1158,'Materiales unitario'!$A$1:$A$2500,'Materiales unitario'!B$1:B$2500,,0,1)</f>
        <v>Cable de cobre aislado #12 AWG-THHN/THWN Color negro</v>
      </c>
      <c r="D1158" s="184" t="str">
        <f>_xlfn.XLOOKUP(H1158,'Materiales unitario'!A$1:A$2500,'Materiales unitario'!C$1:C$2500,,0,1)</f>
        <v>ml</v>
      </c>
      <c r="E1158" s="197">
        <f>_xlfn.XLOOKUP(H1158,'Materiales unitario'!$A$1:$A$2500,'Materiales unitario'!D$1:D$2500,,0,1)</f>
        <v>3020</v>
      </c>
      <c r="F1158" s="19">
        <v>13.5</v>
      </c>
      <c r="G1158" s="20">
        <f t="shared" si="29"/>
        <v>40770</v>
      </c>
      <c r="H1158" s="211" t="s">
        <v>267</v>
      </c>
    </row>
    <row r="1159" spans="1:8" ht="15">
      <c r="A1159" s="211" t="s">
        <v>493</v>
      </c>
      <c r="B1159" s="216" t="str">
        <f ca="1">_xlfn.CONCAT(B1148,A1159)</f>
        <v>31B2542C-J</v>
      </c>
      <c r="C1159" s="17" t="str">
        <f>_xlfn.XLOOKUP(H1159,'Materiales unitario'!$A$1:$A$2500,'Materiales unitario'!B$1:B$2500,,0,1)</f>
        <v>Toma doble 15A polo a tierra Genesis</v>
      </c>
      <c r="D1159" s="184" t="str">
        <f>_xlfn.XLOOKUP(H1159,'Materiales unitario'!A$1:A$2500,'Materiales unitario'!C$1:C$2500,,0,1)</f>
        <v>un</v>
      </c>
      <c r="E1159" s="197">
        <f>_xlfn.XLOOKUP(H1159,'Materiales unitario'!$A$1:$A$2500,'Materiales unitario'!D$1:D$2500,,0,1)</f>
        <v>8100</v>
      </c>
      <c r="F1159" s="19">
        <v>1</v>
      </c>
      <c r="G1159" s="20">
        <f t="shared" ref="G1159" si="30">+E1159*F1159</f>
        <v>8100</v>
      </c>
      <c r="H1159" s="217" t="s">
        <v>374</v>
      </c>
    </row>
    <row r="1160" spans="1:8" ht="15">
      <c r="A1160" s="211" t="s">
        <v>494</v>
      </c>
      <c r="B1160" s="216" t="str">
        <f ca="1">_xlfn.CONCAT(B1148,A1160)</f>
        <v>31B2542C-K</v>
      </c>
      <c r="C1160" s="17"/>
      <c r="D1160" s="184"/>
      <c r="E1160" s="197"/>
      <c r="F1160" s="19"/>
      <c r="G1160" s="20"/>
      <c r="H1160" s="217"/>
    </row>
    <row r="1161" spans="1:8" ht="15">
      <c r="A1161" s="211" t="s">
        <v>495</v>
      </c>
      <c r="B1161" s="216" t="str">
        <f ca="1">_xlfn.CONCAT(B1148,A1161)</f>
        <v>31B2542C-L</v>
      </c>
      <c r="C1161" s="17"/>
      <c r="D1161" s="184"/>
      <c r="E1161" s="197"/>
      <c r="F1161" s="19"/>
      <c r="G1161" s="20"/>
      <c r="H1161" s="217"/>
    </row>
    <row r="1162" spans="1:8" ht="15">
      <c r="A1162" s="211" t="s">
        <v>496</v>
      </c>
      <c r="B1162" s="216" t="str">
        <f ca="1">_xlfn.CONCAT(B1148,A1162)</f>
        <v>31B2542C-M</v>
      </c>
      <c r="C1162" s="17"/>
      <c r="D1162" s="184"/>
      <c r="E1162" s="197"/>
      <c r="F1162" s="19"/>
      <c r="G1162" s="20"/>
      <c r="H1162" s="217"/>
    </row>
    <row r="1163" spans="1:8">
      <c r="A1163" s="211" t="s">
        <v>497</v>
      </c>
      <c r="B1163" s="216" t="str">
        <f ca="1">_xlfn.CONCAT(B1148,A1163)</f>
        <v>31B2542C-N</v>
      </c>
      <c r="C1163" s="17"/>
      <c r="D1163" s="184"/>
      <c r="E1163" s="197"/>
      <c r="F1163" s="19"/>
      <c r="G1163" s="20"/>
    </row>
    <row r="1164" spans="1:8">
      <c r="A1164" s="211" t="s">
        <v>498</v>
      </c>
      <c r="B1164" s="216" t="str">
        <f ca="1">_xlfn.CONCAT(B1148,A1164)</f>
        <v>31B2542C-O</v>
      </c>
      <c r="C1164" s="17"/>
      <c r="D1164" s="184"/>
      <c r="E1164" s="197"/>
      <c r="F1164" s="19"/>
      <c r="G1164" s="20"/>
    </row>
    <row r="1165" spans="1:8">
      <c r="A1165" s="211" t="s">
        <v>499</v>
      </c>
      <c r="B1165" s="216" t="str">
        <f ca="1">_xlfn.CONCAT(B1148,A1165)</f>
        <v>31B2542C-P</v>
      </c>
      <c r="C1165" s="17"/>
      <c r="D1165" s="184"/>
      <c r="E1165" s="197"/>
      <c r="F1165" s="19"/>
      <c r="G1165" s="20"/>
    </row>
    <row r="1166" spans="1:8">
      <c r="A1166" s="211" t="s">
        <v>500</v>
      </c>
      <c r="B1166" s="216" t="str">
        <f ca="1">_xlfn.CONCAT(B1148,A1166)</f>
        <v>31B2542C-Q</v>
      </c>
      <c r="C1166" s="17"/>
      <c r="D1166" s="184"/>
      <c r="E1166" s="197"/>
      <c r="F1166" s="19"/>
      <c r="G1166" s="20"/>
    </row>
    <row r="1167" spans="1:8">
      <c r="A1167" s="211" t="s">
        <v>501</v>
      </c>
      <c r="B1167" s="216" t="str">
        <f ca="1">_xlfn.CONCAT(B1148,A1167)</f>
        <v>31B2542C-R</v>
      </c>
      <c r="C1167" s="17"/>
      <c r="D1167" s="184"/>
      <c r="E1167" s="197"/>
      <c r="F1167" s="19"/>
      <c r="G1167" s="20"/>
    </row>
    <row r="1168" spans="1:8">
      <c r="A1168" s="211" t="s">
        <v>502</v>
      </c>
      <c r="B1168" s="216" t="str">
        <f ca="1">_xlfn.CONCAT(B1148,A1168)</f>
        <v>31B2542C-S</v>
      </c>
      <c r="C1168" s="17"/>
      <c r="D1168" s="184"/>
      <c r="E1168" s="197"/>
      <c r="F1168" s="19"/>
      <c r="G1168" s="20"/>
    </row>
    <row r="1169" spans="1:8">
      <c r="A1169" s="211" t="s">
        <v>503</v>
      </c>
      <c r="B1169" s="216" t="str">
        <f ca="1">_xlfn.CONCAT(B1148,A1169)</f>
        <v>31B2542C-T</v>
      </c>
      <c r="C1169" s="17"/>
      <c r="D1169" s="184"/>
      <c r="E1169" s="197"/>
      <c r="F1169" s="19"/>
      <c r="G1169" s="20"/>
    </row>
    <row r="1170" spans="1:8" ht="14.25" thickBot="1">
      <c r="A1170" s="211" t="s">
        <v>504</v>
      </c>
      <c r="B1170" s="216" t="str">
        <f ca="1">_xlfn.CONCAT(B1148,A1170)</f>
        <v>31B2542C-U</v>
      </c>
      <c r="C1170" s="17"/>
      <c r="D1170" s="184"/>
      <c r="E1170" s="197"/>
      <c r="F1170" s="19"/>
      <c r="G1170" s="20"/>
    </row>
    <row r="1171" spans="1:8" ht="16.5" customHeight="1" thickBot="1">
      <c r="A1171" s="211" t="s">
        <v>505</v>
      </c>
      <c r="B1171" s="216" t="str">
        <f ca="1">_xlfn.CONCAT(B1148,A1171)</f>
        <v>31B2542C-V</v>
      </c>
      <c r="C1171" s="17" t="s">
        <v>17</v>
      </c>
      <c r="D1171" s="192" t="s">
        <v>17</v>
      </c>
      <c r="E1171" s="18"/>
      <c r="F1171" s="22" t="s">
        <v>18</v>
      </c>
      <c r="G1171" s="23">
        <f>SUM(G1150:G1170)</f>
        <v>66316.3</v>
      </c>
    </row>
    <row r="1172" spans="1:8" ht="28.5" customHeight="1" thickBot="1">
      <c r="A1172" s="211" t="s">
        <v>506</v>
      </c>
      <c r="B1172" s="216" t="str">
        <f ca="1">_xlfn.CONCAT(B1148,A1172)</f>
        <v>31B2542C-W</v>
      </c>
      <c r="C1172" s="10" t="s">
        <v>19</v>
      </c>
      <c r="D1172" s="190"/>
      <c r="E1172" s="11"/>
      <c r="F1172" s="12"/>
      <c r="G1172" s="13"/>
    </row>
    <row r="1173" spans="1:8" s="47" customFormat="1" ht="23.25" customHeight="1" thickBot="1">
      <c r="A1173" s="211" t="s">
        <v>507</v>
      </c>
      <c r="B1173" s="216" t="str">
        <f ca="1">_xlfn.CONCAT(B1148,A1173)</f>
        <v>31B2542C-X</v>
      </c>
      <c r="C1173" s="14" t="s">
        <v>1</v>
      </c>
      <c r="D1173" s="15"/>
      <c r="E1173" s="15" t="s">
        <v>20</v>
      </c>
      <c r="F1173" s="16" t="s">
        <v>21</v>
      </c>
      <c r="G1173" s="15" t="s">
        <v>5</v>
      </c>
      <c r="H1173" s="215"/>
    </row>
    <row r="1174" spans="1:8">
      <c r="A1174" s="211" t="s">
        <v>508</v>
      </c>
      <c r="B1174" s="216" t="str">
        <f ca="1">_xlfn.CONCAT(B1148,A1174)</f>
        <v>31B2542C-Y</v>
      </c>
      <c r="C1174" s="24" t="s">
        <v>22</v>
      </c>
      <c r="D1174" s="184"/>
      <c r="E1174" s="25">
        <f>_xlfn.XLOOKUP(C1174,'H-MO'!B$7:B$30,'H-MO'!D$7:D$30,,0,1)</f>
        <v>2436.5624999999995</v>
      </c>
      <c r="F1174" s="19">
        <v>0.35</v>
      </c>
      <c r="G1174" s="33">
        <f t="shared" ref="G1174:G1179" si="31">+E1174*F1174</f>
        <v>852.79687499999977</v>
      </c>
    </row>
    <row r="1175" spans="1:8">
      <c r="A1175" s="211" t="s">
        <v>509</v>
      </c>
      <c r="B1175" s="216" t="str">
        <f ca="1">_xlfn.CONCAT(B1148,A1175)</f>
        <v>31B2542C-Z</v>
      </c>
      <c r="C1175" s="24" t="s">
        <v>23</v>
      </c>
      <c r="D1175" s="184"/>
      <c r="E1175" s="25">
        <f>_xlfn.XLOOKUP(C1175,'H-MO'!B$7:B$30,'H-MO'!D$7:D$30,,0,1)</f>
        <v>1461.9374999999998</v>
      </c>
      <c r="F1175" s="19">
        <v>0.12239304347826087</v>
      </c>
      <c r="G1175" s="33">
        <f t="shared" si="31"/>
        <v>178.93097999999998</v>
      </c>
    </row>
    <row r="1176" spans="1:8">
      <c r="A1176" s="211" t="s">
        <v>510</v>
      </c>
      <c r="B1176" s="216" t="str">
        <f ca="1">_xlfn.CONCAT(B1148,A1176)</f>
        <v>31B2542C-aa</v>
      </c>
      <c r="C1176" s="24" t="s">
        <v>24</v>
      </c>
      <c r="D1176" s="185"/>
      <c r="E1176" s="25">
        <f>_xlfn.XLOOKUP(C1176,'H-MO'!B$7:B$30,'H-MO'!D$7:D$30,,0,1)</f>
        <v>29238.749999999996</v>
      </c>
      <c r="F1176" s="28">
        <v>0.02</v>
      </c>
      <c r="G1176" s="33">
        <f t="shared" si="31"/>
        <v>584.77499999999998</v>
      </c>
    </row>
    <row r="1177" spans="1:8">
      <c r="A1177" s="211" t="s">
        <v>511</v>
      </c>
      <c r="B1177" s="216" t="str">
        <f ca="1">_xlfn.CONCAT(B1148,A1177)</f>
        <v>31B2542C-ab</v>
      </c>
      <c r="C1177" s="24" t="s">
        <v>25</v>
      </c>
      <c r="D1177" s="185"/>
      <c r="E1177" s="25">
        <f>_xlfn.XLOOKUP(C1177,'H-MO'!B$7:B$30,'H-MO'!D$7:D$30,,0,1)</f>
        <v>2761.4374999999995</v>
      </c>
      <c r="F1177" s="28">
        <v>0.35</v>
      </c>
      <c r="G1177" s="33">
        <f t="shared" si="31"/>
        <v>966.50312499999973</v>
      </c>
    </row>
    <row r="1178" spans="1:8">
      <c r="A1178" s="211" t="s">
        <v>512</v>
      </c>
      <c r="B1178" s="216" t="str">
        <f ca="1">_xlfn.CONCAT(B1148,A1178)</f>
        <v>31B2542C-ac</v>
      </c>
      <c r="C1178" s="24"/>
      <c r="D1178" s="185"/>
      <c r="E1178" s="29"/>
      <c r="F1178" s="28"/>
      <c r="G1178" s="33">
        <f t="shared" si="31"/>
        <v>0</v>
      </c>
    </row>
    <row r="1179" spans="1:8" ht="14.25" thickBot="1">
      <c r="A1179" s="211" t="s">
        <v>513</v>
      </c>
      <c r="B1179" s="216" t="str">
        <f ca="1">_xlfn.CONCAT(B1148,A1179)</f>
        <v>31B2542C-ad</v>
      </c>
      <c r="C1179" s="24"/>
      <c r="D1179" s="185"/>
      <c r="E1179" s="29"/>
      <c r="F1179" s="28"/>
      <c r="G1179" s="33">
        <f t="shared" si="31"/>
        <v>0</v>
      </c>
    </row>
    <row r="1180" spans="1:8" ht="16.5" customHeight="1" thickBot="1">
      <c r="A1180" s="211" t="s">
        <v>514</v>
      </c>
      <c r="B1180" s="216" t="str">
        <f ca="1">_xlfn.CONCAT(B1148,A1180)</f>
        <v>31B2542C-ae</v>
      </c>
      <c r="C1180" s="17"/>
      <c r="D1180" s="192"/>
      <c r="E1180" s="18"/>
      <c r="F1180" s="22" t="s">
        <v>26</v>
      </c>
      <c r="G1180" s="23">
        <f>SUM(G1174:G1179)</f>
        <v>2583.0059799999995</v>
      </c>
    </row>
    <row r="1181" spans="1:8" ht="28.5" customHeight="1" thickBot="1">
      <c r="A1181" s="211" t="s">
        <v>515</v>
      </c>
      <c r="B1181" s="216" t="str">
        <f ca="1">_xlfn.CONCAT(B1148,A1181)</f>
        <v>31B2542C-af</v>
      </c>
      <c r="C1181" s="10" t="s">
        <v>27</v>
      </c>
      <c r="D1181" s="190"/>
      <c r="E1181" s="11"/>
      <c r="F1181" s="12"/>
      <c r="G1181" s="13"/>
    </row>
    <row r="1182" spans="1:8" s="47" customFormat="1" ht="23.25" customHeight="1" thickBot="1">
      <c r="A1182" s="211" t="s">
        <v>516</v>
      </c>
      <c r="B1182" s="216" t="str">
        <f ca="1">_xlfn.CONCAT(B1148,A1182)</f>
        <v>31B2542C-ag</v>
      </c>
      <c r="C1182" s="14" t="s">
        <v>1</v>
      </c>
      <c r="D1182" s="15" t="s">
        <v>28</v>
      </c>
      <c r="E1182" s="15" t="s">
        <v>20</v>
      </c>
      <c r="F1182" s="16" t="s">
        <v>21</v>
      </c>
      <c r="G1182" s="15" t="s">
        <v>5</v>
      </c>
      <c r="H1182" s="215"/>
    </row>
    <row r="1183" spans="1:8">
      <c r="A1183" s="211" t="s">
        <v>517</v>
      </c>
      <c r="B1183" s="216" t="str">
        <f ca="1">_xlfn.CONCAT(B1148,A1183)</f>
        <v>31B2542C-ah</v>
      </c>
      <c r="C1183" s="30" t="s">
        <v>29</v>
      </c>
      <c r="D1183" s="186">
        <f>'H-MO'!$N$77</f>
        <v>725918.52892505517</v>
      </c>
      <c r="E1183" s="31">
        <f>+D1183/8</f>
        <v>90739.816115631897</v>
      </c>
      <c r="F1183" s="32">
        <v>0.3</v>
      </c>
      <c r="G1183" s="33">
        <f>+E1183*F1183</f>
        <v>27221.94483468957</v>
      </c>
    </row>
    <row r="1184" spans="1:8">
      <c r="A1184" s="211" t="s">
        <v>518</v>
      </c>
      <c r="B1184" s="216" t="str">
        <f ca="1">_xlfn.CONCAT(B1148,A1184)</f>
        <v>31B2542C-ai</v>
      </c>
      <c r="C1184" s="34" t="s">
        <v>30</v>
      </c>
      <c r="D1184" s="187">
        <f>'H-MO'!$N$86</f>
        <v>685561.39085756091</v>
      </c>
      <c r="E1184" s="29">
        <f>+D1184/8</f>
        <v>85695.173857195114</v>
      </c>
      <c r="F1184" s="28">
        <v>0.05</v>
      </c>
      <c r="G1184" s="33">
        <f>+E1184*F1184</f>
        <v>4284.7586928597557</v>
      </c>
    </row>
    <row r="1185" spans="1:8" ht="14.25" thickBot="1">
      <c r="A1185" s="211" t="s">
        <v>519</v>
      </c>
      <c r="B1185" s="216" t="str">
        <f ca="1">_xlfn.CONCAT(B1148,A1185)</f>
        <v>31B2542C-aj</v>
      </c>
      <c r="C1185" s="34"/>
      <c r="D1185" s="187"/>
      <c r="E1185" s="29"/>
      <c r="F1185" s="28"/>
      <c r="G1185" s="33">
        <f>+E1185*F1185</f>
        <v>0</v>
      </c>
    </row>
    <row r="1186" spans="1:8" ht="17.25" customHeight="1" thickBot="1">
      <c r="A1186" s="211" t="s">
        <v>520</v>
      </c>
      <c r="B1186" s="216" t="str">
        <f ca="1">_xlfn.CONCAT(B1148,A1186)</f>
        <v>31B2542C-ak</v>
      </c>
      <c r="C1186" s="34"/>
      <c r="D1186" s="185"/>
      <c r="E1186" s="26"/>
      <c r="F1186" s="36" t="s">
        <v>31</v>
      </c>
      <c r="G1186" s="23">
        <f>SUM(G1183:G1185)</f>
        <v>31506.703527549325</v>
      </c>
    </row>
    <row r="1187" spans="1:8" ht="14.25" thickBot="1">
      <c r="A1187" s="211" t="s">
        <v>521</v>
      </c>
      <c r="B1187" s="216" t="str">
        <f ca="1">_xlfn.CONCAT(B1148,A1187)</f>
        <v>31B2542C-al</v>
      </c>
      <c r="C1187" s="37"/>
      <c r="E1187" s="38"/>
      <c r="F1187" s="22"/>
      <c r="G1187" s="39"/>
    </row>
    <row r="1188" spans="1:8" ht="23.25" customHeight="1" thickBot="1">
      <c r="A1188" s="211" t="s">
        <v>522</v>
      </c>
      <c r="B1188" s="216" t="str">
        <f ca="1">_xlfn.CONCAT(B1148,A1188)</f>
        <v>31B2542C-am</v>
      </c>
      <c r="C1188" s="40"/>
      <c r="D1188" s="193"/>
      <c r="E1188" s="41"/>
      <c r="F1188" s="42"/>
      <c r="G1188" s="43">
        <f>+G1171+G1180+G1186</f>
        <v>100406.00950754933</v>
      </c>
    </row>
    <row r="1189" spans="1:8" ht="21.75" thickBot="1">
      <c r="B1189" s="212" t="s">
        <v>550</v>
      </c>
      <c r="C1189" s="2"/>
      <c r="D1189" s="183"/>
      <c r="F1189" s="4"/>
      <c r="G1189" s="5"/>
    </row>
    <row r="1190" spans="1:8" s="45" customFormat="1" ht="34.5" customHeight="1">
      <c r="A1190" s="213"/>
      <c r="B1190" s="214">
        <v>28</v>
      </c>
      <c r="C1190" s="242" t="str">
        <f ca="1">_xlfn.XLOOKUP(B1190,Cantidades!$A$10:$A$314,Cantidades!$C$10:$C$314,,0,1)</f>
        <v>Suministro e instalación de tomacorriente doble monofásica polo a tierra. Incluye caja de conexión, cable #12 AWG de cobre, tubería SCH 40 y demás accesorios para su correcta instalación,  fincionamiento y señalización. (sin aparato)</v>
      </c>
      <c r="D1190" s="243"/>
      <c r="E1190" s="243"/>
      <c r="F1190" s="243"/>
      <c r="G1190" s="244"/>
      <c r="H1190" s="213"/>
    </row>
    <row r="1191" spans="1:8" s="47" customFormat="1" ht="24.95" customHeight="1" thickBot="1">
      <c r="A1191" s="215"/>
      <c r="B1191" s="216" t="s">
        <v>550</v>
      </c>
      <c r="C1191" s="177"/>
      <c r="D1191" s="189"/>
      <c r="E1191" s="178"/>
      <c r="F1191" s="179" t="s">
        <v>636</v>
      </c>
      <c r="G1191" s="209" t="str">
        <f ca="1">B1192</f>
        <v>3AB56E40-</v>
      </c>
      <c r="H1191" s="215"/>
    </row>
    <row r="1192" spans="1:8" ht="28.5" customHeight="1" thickBot="1">
      <c r="B1192" s="212" t="str">
        <f ca="1">_xlfn.XLOOKUP(C1190,Cantidades!$C$1:$C$314,Cantidades!$B$1:$B$314,"",0,1)</f>
        <v>3AB56E40-</v>
      </c>
      <c r="C1192" s="10" t="s">
        <v>0</v>
      </c>
      <c r="D1192" s="190"/>
      <c r="E1192" s="11"/>
      <c r="F1192" s="12"/>
      <c r="G1192" s="13"/>
    </row>
    <row r="1193" spans="1:8" s="47" customFormat="1" ht="23.25" customHeight="1" thickBot="1">
      <c r="A1193" s="215"/>
      <c r="B1193" s="216" t="s">
        <v>550</v>
      </c>
      <c r="C1193" s="14" t="s">
        <v>1</v>
      </c>
      <c r="D1193" s="15" t="s">
        <v>2</v>
      </c>
      <c r="E1193" s="15" t="s">
        <v>3</v>
      </c>
      <c r="F1193" s="16" t="s">
        <v>4</v>
      </c>
      <c r="G1193" s="15" t="s">
        <v>5</v>
      </c>
      <c r="H1193" s="215"/>
    </row>
    <row r="1194" spans="1:8" ht="15">
      <c r="A1194" s="211" t="s">
        <v>484</v>
      </c>
      <c r="B1194" s="216" t="str">
        <f ca="1">_xlfn.CONCAT(B1192,A1194)</f>
        <v>3AB56E40-A</v>
      </c>
      <c r="C1194" s="17" t="str">
        <f>_xlfn.XLOOKUP(H1194,'Materiales unitario'!$A$1:$A$2500,'Materiales unitario'!B$1:B$2500,,0,1)</f>
        <v>Tubo Conduit PVC Sch40 1-2 Pulgadas</v>
      </c>
      <c r="D1194" s="184" t="str">
        <f>_xlfn.XLOOKUP(H1194,'Materiales unitario'!A$1:A$2500,'Materiales unitario'!C$1:C$2500,,0,1)</f>
        <v>ml</v>
      </c>
      <c r="E1194" s="197">
        <f>_xlfn.XLOOKUP(H1194,'Materiales unitario'!$A$1:$A$2500,'Materiales unitario'!D$1:D$2500,,0,1)</f>
        <v>2966.6666666666665</v>
      </c>
      <c r="F1194" s="19">
        <v>4.2</v>
      </c>
      <c r="G1194" s="20">
        <f>+E1194*F1194</f>
        <v>12460</v>
      </c>
      <c r="H1194" s="217" t="s">
        <v>601</v>
      </c>
    </row>
    <row r="1195" spans="1:8" ht="15">
      <c r="A1195" s="211" t="s">
        <v>485</v>
      </c>
      <c r="B1195" s="216" t="str">
        <f ca="1">_xlfn.CONCAT(B1192,A1195)</f>
        <v>3AB56E40-B</v>
      </c>
      <c r="C1195" s="17" t="str">
        <f>_xlfn.XLOOKUP(H1195,'Materiales unitario'!$A$1:$A$2500,'Materiales unitario'!B$1:B$2500,,0,1)</f>
        <v>Tubo Conduit PVC SCH40 3-4 Pulgadas</v>
      </c>
      <c r="D1195" s="184" t="str">
        <f>_xlfn.XLOOKUP(H1195,'Materiales unitario'!A$1:A$2500,'Materiales unitario'!C$1:C$2500,,0,1)</f>
        <v>ml</v>
      </c>
      <c r="E1195" s="197">
        <f>_xlfn.XLOOKUP(H1195,'Materiales unitario'!$A$1:$A$2500,'Materiales unitario'!D$1:D$2500,,0,1)</f>
        <v>3966.6666666666665</v>
      </c>
      <c r="F1195" s="19">
        <v>1.8</v>
      </c>
      <c r="G1195" s="20">
        <f t="shared" ref="G1195:G1205" si="32">+E1195*F1195</f>
        <v>7140</v>
      </c>
      <c r="H1195" s="217" t="s">
        <v>602</v>
      </c>
    </row>
    <row r="1196" spans="1:8" ht="15">
      <c r="A1196" s="211" t="s">
        <v>486</v>
      </c>
      <c r="B1196" s="216" t="str">
        <f ca="1">_xlfn.CONCAT(B1192,A1196)</f>
        <v>3AB56E40-C</v>
      </c>
      <c r="C1196" s="17" t="str">
        <f>_xlfn.XLOOKUP(H1196,'Materiales unitario'!$A$1:$A$2500,'Materiales unitario'!B$1:B$2500,,0,1)</f>
        <v>Adaptador terminal PVC ø1/2"</v>
      </c>
      <c r="D1196" s="184" t="str">
        <f>_xlfn.XLOOKUP(H1196,'Materiales unitario'!A$1:A$2500,'Materiales unitario'!C$1:C$2500,,0,1)</f>
        <v>un</v>
      </c>
      <c r="E1196" s="197">
        <f>_xlfn.XLOOKUP(H1196,'Materiales unitario'!$A$1:$A$2500,'Materiales unitario'!D$1:D$2500,,0,1)</f>
        <v>720</v>
      </c>
      <c r="F1196" s="19">
        <v>2</v>
      </c>
      <c r="G1196" s="20">
        <f t="shared" si="32"/>
        <v>1440</v>
      </c>
      <c r="H1196" s="217" t="s">
        <v>603</v>
      </c>
    </row>
    <row r="1197" spans="1:8" ht="15">
      <c r="A1197" s="211" t="s">
        <v>487</v>
      </c>
      <c r="B1197" s="216" t="str">
        <f ca="1">_xlfn.CONCAT(B1192,A1197)</f>
        <v>3AB56E40-D</v>
      </c>
      <c r="C1197" s="17" t="str">
        <f>_xlfn.XLOOKUP(H1197,'Materiales unitario'!$A$1:$A$2500,'Materiales unitario'!B$1:B$2500,,0,1)</f>
        <v>Adaptador terminal PVC ø3/4"</v>
      </c>
      <c r="D1197" s="184" t="str">
        <f>_xlfn.XLOOKUP(H1197,'Materiales unitario'!A$1:A$2500,'Materiales unitario'!C$1:C$2500,,0,1)</f>
        <v>un</v>
      </c>
      <c r="E1197" s="197">
        <f>_xlfn.XLOOKUP(H1197,'Materiales unitario'!$A$1:$A$2500,'Materiales unitario'!D$1:D$2500,,0,1)</f>
        <v>920</v>
      </c>
      <c r="F1197" s="19">
        <v>0.3</v>
      </c>
      <c r="G1197" s="20">
        <f t="shared" si="32"/>
        <v>276</v>
      </c>
      <c r="H1197" s="217" t="s">
        <v>604</v>
      </c>
    </row>
    <row r="1198" spans="1:8" ht="15">
      <c r="A1198" s="211" t="s">
        <v>488</v>
      </c>
      <c r="B1198" s="216" t="str">
        <f ca="1">_xlfn.CONCAT(B1192,A1198)</f>
        <v>3AB56E40-E</v>
      </c>
      <c r="C1198" s="17" t="str">
        <f>_xlfn.XLOOKUP(H1198,'Materiales unitario'!$A$1:$A$2500,'Materiales unitario'!B$1:B$2500,,0,1)</f>
        <v>Caja galvanizada ref. 2400 (Cal. 20)</v>
      </c>
      <c r="D1198" s="184" t="str">
        <f>_xlfn.XLOOKUP(H1198,'Materiales unitario'!A$1:A$2500,'Materiales unitario'!C$1:C$2500,,0,1)</f>
        <v>un</v>
      </c>
      <c r="E1198" s="197">
        <f>_xlfn.XLOOKUP(H1198,'Materiales unitario'!$A$1:$A$2500,'Materiales unitario'!D$1:D$2500,,0,1)</f>
        <v>3150</v>
      </c>
      <c r="F1198" s="19">
        <v>0.9</v>
      </c>
      <c r="G1198" s="20">
        <f t="shared" si="32"/>
        <v>2835</v>
      </c>
      <c r="H1198" s="217" t="s">
        <v>605</v>
      </c>
    </row>
    <row r="1199" spans="1:8" ht="15">
      <c r="A1199" s="211" t="s">
        <v>489</v>
      </c>
      <c r="B1199" s="216" t="str">
        <f ca="1">_xlfn.CONCAT(B1192,A1199)</f>
        <v>3AB56E40-F</v>
      </c>
      <c r="C1199" s="17" t="str">
        <f>_xlfn.XLOOKUP(H1199,'Materiales unitario'!$A$1:$A$2500,'Materiales unitario'!B$1:B$2500,,0,1)</f>
        <v>Caja galvanizada ref. 5800 (Cal. 20)</v>
      </c>
      <c r="D1199" s="184" t="str">
        <f>_xlfn.XLOOKUP(H1199,'Materiales unitario'!A$1:A$2500,'Materiales unitario'!C$1:C$2500,,0,1)</f>
        <v>un</v>
      </c>
      <c r="E1199" s="197">
        <f>_xlfn.XLOOKUP(H1199,'Materiales unitario'!$A$1:$A$2500,'Materiales unitario'!D$1:D$2500,,0,1)</f>
        <v>2900</v>
      </c>
      <c r="F1199" s="19">
        <v>0.1</v>
      </c>
      <c r="G1199" s="20">
        <f t="shared" si="32"/>
        <v>290</v>
      </c>
      <c r="H1199" s="217" t="s">
        <v>606</v>
      </c>
    </row>
    <row r="1200" spans="1:8" ht="15">
      <c r="A1200" s="211" t="s">
        <v>490</v>
      </c>
      <c r="B1200" s="216" t="str">
        <f ca="1">_xlfn.CONCAT(B1192,A1200)</f>
        <v>3AB56E40-G</v>
      </c>
      <c r="C1200" s="17" t="str">
        <f>_xlfn.XLOOKUP(H1200,'Materiales unitario'!$A$1:$A$2500,'Materiales unitario'!B$1:B$2500,,0,1)</f>
        <v>Caja galvanizada octagonal (Cal. 20)</v>
      </c>
      <c r="D1200" s="184" t="str">
        <f>_xlfn.XLOOKUP(H1200,'Materiales unitario'!A$1:A$2500,'Materiales unitario'!C$1:C$2500,,0,1)</f>
        <v>un</v>
      </c>
      <c r="E1200" s="197">
        <f>_xlfn.XLOOKUP(H1200,'Materiales unitario'!$A$1:$A$2500,'Materiales unitario'!D$1:D$2500,,0,1)</f>
        <v>2900</v>
      </c>
      <c r="F1200" s="19">
        <v>0.01</v>
      </c>
      <c r="G1200" s="20">
        <f t="shared" si="32"/>
        <v>29</v>
      </c>
      <c r="H1200" s="217" t="s">
        <v>607</v>
      </c>
    </row>
    <row r="1201" spans="1:8" ht="15">
      <c r="A1201" s="211" t="s">
        <v>491</v>
      </c>
      <c r="B1201" s="216" t="str">
        <f ca="1">_xlfn.CONCAT(B1192,A1201)</f>
        <v>3AB56E40-H</v>
      </c>
      <c r="C1201" s="17" t="str">
        <f>_xlfn.XLOOKUP(H1201,'Materiales unitario'!$A$1:$A$2500,'Materiales unitario'!B$1:B$2500,,0,1)</f>
        <v xml:space="preserve">Tornillo lámina #14x1/2" goloso </v>
      </c>
      <c r="D1201" s="184" t="str">
        <f>_xlfn.XLOOKUP(H1201,'Materiales unitario'!A$1:A$2500,'Materiales unitario'!C$1:C$2500,,0,1)</f>
        <v>un</v>
      </c>
      <c r="E1201" s="197">
        <f>_xlfn.XLOOKUP(H1201,'Materiales unitario'!$A$1:$A$2500,'Materiales unitario'!D$1:D$2500,,0,1)</f>
        <v>200</v>
      </c>
      <c r="F1201" s="19">
        <v>2</v>
      </c>
      <c r="G1201" s="20">
        <f t="shared" si="32"/>
        <v>400</v>
      </c>
      <c r="H1201" s="217" t="s">
        <v>608</v>
      </c>
    </row>
    <row r="1202" spans="1:8" ht="15">
      <c r="A1202" s="211" t="s">
        <v>492</v>
      </c>
      <c r="B1202" s="216" t="str">
        <f ca="1">_xlfn.CONCAT(B1192,A1202)</f>
        <v>3AB56E40-I</v>
      </c>
      <c r="C1202" s="17" t="str">
        <f>_xlfn.XLOOKUP(H1202,'Materiales unitario'!$A$1:$A$2500,'Materiales unitario'!B$1:B$2500,,0,1)</f>
        <v>Suplemento galvanizado de ø1/4" (Cal. 24)</v>
      </c>
      <c r="D1202" s="184" t="str">
        <f>_xlfn.XLOOKUP(H1202,'Materiales unitario'!A$1:A$2500,'Materiales unitario'!C$1:C$2500,,0,1)</f>
        <v>un</v>
      </c>
      <c r="E1202" s="197">
        <f>_xlfn.XLOOKUP(H1202,'Materiales unitario'!$A$1:$A$2500,'Materiales unitario'!D$1:D$2500,,0,1)</f>
        <v>1200</v>
      </c>
      <c r="F1202" s="19">
        <v>0.5</v>
      </c>
      <c r="G1202" s="20">
        <f t="shared" si="32"/>
        <v>600</v>
      </c>
      <c r="H1202" s="217" t="s">
        <v>609</v>
      </c>
    </row>
    <row r="1203" spans="1:8" ht="15">
      <c r="A1203" s="211" t="s">
        <v>493</v>
      </c>
      <c r="B1203" s="216" t="str">
        <f ca="1">_xlfn.CONCAT(B1192,A1203)</f>
        <v>3AB56E40-J</v>
      </c>
      <c r="C1203" s="17" t="str">
        <f>_xlfn.XLOOKUP(H1203,'Materiales unitario'!$A$1:$A$2500,'Materiales unitario'!B$1:B$2500,,0,1)</f>
        <v>Conector de resorte rojo "R" 18-10 AWG</v>
      </c>
      <c r="D1203" s="184" t="str">
        <f>_xlfn.XLOOKUP(H1203,'Materiales unitario'!A$1:A$2500,'Materiales unitario'!C$1:C$2500,,0,1)</f>
        <v>un</v>
      </c>
      <c r="E1203" s="197">
        <f>_xlfn.XLOOKUP(H1203,'Materiales unitario'!$A$1:$A$2500,'Materiales unitario'!D$1:D$2500,,0,1)</f>
        <v>280</v>
      </c>
      <c r="F1203" s="19">
        <v>3</v>
      </c>
      <c r="G1203" s="20">
        <f t="shared" si="32"/>
        <v>840</v>
      </c>
      <c r="H1203" s="217" t="s">
        <v>302</v>
      </c>
    </row>
    <row r="1204" spans="1:8" ht="15">
      <c r="A1204" s="211" t="s">
        <v>494</v>
      </c>
      <c r="B1204" s="216" t="str">
        <f ca="1">_xlfn.CONCAT(B1192,A1204)</f>
        <v>3AB56E40-K</v>
      </c>
      <c r="C1204" s="17" t="str">
        <f>_xlfn.XLOOKUP(H1204,'Materiales unitario'!$A$1:$A$2500,'Materiales unitario'!B$1:B$2500,,0,1)</f>
        <v>Soldadura liquida PVC 1/4 de galón</v>
      </c>
      <c r="D1204" s="184" t="str">
        <f>_xlfn.XLOOKUP(H1204,'Materiales unitario'!A$1:A$2500,'Materiales unitario'!C$1:C$2500,,0,1)</f>
        <v>un</v>
      </c>
      <c r="E1204" s="197">
        <f>_xlfn.XLOOKUP(H1204,'Materiales unitario'!$A$1:$A$2500,'Materiales unitario'!D$1:D$2500,,0,1)</f>
        <v>60900</v>
      </c>
      <c r="F1204" s="19">
        <v>1.2E-2</v>
      </c>
      <c r="G1204" s="20">
        <f t="shared" si="32"/>
        <v>730.80000000000007</v>
      </c>
      <c r="H1204" s="217" t="s">
        <v>530</v>
      </c>
    </row>
    <row r="1205" spans="1:8" ht="15">
      <c r="A1205" s="211" t="s">
        <v>495</v>
      </c>
      <c r="B1205" s="216" t="str">
        <f ca="1">_xlfn.CONCAT(B1192,A1205)</f>
        <v>3AB56E40-L</v>
      </c>
      <c r="C1205" s="17" t="str">
        <f>_xlfn.XLOOKUP(H1205,'Materiales unitario'!$A$1:$A$2500,'Materiales unitario'!B$1:B$2500,,0,1)</f>
        <v>Cable de cobre aislado #12 AWG-THHN/THWN Color negro</v>
      </c>
      <c r="D1205" s="184" t="str">
        <f>_xlfn.XLOOKUP(H1205,'Materiales unitario'!A$1:A$2500,'Materiales unitario'!C$1:C$2500,,0,1)</f>
        <v>ml</v>
      </c>
      <c r="E1205" s="197">
        <f>_xlfn.XLOOKUP(H1205,'Materiales unitario'!$A$1:$A$2500,'Materiales unitario'!D$1:D$2500,,0,1)</f>
        <v>3020</v>
      </c>
      <c r="F1205" s="19">
        <v>21</v>
      </c>
      <c r="G1205" s="20">
        <f t="shared" si="32"/>
        <v>63420</v>
      </c>
      <c r="H1205" s="217" t="s">
        <v>267</v>
      </c>
    </row>
    <row r="1206" spans="1:8" ht="15">
      <c r="A1206" s="211" t="s">
        <v>496</v>
      </c>
      <c r="B1206" s="216" t="str">
        <f ca="1">_xlfn.CONCAT(B1192,A1206)</f>
        <v>3AB56E40-M</v>
      </c>
      <c r="C1206" s="17"/>
      <c r="D1206" s="184"/>
      <c r="E1206" s="197"/>
      <c r="F1206" s="19"/>
      <c r="G1206" s="20"/>
      <c r="H1206" s="217"/>
    </row>
    <row r="1207" spans="1:8">
      <c r="A1207" s="211" t="s">
        <v>497</v>
      </c>
      <c r="B1207" s="216" t="str">
        <f ca="1">_xlfn.CONCAT(B1192,A1207)</f>
        <v>3AB56E40-N</v>
      </c>
      <c r="C1207" s="17"/>
      <c r="D1207" s="184"/>
      <c r="E1207" s="197"/>
      <c r="F1207" s="19"/>
      <c r="G1207" s="20"/>
    </row>
    <row r="1208" spans="1:8">
      <c r="A1208" s="211" t="s">
        <v>498</v>
      </c>
      <c r="B1208" s="216" t="str">
        <f ca="1">_xlfn.CONCAT(B1192,A1208)</f>
        <v>3AB56E40-O</v>
      </c>
      <c r="C1208" s="17"/>
      <c r="D1208" s="184"/>
      <c r="E1208" s="197"/>
      <c r="F1208" s="19"/>
      <c r="G1208" s="20"/>
    </row>
    <row r="1209" spans="1:8">
      <c r="A1209" s="211" t="s">
        <v>499</v>
      </c>
      <c r="B1209" s="216" t="str">
        <f ca="1">_xlfn.CONCAT(B1192,A1209)</f>
        <v>3AB56E40-P</v>
      </c>
      <c r="C1209" s="17"/>
      <c r="D1209" s="184"/>
      <c r="E1209" s="197"/>
      <c r="F1209" s="19"/>
      <c r="G1209" s="20"/>
    </row>
    <row r="1210" spans="1:8">
      <c r="A1210" s="211" t="s">
        <v>500</v>
      </c>
      <c r="B1210" s="216" t="str">
        <f ca="1">_xlfn.CONCAT(B1192,A1210)</f>
        <v>3AB56E40-Q</v>
      </c>
      <c r="C1210" s="17"/>
      <c r="D1210" s="184"/>
      <c r="E1210" s="197"/>
      <c r="F1210" s="19"/>
      <c r="G1210" s="20"/>
    </row>
    <row r="1211" spans="1:8">
      <c r="A1211" s="211" t="s">
        <v>501</v>
      </c>
      <c r="B1211" s="216" t="str">
        <f ca="1">_xlfn.CONCAT(B1192,A1211)</f>
        <v>3AB56E40-R</v>
      </c>
      <c r="C1211" s="17"/>
      <c r="D1211" s="184"/>
      <c r="E1211" s="197"/>
      <c r="F1211" s="19"/>
      <c r="G1211" s="20"/>
    </row>
    <row r="1212" spans="1:8">
      <c r="A1212" s="211" t="s">
        <v>502</v>
      </c>
      <c r="B1212" s="216" t="str">
        <f ca="1">_xlfn.CONCAT(B1192,A1212)</f>
        <v>3AB56E40-S</v>
      </c>
      <c r="C1212" s="17"/>
      <c r="D1212" s="184"/>
      <c r="E1212" s="197"/>
      <c r="F1212" s="19"/>
      <c r="G1212" s="20"/>
    </row>
    <row r="1213" spans="1:8">
      <c r="A1213" s="211" t="s">
        <v>503</v>
      </c>
      <c r="B1213" s="216" t="str">
        <f ca="1">_xlfn.CONCAT(B1192,A1213)</f>
        <v>3AB56E40-T</v>
      </c>
      <c r="C1213" s="17"/>
      <c r="D1213" s="184"/>
      <c r="E1213" s="197"/>
      <c r="F1213" s="19"/>
      <c r="G1213" s="20"/>
    </row>
    <row r="1214" spans="1:8" ht="14.25" thickBot="1">
      <c r="A1214" s="211" t="s">
        <v>504</v>
      </c>
      <c r="B1214" s="216" t="str">
        <f ca="1">_xlfn.CONCAT(B1192,A1214)</f>
        <v>3AB56E40-U</v>
      </c>
      <c r="C1214" s="17"/>
      <c r="D1214" s="184"/>
      <c r="E1214" s="197"/>
      <c r="F1214" s="19"/>
      <c r="G1214" s="20"/>
    </row>
    <row r="1215" spans="1:8" ht="16.5" customHeight="1" thickBot="1">
      <c r="A1215" s="211" t="s">
        <v>505</v>
      </c>
      <c r="B1215" s="216" t="str">
        <f ca="1">_xlfn.CONCAT(B1192,A1215)</f>
        <v>3AB56E40-V</v>
      </c>
      <c r="C1215" s="17" t="s">
        <v>17</v>
      </c>
      <c r="D1215" s="192" t="s">
        <v>17</v>
      </c>
      <c r="E1215" s="18"/>
      <c r="F1215" s="22" t="s">
        <v>18</v>
      </c>
      <c r="G1215" s="23">
        <f>SUM(G1194:G1214)</f>
        <v>90460.800000000003</v>
      </c>
    </row>
    <row r="1216" spans="1:8" ht="28.5" customHeight="1" thickBot="1">
      <c r="A1216" s="211" t="s">
        <v>506</v>
      </c>
      <c r="B1216" s="216" t="str">
        <f ca="1">_xlfn.CONCAT(B1192,A1216)</f>
        <v>3AB56E40-W</v>
      </c>
      <c r="C1216" s="10" t="s">
        <v>19</v>
      </c>
      <c r="D1216" s="190"/>
      <c r="E1216" s="11"/>
      <c r="F1216" s="12"/>
      <c r="G1216" s="13"/>
    </row>
    <row r="1217" spans="1:8" s="47" customFormat="1" ht="23.25" customHeight="1" thickBot="1">
      <c r="A1217" s="211" t="s">
        <v>507</v>
      </c>
      <c r="B1217" s="216" t="str">
        <f ca="1">_xlfn.CONCAT(B1192,A1217)</f>
        <v>3AB56E40-X</v>
      </c>
      <c r="C1217" s="14" t="s">
        <v>1</v>
      </c>
      <c r="D1217" s="15"/>
      <c r="E1217" s="15" t="s">
        <v>20</v>
      </c>
      <c r="F1217" s="16" t="s">
        <v>21</v>
      </c>
      <c r="G1217" s="15" t="s">
        <v>5</v>
      </c>
      <c r="H1217" s="215"/>
    </row>
    <row r="1218" spans="1:8">
      <c r="A1218" s="211" t="s">
        <v>508</v>
      </c>
      <c r="B1218" s="216" t="str">
        <f ca="1">_xlfn.CONCAT(B1192,A1218)</f>
        <v>3AB56E40-Y</v>
      </c>
      <c r="C1218" s="24" t="s">
        <v>22</v>
      </c>
      <c r="D1218" s="184"/>
      <c r="E1218" s="25">
        <f>_xlfn.XLOOKUP(C1218,'H-MO'!B$7:B$30,'H-MO'!D$7:D$30,,0,1)</f>
        <v>2436.5624999999995</v>
      </c>
      <c r="F1218" s="19">
        <v>0.35</v>
      </c>
      <c r="G1218" s="33">
        <f t="shared" ref="G1218:G1223" si="33">+E1218*F1218</f>
        <v>852.79687499999977</v>
      </c>
    </row>
    <row r="1219" spans="1:8">
      <c r="A1219" s="211" t="s">
        <v>509</v>
      </c>
      <c r="B1219" s="216" t="str">
        <f ca="1">_xlfn.CONCAT(B1192,A1219)</f>
        <v>3AB56E40-Z</v>
      </c>
      <c r="C1219" s="24" t="s">
        <v>23</v>
      </c>
      <c r="D1219" s="184"/>
      <c r="E1219" s="25">
        <f>_xlfn.XLOOKUP(C1219,'H-MO'!B$7:B$30,'H-MO'!D$7:D$30,,0,1)</f>
        <v>1461.9374999999998</v>
      </c>
      <c r="F1219" s="19">
        <v>0.12239304347826087</v>
      </c>
      <c r="G1219" s="33">
        <f t="shared" si="33"/>
        <v>178.93097999999998</v>
      </c>
    </row>
    <row r="1220" spans="1:8">
      <c r="A1220" s="211" t="s">
        <v>510</v>
      </c>
      <c r="B1220" s="216" t="str">
        <f ca="1">_xlfn.CONCAT(B1192,A1220)</f>
        <v>3AB56E40-aa</v>
      </c>
      <c r="C1220" s="24" t="s">
        <v>24</v>
      </c>
      <c r="D1220" s="185"/>
      <c r="E1220" s="25">
        <f>_xlfn.XLOOKUP(C1220,'H-MO'!B$7:B$30,'H-MO'!D$7:D$30,,0,1)</f>
        <v>29238.749999999996</v>
      </c>
      <c r="F1220" s="28">
        <v>0.02</v>
      </c>
      <c r="G1220" s="33">
        <f t="shared" si="33"/>
        <v>584.77499999999998</v>
      </c>
    </row>
    <row r="1221" spans="1:8">
      <c r="A1221" s="211" t="s">
        <v>511</v>
      </c>
      <c r="B1221" s="216" t="str">
        <f ca="1">_xlfn.CONCAT(B1192,A1221)</f>
        <v>3AB56E40-ab</v>
      </c>
      <c r="C1221" s="24" t="s">
        <v>25</v>
      </c>
      <c r="D1221" s="185"/>
      <c r="E1221" s="25">
        <f>_xlfn.XLOOKUP(C1221,'H-MO'!B$7:B$30,'H-MO'!D$7:D$30,,0,1)</f>
        <v>2761.4374999999995</v>
      </c>
      <c r="F1221" s="28">
        <v>0.35</v>
      </c>
      <c r="G1221" s="33">
        <f t="shared" si="33"/>
        <v>966.50312499999973</v>
      </c>
    </row>
    <row r="1222" spans="1:8">
      <c r="A1222" s="211" t="s">
        <v>512</v>
      </c>
      <c r="B1222" s="216" t="str">
        <f ca="1">_xlfn.CONCAT(B1192,A1222)</f>
        <v>3AB56E40-ac</v>
      </c>
      <c r="C1222" s="24"/>
      <c r="D1222" s="185"/>
      <c r="E1222" s="29"/>
      <c r="F1222" s="28"/>
      <c r="G1222" s="33">
        <f t="shared" si="33"/>
        <v>0</v>
      </c>
    </row>
    <row r="1223" spans="1:8" ht="14.25" thickBot="1">
      <c r="A1223" s="211" t="s">
        <v>513</v>
      </c>
      <c r="B1223" s="216" t="str">
        <f ca="1">_xlfn.CONCAT(B1192,A1223)</f>
        <v>3AB56E40-ad</v>
      </c>
      <c r="C1223" s="24"/>
      <c r="D1223" s="185"/>
      <c r="E1223" s="29"/>
      <c r="F1223" s="28"/>
      <c r="G1223" s="33">
        <f t="shared" si="33"/>
        <v>0</v>
      </c>
    </row>
    <row r="1224" spans="1:8" ht="16.5" customHeight="1" thickBot="1">
      <c r="A1224" s="211" t="s">
        <v>514</v>
      </c>
      <c r="B1224" s="216" t="str">
        <f ca="1">_xlfn.CONCAT(B1192,A1224)</f>
        <v>3AB56E40-ae</v>
      </c>
      <c r="C1224" s="17"/>
      <c r="D1224" s="192"/>
      <c r="E1224" s="18"/>
      <c r="F1224" s="22" t="s">
        <v>26</v>
      </c>
      <c r="G1224" s="23">
        <f>SUM(G1218:G1223)</f>
        <v>2583.0059799999995</v>
      </c>
    </row>
    <row r="1225" spans="1:8" ht="28.5" customHeight="1" thickBot="1">
      <c r="A1225" s="211" t="s">
        <v>515</v>
      </c>
      <c r="B1225" s="216" t="str">
        <f ca="1">_xlfn.CONCAT(B1192,A1225)</f>
        <v>3AB56E40-af</v>
      </c>
      <c r="C1225" s="10" t="s">
        <v>27</v>
      </c>
      <c r="D1225" s="190"/>
      <c r="E1225" s="11"/>
      <c r="F1225" s="12"/>
      <c r="G1225" s="13"/>
    </row>
    <row r="1226" spans="1:8" s="47" customFormat="1" ht="23.25" customHeight="1" thickBot="1">
      <c r="A1226" s="211" t="s">
        <v>516</v>
      </c>
      <c r="B1226" s="216" t="str">
        <f ca="1">_xlfn.CONCAT(B1192,A1226)</f>
        <v>3AB56E40-ag</v>
      </c>
      <c r="C1226" s="14" t="s">
        <v>1</v>
      </c>
      <c r="D1226" s="15" t="s">
        <v>28</v>
      </c>
      <c r="E1226" s="15" t="s">
        <v>20</v>
      </c>
      <c r="F1226" s="16" t="s">
        <v>21</v>
      </c>
      <c r="G1226" s="15" t="s">
        <v>5</v>
      </c>
      <c r="H1226" s="215"/>
    </row>
    <row r="1227" spans="1:8">
      <c r="A1227" s="211" t="s">
        <v>517</v>
      </c>
      <c r="B1227" s="216" t="str">
        <f ca="1">_xlfn.CONCAT(B1192,A1227)</f>
        <v>3AB56E40-ah</v>
      </c>
      <c r="C1227" s="30" t="s">
        <v>29</v>
      </c>
      <c r="D1227" s="186">
        <f>'H-MO'!$N$77</f>
        <v>725918.52892505517</v>
      </c>
      <c r="E1227" s="31">
        <f>+D1227/8</f>
        <v>90739.816115631897</v>
      </c>
      <c r="F1227" s="32">
        <v>0.3</v>
      </c>
      <c r="G1227" s="33">
        <f>+E1227*F1227</f>
        <v>27221.94483468957</v>
      </c>
    </row>
    <row r="1228" spans="1:8">
      <c r="A1228" s="211" t="s">
        <v>518</v>
      </c>
      <c r="B1228" s="216" t="str">
        <f ca="1">_xlfn.CONCAT(B1192,A1228)</f>
        <v>3AB56E40-ai</v>
      </c>
      <c r="C1228" s="34" t="s">
        <v>30</v>
      </c>
      <c r="D1228" s="187">
        <f>'H-MO'!$N$86</f>
        <v>685561.39085756091</v>
      </c>
      <c r="E1228" s="29">
        <f>+D1228/8</f>
        <v>85695.173857195114</v>
      </c>
      <c r="F1228" s="28">
        <v>0.05</v>
      </c>
      <c r="G1228" s="33">
        <f>+E1228*F1228</f>
        <v>4284.7586928597557</v>
      </c>
    </row>
    <row r="1229" spans="1:8" ht="14.25" thickBot="1">
      <c r="A1229" s="211" t="s">
        <v>519</v>
      </c>
      <c r="B1229" s="216" t="str">
        <f ca="1">_xlfn.CONCAT(B1192,A1229)</f>
        <v>3AB56E40-aj</v>
      </c>
      <c r="C1229" s="34"/>
      <c r="D1229" s="187"/>
      <c r="E1229" s="29"/>
      <c r="F1229" s="28"/>
      <c r="G1229" s="33">
        <f>+E1229*F1229</f>
        <v>0</v>
      </c>
    </row>
    <row r="1230" spans="1:8" ht="17.25" customHeight="1" thickBot="1">
      <c r="A1230" s="211" t="s">
        <v>520</v>
      </c>
      <c r="B1230" s="216" t="str">
        <f ca="1">_xlfn.CONCAT(B1192,A1230)</f>
        <v>3AB56E40-ak</v>
      </c>
      <c r="C1230" s="34"/>
      <c r="D1230" s="185"/>
      <c r="E1230" s="26"/>
      <c r="F1230" s="36" t="s">
        <v>31</v>
      </c>
      <c r="G1230" s="23">
        <f>SUM(G1227:G1229)</f>
        <v>31506.703527549325</v>
      </c>
    </row>
    <row r="1231" spans="1:8" ht="14.25" thickBot="1">
      <c r="A1231" s="211" t="s">
        <v>521</v>
      </c>
      <c r="B1231" s="216" t="str">
        <f ca="1">_xlfn.CONCAT(B1192,A1231)</f>
        <v>3AB56E40-al</v>
      </c>
      <c r="C1231" s="37"/>
      <c r="E1231" s="38"/>
      <c r="F1231" s="22"/>
      <c r="G1231" s="39"/>
    </row>
    <row r="1232" spans="1:8" ht="23.25" customHeight="1" thickBot="1">
      <c r="A1232" s="211" t="s">
        <v>522</v>
      </c>
      <c r="B1232" s="216" t="str">
        <f ca="1">_xlfn.CONCAT(B1192,A1232)</f>
        <v>3AB56E40-am</v>
      </c>
      <c r="C1232" s="40"/>
      <c r="D1232" s="193"/>
      <c r="E1232" s="41"/>
      <c r="F1232" s="42"/>
      <c r="G1232" s="43">
        <f>+G1215+G1224+G1230</f>
        <v>124550.50950754933</v>
      </c>
    </row>
    <row r="1233" spans="1:8" ht="21">
      <c r="B1233" s="212" t="s">
        <v>550</v>
      </c>
      <c r="C1233" s="2"/>
      <c r="D1233" s="183"/>
      <c r="F1233" s="4"/>
      <c r="G1233" s="5"/>
    </row>
    <row r="1234" spans="1:8" s="45" customFormat="1" ht="34.5" customHeight="1">
      <c r="A1234" s="213"/>
      <c r="B1234" s="214"/>
      <c r="C1234" s="245"/>
      <c r="D1234" s="245"/>
      <c r="E1234" s="245"/>
      <c r="F1234" s="245"/>
      <c r="G1234" s="245"/>
      <c r="H1234" s="213"/>
    </row>
    <row r="1235" spans="1:8" s="47" customFormat="1" ht="24.95" customHeight="1" thickBot="1">
      <c r="A1235" s="215"/>
      <c r="B1235" s="216"/>
      <c r="C1235" s="7"/>
      <c r="D1235" s="194"/>
      <c r="E1235" s="8"/>
      <c r="F1235" s="9"/>
      <c r="G1235" s="8"/>
      <c r="H1235" s="215"/>
    </row>
    <row r="1236" spans="1:8" ht="28.5" customHeight="1" thickBot="1">
      <c r="C1236" s="10"/>
      <c r="D1236" s="190"/>
      <c r="E1236" s="11"/>
      <c r="F1236" s="12"/>
      <c r="G1236" s="13"/>
    </row>
    <row r="1237" spans="1:8" s="47" customFormat="1" ht="23.25" customHeight="1" thickBot="1">
      <c r="A1237" s="215"/>
      <c r="B1237" s="216"/>
      <c r="C1237" s="14"/>
      <c r="D1237" s="15"/>
      <c r="E1237" s="15"/>
      <c r="F1237" s="16"/>
      <c r="G1237" s="15"/>
      <c r="H1237" s="215"/>
    </row>
    <row r="1238" spans="1:8">
      <c r="A1238" s="211" t="s">
        <v>484</v>
      </c>
      <c r="B1238" s="216"/>
      <c r="C1238" s="17"/>
      <c r="D1238" s="195"/>
      <c r="E1238" s="18"/>
      <c r="F1238" s="19"/>
      <c r="G1238" s="20"/>
    </row>
    <row r="1239" spans="1:8">
      <c r="A1239" s="211" t="s">
        <v>485</v>
      </c>
      <c r="C1239" s="17"/>
      <c r="D1239" s="184"/>
      <c r="E1239" s="18"/>
      <c r="F1239" s="19"/>
      <c r="G1239" s="20"/>
    </row>
    <row r="1240" spans="1:8">
      <c r="A1240" s="211" t="s">
        <v>486</v>
      </c>
      <c r="C1240" s="17"/>
      <c r="D1240" s="184"/>
      <c r="E1240" s="18"/>
      <c r="F1240" s="19"/>
      <c r="G1240" s="20"/>
    </row>
    <row r="1241" spans="1:8">
      <c r="A1241" s="211" t="s">
        <v>487</v>
      </c>
      <c r="C1241" s="17"/>
      <c r="D1241" s="184"/>
      <c r="E1241" s="18"/>
      <c r="F1241" s="19"/>
      <c r="G1241" s="20"/>
    </row>
    <row r="1242" spans="1:8">
      <c r="A1242" s="211" t="s">
        <v>488</v>
      </c>
      <c r="C1242" s="17"/>
      <c r="D1242" s="184"/>
      <c r="E1242" s="18"/>
      <c r="F1242" s="19"/>
      <c r="G1242" s="20"/>
    </row>
    <row r="1243" spans="1:8">
      <c r="A1243" s="211" t="s">
        <v>489</v>
      </c>
      <c r="C1243" s="17"/>
      <c r="D1243" s="184"/>
      <c r="E1243" s="18"/>
      <c r="F1243" s="19"/>
      <c r="G1243" s="20"/>
    </row>
    <row r="1244" spans="1:8">
      <c r="A1244" s="211" t="s">
        <v>490</v>
      </c>
      <c r="C1244" s="17"/>
      <c r="D1244" s="184"/>
      <c r="E1244" s="18"/>
      <c r="F1244" s="19"/>
      <c r="G1244" s="20"/>
    </row>
    <row r="1245" spans="1:8">
      <c r="A1245" s="211" t="s">
        <v>491</v>
      </c>
      <c r="C1245" s="17"/>
      <c r="D1245" s="184"/>
      <c r="E1245" s="18"/>
      <c r="F1245" s="19"/>
      <c r="G1245" s="20"/>
    </row>
    <row r="1246" spans="1:8">
      <c r="A1246" s="211" t="s">
        <v>492</v>
      </c>
      <c r="C1246" s="17"/>
      <c r="D1246" s="184"/>
      <c r="E1246" s="18"/>
      <c r="F1246" s="19"/>
      <c r="G1246" s="20"/>
    </row>
    <row r="1247" spans="1:8">
      <c r="A1247" s="211" t="s">
        <v>493</v>
      </c>
      <c r="C1247" s="17"/>
      <c r="D1247" s="184"/>
      <c r="E1247" s="18"/>
      <c r="F1247" s="19"/>
      <c r="G1247" s="20"/>
    </row>
    <row r="1248" spans="1:8">
      <c r="A1248" s="211" t="s">
        <v>494</v>
      </c>
      <c r="C1248" s="17"/>
      <c r="D1248" s="184"/>
      <c r="E1248" s="18"/>
      <c r="F1248" s="19"/>
      <c r="G1248" s="20"/>
    </row>
    <row r="1249" spans="1:1">
      <c r="A1249" s="211" t="s">
        <v>495</v>
      </c>
    </row>
    <row r="1250" spans="1:1">
      <c r="A1250" s="211" t="s">
        <v>496</v>
      </c>
    </row>
    <row r="1251" spans="1:1">
      <c r="A1251" s="211" t="s">
        <v>497</v>
      </c>
    </row>
    <row r="1252" spans="1:1">
      <c r="A1252" s="211" t="s">
        <v>498</v>
      </c>
    </row>
    <row r="1253" spans="1:1">
      <c r="A1253" s="211" t="s">
        <v>499</v>
      </c>
    </row>
    <row r="1254" spans="1:1">
      <c r="A1254" s="211" t="s">
        <v>500</v>
      </c>
    </row>
    <row r="1255" spans="1:1">
      <c r="A1255" s="211" t="s">
        <v>501</v>
      </c>
    </row>
    <row r="1256" spans="1:1">
      <c r="A1256" s="211" t="s">
        <v>502</v>
      </c>
    </row>
    <row r="1257" spans="1:1">
      <c r="A1257" s="211" t="s">
        <v>503</v>
      </c>
    </row>
    <row r="1258" spans="1:1" ht="14.25" thickBot="1">
      <c r="A1258" s="211" t="s">
        <v>504</v>
      </c>
    </row>
    <row r="1259" spans="1:1" ht="16.5" customHeight="1" thickBot="1">
      <c r="A1259" s="211" t="s">
        <v>505</v>
      </c>
    </row>
    <row r="1260" spans="1:1" ht="28.5" customHeight="1" thickBot="1">
      <c r="A1260" s="211" t="s">
        <v>506</v>
      </c>
    </row>
    <row r="1261" spans="1:1" s="47" customFormat="1" ht="23.25" customHeight="1" thickBot="1">
      <c r="A1261" s="211" t="s">
        <v>507</v>
      </c>
    </row>
    <row r="1262" spans="1:1">
      <c r="A1262" s="211" t="s">
        <v>508</v>
      </c>
    </row>
    <row r="1263" spans="1:1">
      <c r="A1263" s="211" t="s">
        <v>509</v>
      </c>
    </row>
    <row r="1264" spans="1:1">
      <c r="A1264" s="211" t="s">
        <v>510</v>
      </c>
    </row>
    <row r="1265" spans="1:7">
      <c r="A1265" s="211" t="s">
        <v>511</v>
      </c>
      <c r="C1265" s="24"/>
      <c r="D1265" s="185"/>
      <c r="E1265" s="27"/>
      <c r="F1265" s="28"/>
      <c r="G1265" s="33"/>
    </row>
    <row r="1266" spans="1:7">
      <c r="A1266" s="211" t="s">
        <v>512</v>
      </c>
      <c r="C1266" s="24"/>
      <c r="D1266" s="185"/>
      <c r="E1266" s="29"/>
      <c r="F1266" s="28"/>
      <c r="G1266" s="33"/>
    </row>
    <row r="1267" spans="1:7" ht="14.25" thickBot="1">
      <c r="A1267" s="211" t="s">
        <v>513</v>
      </c>
      <c r="C1267" s="24"/>
      <c r="D1267" s="185"/>
      <c r="E1267" s="29"/>
      <c r="F1267" s="28"/>
      <c r="G1267" s="33"/>
    </row>
    <row r="1268" spans="1:7" ht="16.5" customHeight="1" thickBot="1">
      <c r="A1268" s="211" t="s">
        <v>514</v>
      </c>
      <c r="C1268" s="17"/>
      <c r="D1268" s="192"/>
      <c r="E1268" s="18"/>
      <c r="F1268" s="22"/>
      <c r="G1268" s="23"/>
    </row>
    <row r="1269" spans="1:7" ht="28.5" customHeight="1" thickBot="1">
      <c r="A1269" s="211" t="s">
        <v>515</v>
      </c>
      <c r="C1269" s="10"/>
      <c r="D1269" s="190"/>
      <c r="E1269" s="11"/>
      <c r="F1269" s="12"/>
      <c r="G1269" s="13"/>
    </row>
    <row r="1270" spans="1:7" s="47" customFormat="1" ht="23.25" customHeight="1" thickBot="1">
      <c r="A1270" s="211" t="s">
        <v>516</v>
      </c>
      <c r="B1270" s="216"/>
      <c r="C1270" s="14"/>
      <c r="D1270" s="15"/>
      <c r="E1270" s="15"/>
      <c r="F1270" s="16"/>
      <c r="G1270" s="15"/>
    </row>
    <row r="1271" spans="1:7">
      <c r="A1271" s="211" t="s">
        <v>517</v>
      </c>
      <c r="C1271" s="30"/>
      <c r="D1271" s="186"/>
      <c r="E1271" s="31"/>
      <c r="F1271" s="32"/>
      <c r="G1271" s="33"/>
    </row>
    <row r="1272" spans="1:7">
      <c r="A1272" s="211" t="s">
        <v>518</v>
      </c>
      <c r="C1272" s="34"/>
      <c r="D1272" s="187"/>
      <c r="E1272" s="29"/>
      <c r="F1272" s="28"/>
      <c r="G1272" s="33"/>
    </row>
    <row r="1273" spans="1:7" ht="14.25" thickBot="1">
      <c r="A1273" s="211" t="s">
        <v>519</v>
      </c>
      <c r="C1273" s="34"/>
      <c r="D1273" s="187"/>
      <c r="E1273" s="29"/>
      <c r="F1273" s="28"/>
      <c r="G1273" s="35"/>
    </row>
    <row r="1274" spans="1:7" ht="17.25" customHeight="1" thickBot="1">
      <c r="A1274" s="211" t="s">
        <v>520</v>
      </c>
      <c r="C1274" s="34"/>
      <c r="D1274" s="185"/>
      <c r="E1274" s="26"/>
      <c r="F1274" s="36"/>
      <c r="G1274" s="23"/>
    </row>
    <row r="1275" spans="1:7" ht="14.25" thickBot="1">
      <c r="A1275" s="211" t="s">
        <v>521</v>
      </c>
      <c r="C1275" s="37"/>
      <c r="E1275" s="38"/>
      <c r="F1275" s="22"/>
      <c r="G1275" s="39"/>
    </row>
    <row r="1276" spans="1:7" ht="23.25" customHeight="1" thickBot="1">
      <c r="A1276" s="211" t="s">
        <v>522</v>
      </c>
      <c r="C1276" s="40"/>
      <c r="D1276" s="193"/>
      <c r="E1276" s="41"/>
      <c r="F1276" s="42"/>
      <c r="G1276" s="43"/>
    </row>
    <row r="1277" spans="1:7" ht="21">
      <c r="C1277" s="2"/>
      <c r="D1277" s="183"/>
      <c r="F1277" s="4"/>
      <c r="G1277" s="5"/>
    </row>
    <row r="1278" spans="1:7" s="45" customFormat="1" ht="34.5" customHeight="1">
      <c r="A1278" s="213"/>
      <c r="B1278" s="214"/>
      <c r="C1278" s="245"/>
      <c r="D1278" s="245"/>
      <c r="E1278" s="245"/>
      <c r="F1278" s="245"/>
      <c r="G1278" s="245"/>
    </row>
    <row r="1282" spans="1:1">
      <c r="A1282" s="211" t="s">
        <v>484</v>
      </c>
    </row>
    <row r="1283" spans="1:1">
      <c r="A1283" s="211" t="s">
        <v>485</v>
      </c>
    </row>
    <row r="1284" spans="1:1">
      <c r="A1284" s="211" t="s">
        <v>486</v>
      </c>
    </row>
    <row r="1285" spans="1:1">
      <c r="A1285" s="211" t="s">
        <v>487</v>
      </c>
    </row>
    <row r="1286" spans="1:1">
      <c r="A1286" s="211" t="s">
        <v>488</v>
      </c>
    </row>
    <row r="1287" spans="1:1">
      <c r="A1287" s="211" t="s">
        <v>489</v>
      </c>
    </row>
    <row r="1288" spans="1:1">
      <c r="A1288" s="211" t="s">
        <v>490</v>
      </c>
    </row>
    <row r="1289" spans="1:1">
      <c r="A1289" s="211" t="s">
        <v>491</v>
      </c>
    </row>
    <row r="1290" spans="1:1">
      <c r="A1290" s="211" t="s">
        <v>492</v>
      </c>
    </row>
    <row r="1291" spans="1:1">
      <c r="A1291" s="211" t="s">
        <v>493</v>
      </c>
    </row>
    <row r="1292" spans="1:1">
      <c r="A1292" s="211" t="s">
        <v>494</v>
      </c>
    </row>
    <row r="1293" spans="1:1">
      <c r="A1293" s="211" t="s">
        <v>495</v>
      </c>
    </row>
    <row r="1294" spans="1:1">
      <c r="A1294" s="211" t="s">
        <v>496</v>
      </c>
    </row>
    <row r="1295" spans="1:1">
      <c r="A1295" s="211" t="s">
        <v>497</v>
      </c>
    </row>
    <row r="1296" spans="1:1">
      <c r="A1296" s="211" t="s">
        <v>498</v>
      </c>
    </row>
    <row r="1297" spans="1:1">
      <c r="A1297" s="211" t="s">
        <v>499</v>
      </c>
    </row>
    <row r="1298" spans="1:1">
      <c r="A1298" s="211" t="s">
        <v>500</v>
      </c>
    </row>
    <row r="1299" spans="1:1">
      <c r="A1299" s="211" t="s">
        <v>501</v>
      </c>
    </row>
    <row r="1300" spans="1:1">
      <c r="A1300" s="211" t="s">
        <v>502</v>
      </c>
    </row>
    <row r="1301" spans="1:1">
      <c r="A1301" s="211" t="s">
        <v>503</v>
      </c>
    </row>
    <row r="1302" spans="1:1" ht="14.25" thickBot="1">
      <c r="A1302" s="211" t="s">
        <v>504</v>
      </c>
    </row>
    <row r="1303" spans="1:1" ht="16.5" customHeight="1" thickBot="1">
      <c r="A1303" s="211" t="s">
        <v>505</v>
      </c>
    </row>
    <row r="1304" spans="1:1" ht="28.5" customHeight="1" thickBot="1">
      <c r="A1304" s="211" t="s">
        <v>506</v>
      </c>
    </row>
    <row r="1305" spans="1:1" s="47" customFormat="1" ht="23.25" customHeight="1" thickBot="1">
      <c r="A1305" s="211" t="s">
        <v>507</v>
      </c>
    </row>
    <row r="1306" spans="1:1">
      <c r="A1306" s="211" t="s">
        <v>508</v>
      </c>
    </row>
    <row r="1307" spans="1:1">
      <c r="A1307" s="211" t="s">
        <v>509</v>
      </c>
    </row>
    <row r="1308" spans="1:1">
      <c r="A1308" s="211" t="s">
        <v>510</v>
      </c>
    </row>
    <row r="1309" spans="1:1">
      <c r="A1309" s="211" t="s">
        <v>511</v>
      </c>
    </row>
    <row r="1310" spans="1:1">
      <c r="A1310" s="211" t="s">
        <v>512</v>
      </c>
    </row>
    <row r="1311" spans="1:1" ht="14.25" thickBot="1">
      <c r="A1311" s="211" t="s">
        <v>513</v>
      </c>
    </row>
    <row r="1312" spans="1:1" ht="16.5" customHeight="1" thickBot="1">
      <c r="A1312" s="211" t="s">
        <v>514</v>
      </c>
    </row>
    <row r="1313" spans="1:8" ht="28.5" customHeight="1" thickBot="1">
      <c r="A1313" s="211" t="s">
        <v>515</v>
      </c>
      <c r="C1313" s="10"/>
      <c r="D1313" s="190"/>
      <c r="E1313" s="11"/>
      <c r="F1313" s="12"/>
      <c r="G1313" s="13"/>
    </row>
    <row r="1314" spans="1:8" s="47" customFormat="1" ht="23.25" customHeight="1" thickBot="1">
      <c r="A1314" s="211" t="s">
        <v>516</v>
      </c>
      <c r="B1314" s="216"/>
      <c r="C1314" s="14"/>
      <c r="D1314" s="15"/>
      <c r="E1314" s="15"/>
      <c r="F1314" s="16"/>
      <c r="G1314" s="15"/>
      <c r="H1314" s="215"/>
    </row>
    <row r="1315" spans="1:8">
      <c r="A1315" s="211" t="s">
        <v>517</v>
      </c>
      <c r="C1315" s="30"/>
      <c r="D1315" s="186"/>
      <c r="E1315" s="31"/>
      <c r="F1315" s="32"/>
      <c r="G1315" s="33"/>
    </row>
    <row r="1316" spans="1:8">
      <c r="A1316" s="211" t="s">
        <v>518</v>
      </c>
      <c r="C1316" s="34"/>
      <c r="D1316" s="187"/>
      <c r="E1316" s="29"/>
      <c r="F1316" s="28"/>
      <c r="G1316" s="33"/>
    </row>
    <row r="1317" spans="1:8" ht="14.25" thickBot="1">
      <c r="A1317" s="211" t="s">
        <v>519</v>
      </c>
      <c r="C1317" s="34"/>
      <c r="D1317" s="187"/>
      <c r="E1317" s="29"/>
      <c r="F1317" s="28"/>
      <c r="G1317" s="35"/>
    </row>
    <row r="1318" spans="1:8" ht="17.25" customHeight="1" thickBot="1">
      <c r="A1318" s="211" t="s">
        <v>520</v>
      </c>
      <c r="C1318" s="34"/>
      <c r="D1318" s="185"/>
      <c r="E1318" s="26"/>
      <c r="F1318" s="36"/>
      <c r="G1318" s="23"/>
    </row>
    <row r="1319" spans="1:8" ht="14.25" thickBot="1">
      <c r="A1319" s="211" t="s">
        <v>521</v>
      </c>
      <c r="C1319" s="37"/>
      <c r="E1319" s="38"/>
      <c r="F1319" s="22"/>
      <c r="G1319" s="39"/>
    </row>
    <row r="1320" spans="1:8" ht="23.25" customHeight="1" thickBot="1">
      <c r="A1320" s="211" t="s">
        <v>522</v>
      </c>
      <c r="C1320" s="40"/>
      <c r="D1320" s="193"/>
      <c r="E1320" s="41"/>
      <c r="F1320" s="42"/>
      <c r="G1320" s="43"/>
    </row>
    <row r="1321" spans="1:8" ht="19.5" customHeight="1" thickBot="1">
      <c r="C1321" s="2"/>
    </row>
    <row r="1322" spans="1:8" s="45" customFormat="1" ht="34.5" customHeight="1">
      <c r="A1322" s="213"/>
      <c r="B1322" s="214">
        <v>31</v>
      </c>
      <c r="C1322" s="242" t="str">
        <f ca="1">_xlfn.XLOOKUP(B1322,Cantidades!$A$10:$A$314,Cantidades!$C$10:$C$314,,0,1)</f>
        <v>Suministro e instalación de salida interruptor sencillo. Incluye interruptor. Incluye caja de conexión, cable #12 AWG de cobre, tubería PVC tipo A y demás accesorios para su correcta instalación,  fincionamiento y señalización.  (sin aparato)</v>
      </c>
      <c r="D1322" s="243"/>
      <c r="E1322" s="243"/>
      <c r="F1322" s="243"/>
      <c r="G1322" s="244"/>
      <c r="H1322" s="213"/>
    </row>
    <row r="1323" spans="1:8" s="47" customFormat="1" ht="24.95" customHeight="1" thickBot="1">
      <c r="A1323" s="215"/>
      <c r="B1323" s="216" t="s">
        <v>550</v>
      </c>
      <c r="C1323" s="177"/>
      <c r="D1323" s="189"/>
      <c r="E1323" s="178"/>
      <c r="F1323" s="179" t="s">
        <v>636</v>
      </c>
      <c r="G1323" s="209" t="str">
        <f ca="1">B1324</f>
        <v>1986EAB3-</v>
      </c>
      <c r="H1323" s="215"/>
    </row>
    <row r="1324" spans="1:8" ht="28.5" customHeight="1" thickBot="1">
      <c r="B1324" s="212" t="str">
        <f ca="1">_xlfn.XLOOKUP(C1322,Cantidades!$C$1:$C$314,Cantidades!$B$1:$B$314,"",0,1)</f>
        <v>1986EAB3-</v>
      </c>
      <c r="C1324" s="10" t="s">
        <v>0</v>
      </c>
      <c r="D1324" s="190"/>
      <c r="E1324" s="11"/>
      <c r="F1324" s="12"/>
      <c r="G1324" s="13"/>
    </row>
    <row r="1325" spans="1:8" s="47" customFormat="1" ht="23.25" customHeight="1" thickBot="1">
      <c r="A1325" s="215"/>
      <c r="B1325" s="216" t="s">
        <v>550</v>
      </c>
      <c r="C1325" s="14" t="s">
        <v>1</v>
      </c>
      <c r="D1325" s="15" t="s">
        <v>2</v>
      </c>
      <c r="E1325" s="15" t="s">
        <v>3</v>
      </c>
      <c r="F1325" s="16" t="s">
        <v>4</v>
      </c>
      <c r="G1325" s="15" t="s">
        <v>5</v>
      </c>
      <c r="H1325" s="215"/>
    </row>
    <row r="1326" spans="1:8" ht="15">
      <c r="A1326" s="211" t="s">
        <v>484</v>
      </c>
      <c r="B1326" s="216" t="str">
        <f ca="1">_xlfn.CONCAT(B1324,A1326)</f>
        <v>1986EAB3-A</v>
      </c>
      <c r="C1326" s="17" t="str">
        <f>_xlfn.XLOOKUP(H1326,'Materiales unitario'!$A$1:$A$2500,'Materiales unitario'!B$1:B$2500,,0,1)</f>
        <v>Tubo Conduit PVC 1-2 Pulgadas</v>
      </c>
      <c r="D1326" s="184" t="str">
        <f>_xlfn.XLOOKUP(H1326,'Materiales unitario'!A$1:A$2500,'Materiales unitario'!C$1:C$2500,,0,1)</f>
        <v>ml</v>
      </c>
      <c r="E1326" s="197">
        <f>_xlfn.XLOOKUP(H1326,'Materiales unitario'!$A$1:$A$2500,'Materiales unitario'!D$1:D$2500,,0,1)</f>
        <v>1600</v>
      </c>
      <c r="F1326" s="19">
        <v>2.5</v>
      </c>
      <c r="G1326" s="20">
        <f>+E1326*F1326</f>
        <v>4000</v>
      </c>
      <c r="H1326" s="217" t="s">
        <v>613</v>
      </c>
    </row>
    <row r="1327" spans="1:8" ht="15">
      <c r="A1327" s="211" t="s">
        <v>485</v>
      </c>
      <c r="B1327" s="216" t="str">
        <f ca="1">_xlfn.CONCAT(B1324,A1327)</f>
        <v>1986EAB3-B</v>
      </c>
      <c r="C1327" s="17" t="str">
        <f>_xlfn.XLOOKUP(H1327,'Materiales unitario'!$A$1:$A$2500,'Materiales unitario'!B$1:B$2500,,0,1)</f>
        <v>Tubo Conduit PVC 3-4 Pulgadas</v>
      </c>
      <c r="D1327" s="184" t="str">
        <f>_xlfn.XLOOKUP(H1327,'Materiales unitario'!A$1:A$2500,'Materiales unitario'!C$1:C$2500,,0,1)</f>
        <v>ml</v>
      </c>
      <c r="E1327" s="197">
        <f>_xlfn.XLOOKUP(H1327,'Materiales unitario'!$A$1:$A$2500,'Materiales unitario'!D$1:D$2500,,0,1)</f>
        <v>2066.6666666666665</v>
      </c>
      <c r="F1327" s="19">
        <v>0.5</v>
      </c>
      <c r="G1327" s="20">
        <f t="shared" ref="G1327:G1337" si="34">+E1327*F1327</f>
        <v>1033.3333333333333</v>
      </c>
      <c r="H1327" s="217" t="s">
        <v>614</v>
      </c>
    </row>
    <row r="1328" spans="1:8" ht="15">
      <c r="A1328" s="211" t="s">
        <v>486</v>
      </c>
      <c r="B1328" s="216" t="str">
        <f ca="1">_xlfn.CONCAT(B1324,A1328)</f>
        <v>1986EAB3-C</v>
      </c>
      <c r="C1328" s="17" t="str">
        <f>_xlfn.XLOOKUP(H1328,'Materiales unitario'!$A$1:$A$2500,'Materiales unitario'!B$1:B$2500,,0,1)</f>
        <v>Adaptador terminal PVC ø1/2"</v>
      </c>
      <c r="D1328" s="184" t="str">
        <f>_xlfn.XLOOKUP(H1328,'Materiales unitario'!A$1:A$2500,'Materiales unitario'!C$1:C$2500,,0,1)</f>
        <v>un</v>
      </c>
      <c r="E1328" s="197">
        <f>_xlfn.XLOOKUP(H1328,'Materiales unitario'!$A$1:$A$2500,'Materiales unitario'!D$1:D$2500,,0,1)</f>
        <v>720</v>
      </c>
      <c r="F1328" s="19">
        <v>1.7</v>
      </c>
      <c r="G1328" s="20">
        <f t="shared" si="34"/>
        <v>1224</v>
      </c>
      <c r="H1328" s="217" t="s">
        <v>603</v>
      </c>
    </row>
    <row r="1329" spans="1:8" ht="15">
      <c r="A1329" s="211" t="s">
        <v>487</v>
      </c>
      <c r="B1329" s="216" t="str">
        <f ca="1">_xlfn.CONCAT(B1324,A1329)</f>
        <v>1986EAB3-D</v>
      </c>
      <c r="C1329" s="17" t="str">
        <f>_xlfn.XLOOKUP(H1329,'Materiales unitario'!$A$1:$A$2500,'Materiales unitario'!B$1:B$2500,,0,1)</f>
        <v>Adaptador terminal PVC ø3/4"</v>
      </c>
      <c r="D1329" s="184" t="str">
        <f>_xlfn.XLOOKUP(H1329,'Materiales unitario'!A$1:A$2500,'Materiales unitario'!C$1:C$2500,,0,1)</f>
        <v>un</v>
      </c>
      <c r="E1329" s="197">
        <f>_xlfn.XLOOKUP(H1329,'Materiales unitario'!$A$1:$A$2500,'Materiales unitario'!D$1:D$2500,,0,1)</f>
        <v>920</v>
      </c>
      <c r="F1329" s="19">
        <v>0.3</v>
      </c>
      <c r="G1329" s="20">
        <f t="shared" si="34"/>
        <v>276</v>
      </c>
      <c r="H1329" s="217" t="s">
        <v>604</v>
      </c>
    </row>
    <row r="1330" spans="1:8" ht="15">
      <c r="A1330" s="211" t="s">
        <v>488</v>
      </c>
      <c r="B1330" s="216" t="str">
        <f ca="1">_xlfn.CONCAT(B1324,A1330)</f>
        <v>1986EAB3-E</v>
      </c>
      <c r="C1330" s="17" t="str">
        <f>_xlfn.XLOOKUP(H1330,'Materiales unitario'!$A$1:$A$2500,'Materiales unitario'!B$1:B$2500,,0,1)</f>
        <v>Caja galvanizada ref. 2400 (Cal. 20)</v>
      </c>
      <c r="D1330" s="184" t="str">
        <f>_xlfn.XLOOKUP(H1330,'Materiales unitario'!A$1:A$2500,'Materiales unitario'!C$1:C$2500,,0,1)</f>
        <v>un</v>
      </c>
      <c r="E1330" s="197">
        <f>_xlfn.XLOOKUP(H1330,'Materiales unitario'!$A$1:$A$2500,'Materiales unitario'!D$1:D$2500,,0,1)</f>
        <v>3150</v>
      </c>
      <c r="F1330" s="19">
        <v>0.8</v>
      </c>
      <c r="G1330" s="20">
        <f t="shared" si="34"/>
        <v>2520</v>
      </c>
      <c r="H1330" s="217" t="s">
        <v>605</v>
      </c>
    </row>
    <row r="1331" spans="1:8" ht="15">
      <c r="A1331" s="211" t="s">
        <v>489</v>
      </c>
      <c r="B1331" s="216" t="str">
        <f ca="1">_xlfn.CONCAT(B1324,A1331)</f>
        <v>1986EAB3-F</v>
      </c>
      <c r="C1331" s="17" t="str">
        <f>_xlfn.XLOOKUP(H1331,'Materiales unitario'!$A$1:$A$2500,'Materiales unitario'!B$1:B$2500,,0,1)</f>
        <v>Caja galvanizada ref. 5800 (Cal. 20)</v>
      </c>
      <c r="D1331" s="184" t="str">
        <f>_xlfn.XLOOKUP(H1331,'Materiales unitario'!A$1:A$2500,'Materiales unitario'!C$1:C$2500,,0,1)</f>
        <v>un</v>
      </c>
      <c r="E1331" s="197">
        <f>_xlfn.XLOOKUP(H1331,'Materiales unitario'!$A$1:$A$2500,'Materiales unitario'!D$1:D$2500,,0,1)</f>
        <v>2900</v>
      </c>
      <c r="F1331" s="19">
        <v>0.2</v>
      </c>
      <c r="G1331" s="20">
        <f t="shared" si="34"/>
        <v>580</v>
      </c>
      <c r="H1331" s="217" t="s">
        <v>606</v>
      </c>
    </row>
    <row r="1332" spans="1:8" ht="15">
      <c r="A1332" s="211" t="s">
        <v>490</v>
      </c>
      <c r="B1332" s="216" t="str">
        <f ca="1">_xlfn.CONCAT(B1324,A1332)</f>
        <v>1986EAB3-G</v>
      </c>
      <c r="C1332" s="17" t="str">
        <f>_xlfn.XLOOKUP(H1332,'Materiales unitario'!$A$1:$A$2500,'Materiales unitario'!B$1:B$2500,,0,1)</f>
        <v>Caja galvanizada octagonal (Cal. 20)</v>
      </c>
      <c r="D1332" s="184" t="str">
        <f>_xlfn.XLOOKUP(H1332,'Materiales unitario'!A$1:A$2500,'Materiales unitario'!C$1:C$2500,,0,1)</f>
        <v>un</v>
      </c>
      <c r="E1332" s="197">
        <f>_xlfn.XLOOKUP(H1332,'Materiales unitario'!$A$1:$A$2500,'Materiales unitario'!D$1:D$2500,,0,1)</f>
        <v>2900</v>
      </c>
      <c r="F1332" s="19">
        <v>0.01</v>
      </c>
      <c r="G1332" s="20">
        <f t="shared" si="34"/>
        <v>29</v>
      </c>
      <c r="H1332" s="217" t="s">
        <v>607</v>
      </c>
    </row>
    <row r="1333" spans="1:8" ht="15">
      <c r="A1333" s="211" t="s">
        <v>491</v>
      </c>
      <c r="B1333" s="216" t="str">
        <f ca="1">_xlfn.CONCAT(B1324,A1333)</f>
        <v>1986EAB3-H</v>
      </c>
      <c r="C1333" s="17" t="str">
        <f>_xlfn.XLOOKUP(H1333,'Materiales unitario'!$A$1:$A$2500,'Materiales unitario'!B$1:B$2500,,0,1)</f>
        <v xml:space="preserve">Tornillo lámina #14x1/2" goloso </v>
      </c>
      <c r="D1333" s="184" t="str">
        <f>_xlfn.XLOOKUP(H1333,'Materiales unitario'!A$1:A$2500,'Materiales unitario'!C$1:C$2500,,0,1)</f>
        <v>un</v>
      </c>
      <c r="E1333" s="197">
        <f>_xlfn.XLOOKUP(H1333,'Materiales unitario'!$A$1:$A$2500,'Materiales unitario'!D$1:D$2500,,0,1)</f>
        <v>200</v>
      </c>
      <c r="F1333" s="19">
        <v>2</v>
      </c>
      <c r="G1333" s="20">
        <f t="shared" si="34"/>
        <v>400</v>
      </c>
      <c r="H1333" s="217" t="s">
        <v>608</v>
      </c>
    </row>
    <row r="1334" spans="1:8" ht="15">
      <c r="A1334" s="211" t="s">
        <v>492</v>
      </c>
      <c r="B1334" s="216" t="str">
        <f ca="1">_xlfn.CONCAT(B1324,A1334)</f>
        <v>1986EAB3-I</v>
      </c>
      <c r="C1334" s="17" t="str">
        <f>_xlfn.XLOOKUP(H1334,'Materiales unitario'!$A$1:$A$2500,'Materiales unitario'!B$1:B$2500,,0,1)</f>
        <v>Suplemento galvanizado de ø1/4" (Cal. 24)</v>
      </c>
      <c r="D1334" s="184" t="str">
        <f>_xlfn.XLOOKUP(H1334,'Materiales unitario'!A$1:A$2500,'Materiales unitario'!C$1:C$2500,,0,1)</f>
        <v>un</v>
      </c>
      <c r="E1334" s="197">
        <f>_xlfn.XLOOKUP(H1334,'Materiales unitario'!$A$1:$A$2500,'Materiales unitario'!D$1:D$2500,,0,1)</f>
        <v>1200</v>
      </c>
      <c r="F1334" s="19">
        <v>1</v>
      </c>
      <c r="G1334" s="20">
        <f t="shared" si="34"/>
        <v>1200</v>
      </c>
      <c r="H1334" s="217" t="s">
        <v>609</v>
      </c>
    </row>
    <row r="1335" spans="1:8" ht="15">
      <c r="A1335" s="211" t="s">
        <v>493</v>
      </c>
      <c r="B1335" s="216" t="str">
        <f ca="1">_xlfn.CONCAT(B1324,A1335)</f>
        <v>1986EAB3-J</v>
      </c>
      <c r="C1335" s="17" t="str">
        <f>_xlfn.XLOOKUP(H1335,'Materiales unitario'!$A$1:$A$2500,'Materiales unitario'!B$1:B$2500,,0,1)</f>
        <v>Conector de resorte rojo "R" 18-10 AWG</v>
      </c>
      <c r="D1335" s="184" t="str">
        <f>_xlfn.XLOOKUP(H1335,'Materiales unitario'!A$1:A$2500,'Materiales unitario'!C$1:C$2500,,0,1)</f>
        <v>un</v>
      </c>
      <c r="E1335" s="197">
        <f>_xlfn.XLOOKUP(H1335,'Materiales unitario'!$A$1:$A$2500,'Materiales unitario'!D$1:D$2500,,0,1)</f>
        <v>280</v>
      </c>
      <c r="F1335" s="19">
        <v>3</v>
      </c>
      <c r="G1335" s="20">
        <f t="shared" si="34"/>
        <v>840</v>
      </c>
      <c r="H1335" s="217" t="s">
        <v>302</v>
      </c>
    </row>
    <row r="1336" spans="1:8" ht="15">
      <c r="A1336" s="211" t="s">
        <v>494</v>
      </c>
      <c r="B1336" s="216" t="str">
        <f ca="1">_xlfn.CONCAT(B1324,A1336)</f>
        <v>1986EAB3-K</v>
      </c>
      <c r="C1336" s="17" t="str">
        <f>_xlfn.XLOOKUP(H1336,'Materiales unitario'!$A$1:$A$2500,'Materiales unitario'!B$1:B$2500,,0,1)</f>
        <v>Soldadura liquida PVC 1/4 de galón</v>
      </c>
      <c r="D1336" s="184" t="str">
        <f>_xlfn.XLOOKUP(H1336,'Materiales unitario'!A$1:A$2500,'Materiales unitario'!C$1:C$2500,,0,1)</f>
        <v>un</v>
      </c>
      <c r="E1336" s="197">
        <f>_xlfn.XLOOKUP(H1336,'Materiales unitario'!$A$1:$A$2500,'Materiales unitario'!D$1:D$2500,,0,1)</f>
        <v>60900</v>
      </c>
      <c r="F1336" s="19">
        <v>1.2E-2</v>
      </c>
      <c r="G1336" s="20">
        <f t="shared" si="34"/>
        <v>730.80000000000007</v>
      </c>
      <c r="H1336" s="217" t="s">
        <v>530</v>
      </c>
    </row>
    <row r="1337" spans="1:8" ht="15">
      <c r="A1337" s="211" t="s">
        <v>495</v>
      </c>
      <c r="B1337" s="216" t="str">
        <f ca="1">_xlfn.CONCAT(B1324,A1337)</f>
        <v>1986EAB3-L</v>
      </c>
      <c r="C1337" s="17" t="str">
        <f>_xlfn.XLOOKUP(H1337,'Materiales unitario'!$A$1:$A$2500,'Materiales unitario'!B$1:B$2500,,0,1)</f>
        <v>Cable de cobre aislado #12 AWG-THHN/THWN Color negro</v>
      </c>
      <c r="D1337" s="184" t="str">
        <f>_xlfn.XLOOKUP(H1337,'Materiales unitario'!A$1:A$2500,'Materiales unitario'!C$1:C$2500,,0,1)</f>
        <v>ml</v>
      </c>
      <c r="E1337" s="197">
        <f>_xlfn.XLOOKUP(H1337,'Materiales unitario'!$A$1:$A$2500,'Materiales unitario'!D$1:D$2500,,0,1)</f>
        <v>3020</v>
      </c>
      <c r="F1337" s="19">
        <v>12</v>
      </c>
      <c r="G1337" s="20">
        <f t="shared" si="34"/>
        <v>36240</v>
      </c>
      <c r="H1337" s="217" t="s">
        <v>267</v>
      </c>
    </row>
    <row r="1338" spans="1:8" ht="15">
      <c r="A1338" s="211" t="s">
        <v>496</v>
      </c>
      <c r="B1338" s="216" t="str">
        <f ca="1">_xlfn.CONCAT(B1324,A1338)</f>
        <v>1986EAB3-M</v>
      </c>
      <c r="C1338" s="17"/>
      <c r="D1338" s="184"/>
      <c r="E1338" s="197"/>
      <c r="F1338" s="19"/>
      <c r="G1338" s="20"/>
      <c r="H1338" s="217"/>
    </row>
    <row r="1339" spans="1:8">
      <c r="A1339" s="211" t="s">
        <v>497</v>
      </c>
      <c r="B1339" s="216" t="str">
        <f ca="1">_xlfn.CONCAT(B1324,A1339)</f>
        <v>1986EAB3-N</v>
      </c>
      <c r="C1339" s="17"/>
      <c r="D1339" s="184"/>
      <c r="E1339" s="197"/>
      <c r="F1339" s="19"/>
      <c r="G1339" s="20"/>
    </row>
    <row r="1340" spans="1:8">
      <c r="A1340" s="211" t="s">
        <v>498</v>
      </c>
      <c r="B1340" s="216" t="str">
        <f ca="1">_xlfn.CONCAT(B1324,A1340)</f>
        <v>1986EAB3-O</v>
      </c>
      <c r="C1340" s="17"/>
      <c r="D1340" s="184"/>
      <c r="E1340" s="197"/>
      <c r="F1340" s="19"/>
      <c r="G1340" s="20"/>
    </row>
    <row r="1341" spans="1:8">
      <c r="A1341" s="211" t="s">
        <v>499</v>
      </c>
      <c r="B1341" s="216" t="str">
        <f ca="1">_xlfn.CONCAT(B1324,A1341)</f>
        <v>1986EAB3-P</v>
      </c>
      <c r="C1341" s="17"/>
      <c r="D1341" s="184"/>
      <c r="E1341" s="197"/>
      <c r="F1341" s="19"/>
      <c r="G1341" s="20"/>
    </row>
    <row r="1342" spans="1:8">
      <c r="A1342" s="211" t="s">
        <v>500</v>
      </c>
      <c r="B1342" s="216" t="str">
        <f ca="1">_xlfn.CONCAT(B1324,A1342)</f>
        <v>1986EAB3-Q</v>
      </c>
      <c r="C1342" s="17"/>
      <c r="D1342" s="184"/>
      <c r="E1342" s="197"/>
      <c r="F1342" s="19"/>
      <c r="G1342" s="20"/>
    </row>
    <row r="1343" spans="1:8">
      <c r="A1343" s="211" t="s">
        <v>501</v>
      </c>
      <c r="B1343" s="216" t="str">
        <f ca="1">_xlfn.CONCAT(B1324,A1343)</f>
        <v>1986EAB3-R</v>
      </c>
      <c r="C1343" s="17"/>
      <c r="D1343" s="184"/>
      <c r="E1343" s="197"/>
      <c r="F1343" s="19"/>
      <c r="G1343" s="20"/>
    </row>
    <row r="1344" spans="1:8">
      <c r="A1344" s="211" t="s">
        <v>502</v>
      </c>
      <c r="B1344" s="216" t="str">
        <f ca="1">_xlfn.CONCAT(B1324,A1344)</f>
        <v>1986EAB3-S</v>
      </c>
      <c r="C1344" s="17"/>
      <c r="D1344" s="184"/>
      <c r="E1344" s="197"/>
      <c r="F1344" s="19"/>
      <c r="G1344" s="20"/>
    </row>
    <row r="1345" spans="1:8">
      <c r="A1345" s="211" t="s">
        <v>503</v>
      </c>
      <c r="B1345" s="216" t="str">
        <f ca="1">_xlfn.CONCAT(B1324,A1345)</f>
        <v>1986EAB3-T</v>
      </c>
      <c r="C1345" s="17"/>
      <c r="D1345" s="184"/>
      <c r="E1345" s="197"/>
      <c r="F1345" s="19"/>
      <c r="G1345" s="20"/>
    </row>
    <row r="1346" spans="1:8" ht="14.25" thickBot="1">
      <c r="A1346" s="211" t="s">
        <v>504</v>
      </c>
      <c r="B1346" s="216" t="str">
        <f ca="1">_xlfn.CONCAT(B1324,A1346)</f>
        <v>1986EAB3-U</v>
      </c>
      <c r="C1346" s="17"/>
      <c r="D1346" s="184"/>
      <c r="E1346" s="197"/>
      <c r="F1346" s="19"/>
      <c r="G1346" s="20"/>
    </row>
    <row r="1347" spans="1:8" ht="16.5" customHeight="1" thickBot="1">
      <c r="A1347" s="211" t="s">
        <v>505</v>
      </c>
      <c r="B1347" s="216" t="str">
        <f ca="1">_xlfn.CONCAT(B1324,A1347)</f>
        <v>1986EAB3-V</v>
      </c>
      <c r="C1347" s="17" t="s">
        <v>17</v>
      </c>
      <c r="D1347" s="192" t="s">
        <v>17</v>
      </c>
      <c r="E1347" s="18"/>
      <c r="F1347" s="22" t="s">
        <v>18</v>
      </c>
      <c r="G1347" s="23">
        <f>SUM(G1326:G1346)</f>
        <v>49073.133333333331</v>
      </c>
    </row>
    <row r="1348" spans="1:8" ht="28.5" customHeight="1" thickBot="1">
      <c r="A1348" s="211" t="s">
        <v>506</v>
      </c>
      <c r="B1348" s="216" t="str">
        <f ca="1">_xlfn.CONCAT(B1324,A1348)</f>
        <v>1986EAB3-W</v>
      </c>
      <c r="C1348" s="10" t="s">
        <v>19</v>
      </c>
      <c r="D1348" s="190"/>
      <c r="E1348" s="11"/>
      <c r="F1348" s="12"/>
      <c r="G1348" s="13"/>
    </row>
    <row r="1349" spans="1:8" s="47" customFormat="1" ht="23.25" customHeight="1" thickBot="1">
      <c r="A1349" s="211" t="s">
        <v>507</v>
      </c>
      <c r="B1349" s="216" t="str">
        <f ca="1">_xlfn.CONCAT(B1324,A1349)</f>
        <v>1986EAB3-X</v>
      </c>
      <c r="C1349" s="14" t="s">
        <v>1</v>
      </c>
      <c r="D1349" s="15"/>
      <c r="E1349" s="15" t="s">
        <v>20</v>
      </c>
      <c r="F1349" s="16" t="s">
        <v>21</v>
      </c>
      <c r="G1349" s="15" t="s">
        <v>5</v>
      </c>
      <c r="H1349" s="215"/>
    </row>
    <row r="1350" spans="1:8">
      <c r="A1350" s="211" t="s">
        <v>508</v>
      </c>
      <c r="B1350" s="216" t="str">
        <f ca="1">_xlfn.CONCAT(B1324,A1350)</f>
        <v>1986EAB3-Y</v>
      </c>
      <c r="C1350" s="24" t="s">
        <v>22</v>
      </c>
      <c r="D1350" s="184"/>
      <c r="E1350" s="25">
        <f>_xlfn.XLOOKUP(C1350,'H-MO'!B$7:B$30,'H-MO'!D$7:D$30,,0,1)</f>
        <v>2436.5624999999995</v>
      </c>
      <c r="F1350" s="19">
        <v>0.25</v>
      </c>
      <c r="G1350" s="33">
        <f t="shared" ref="G1350:G1355" si="35">+E1350*F1350</f>
        <v>609.14062499999989</v>
      </c>
    </row>
    <row r="1351" spans="1:8">
      <c r="A1351" s="211" t="s">
        <v>509</v>
      </c>
      <c r="B1351" s="216" t="str">
        <f ca="1">_xlfn.CONCAT(B1324,A1351)</f>
        <v>1986EAB3-Z</v>
      </c>
      <c r="C1351" s="24" t="s">
        <v>23</v>
      </c>
      <c r="D1351" s="184"/>
      <c r="E1351" s="25">
        <f>_xlfn.XLOOKUP(C1351,'H-MO'!B$7:B$30,'H-MO'!D$7:D$30,,0,1)</f>
        <v>1461.9374999999998</v>
      </c>
      <c r="F1351" s="19">
        <v>0.95</v>
      </c>
      <c r="G1351" s="33">
        <f t="shared" si="35"/>
        <v>1388.8406249999998</v>
      </c>
    </row>
    <row r="1352" spans="1:8">
      <c r="A1352" s="211" t="s">
        <v>510</v>
      </c>
      <c r="B1352" s="216" t="str">
        <f ca="1">_xlfn.CONCAT(B1324,A1352)</f>
        <v>1986EAB3-aa</v>
      </c>
      <c r="C1352" s="24" t="s">
        <v>24</v>
      </c>
      <c r="D1352" s="185"/>
      <c r="E1352" s="25">
        <f>_xlfn.XLOOKUP(C1352,'H-MO'!B$7:B$30,'H-MO'!D$7:D$30,,0,1)</f>
        <v>29238.749999999996</v>
      </c>
      <c r="F1352" s="28">
        <v>0.02</v>
      </c>
      <c r="G1352" s="33">
        <f t="shared" si="35"/>
        <v>584.77499999999998</v>
      </c>
    </row>
    <row r="1353" spans="1:8">
      <c r="A1353" s="211" t="s">
        <v>511</v>
      </c>
      <c r="B1353" s="216" t="str">
        <f ca="1">_xlfn.CONCAT(B1324,A1353)</f>
        <v>1986EAB3-ab</v>
      </c>
      <c r="C1353" s="24" t="s">
        <v>25</v>
      </c>
      <c r="D1353" s="185"/>
      <c r="E1353" s="25">
        <f>_xlfn.XLOOKUP(C1353,'H-MO'!B$7:B$30,'H-MO'!D$7:D$30,,0,1)</f>
        <v>2761.4374999999995</v>
      </c>
      <c r="F1353" s="28">
        <v>0.25</v>
      </c>
      <c r="G1353" s="33">
        <f t="shared" si="35"/>
        <v>690.35937499999989</v>
      </c>
    </row>
    <row r="1354" spans="1:8">
      <c r="A1354" s="211" t="s">
        <v>512</v>
      </c>
      <c r="B1354" s="216" t="str">
        <f ca="1">_xlfn.CONCAT(B1324,A1354)</f>
        <v>1986EAB3-ac</v>
      </c>
      <c r="C1354" s="24"/>
      <c r="D1354" s="185"/>
      <c r="E1354" s="29"/>
      <c r="F1354" s="28"/>
      <c r="G1354" s="33">
        <f t="shared" si="35"/>
        <v>0</v>
      </c>
    </row>
    <row r="1355" spans="1:8" ht="14.25" thickBot="1">
      <c r="A1355" s="211" t="s">
        <v>513</v>
      </c>
      <c r="B1355" s="216" t="str">
        <f ca="1">_xlfn.CONCAT(B1324,A1355)</f>
        <v>1986EAB3-ad</v>
      </c>
      <c r="C1355" s="24"/>
      <c r="D1355" s="185"/>
      <c r="E1355" s="29"/>
      <c r="F1355" s="28"/>
      <c r="G1355" s="33">
        <f t="shared" si="35"/>
        <v>0</v>
      </c>
    </row>
    <row r="1356" spans="1:8" ht="16.5" customHeight="1" thickBot="1">
      <c r="A1356" s="211" t="s">
        <v>514</v>
      </c>
      <c r="B1356" s="216" t="str">
        <f ca="1">_xlfn.CONCAT(B1324,A1356)</f>
        <v>1986EAB3-ae</v>
      </c>
      <c r="C1356" s="17"/>
      <c r="D1356" s="192"/>
      <c r="E1356" s="18"/>
      <c r="F1356" s="22" t="s">
        <v>26</v>
      </c>
      <c r="G1356" s="23">
        <f>SUM(G1350:G1355)</f>
        <v>3273.1156249999999</v>
      </c>
    </row>
    <row r="1357" spans="1:8" ht="28.5" customHeight="1" thickBot="1">
      <c r="A1357" s="211" t="s">
        <v>515</v>
      </c>
      <c r="B1357" s="216" t="str">
        <f ca="1">_xlfn.CONCAT(B1324,A1357)</f>
        <v>1986EAB3-af</v>
      </c>
      <c r="C1357" s="10" t="s">
        <v>27</v>
      </c>
      <c r="D1357" s="190"/>
      <c r="E1357" s="11"/>
      <c r="F1357" s="12"/>
      <c r="G1357" s="13"/>
    </row>
    <row r="1358" spans="1:8" s="47" customFormat="1" ht="23.25" customHeight="1" thickBot="1">
      <c r="A1358" s="211" t="s">
        <v>516</v>
      </c>
      <c r="B1358" s="216" t="str">
        <f ca="1">_xlfn.CONCAT(B1324,A1358)</f>
        <v>1986EAB3-ag</v>
      </c>
      <c r="C1358" s="14" t="s">
        <v>1</v>
      </c>
      <c r="D1358" s="15" t="s">
        <v>28</v>
      </c>
      <c r="E1358" s="15" t="s">
        <v>20</v>
      </c>
      <c r="F1358" s="16" t="s">
        <v>21</v>
      </c>
      <c r="G1358" s="15" t="s">
        <v>5</v>
      </c>
      <c r="H1358" s="215"/>
    </row>
    <row r="1359" spans="1:8">
      <c r="A1359" s="211" t="s">
        <v>517</v>
      </c>
      <c r="B1359" s="216" t="str">
        <f ca="1">_xlfn.CONCAT(B1324,A1359)</f>
        <v>1986EAB3-ah</v>
      </c>
      <c r="C1359" s="30" t="s">
        <v>29</v>
      </c>
      <c r="D1359" s="186">
        <f>'H-MO'!$N$77</f>
        <v>725918.52892505517</v>
      </c>
      <c r="E1359" s="31">
        <f>+D1359/8</f>
        <v>90739.816115631897</v>
      </c>
      <c r="F1359" s="32">
        <v>0.25</v>
      </c>
      <c r="G1359" s="33">
        <f>+E1359*F1359</f>
        <v>22684.954028907974</v>
      </c>
    </row>
    <row r="1360" spans="1:8">
      <c r="A1360" s="211" t="s">
        <v>518</v>
      </c>
      <c r="B1360" s="216" t="str">
        <f ca="1">_xlfn.CONCAT(B1324,A1360)</f>
        <v>1986EAB3-ai</v>
      </c>
      <c r="C1360" s="34" t="s">
        <v>30</v>
      </c>
      <c r="D1360" s="187">
        <f>'H-MO'!$N$86</f>
        <v>685561.39085756091</v>
      </c>
      <c r="E1360" s="29">
        <f>+D1360/8</f>
        <v>85695.173857195114</v>
      </c>
      <c r="F1360" s="28">
        <v>0</v>
      </c>
      <c r="G1360" s="33">
        <f>+E1360*F1360</f>
        <v>0</v>
      </c>
    </row>
    <row r="1361" spans="1:8" ht="14.25" thickBot="1">
      <c r="A1361" s="211" t="s">
        <v>519</v>
      </c>
      <c r="B1361" s="216" t="str">
        <f ca="1">_xlfn.CONCAT(B1324,A1361)</f>
        <v>1986EAB3-aj</v>
      </c>
      <c r="C1361" s="34"/>
      <c r="D1361" s="187"/>
      <c r="E1361" s="29"/>
      <c r="F1361" s="28"/>
      <c r="G1361" s="33">
        <f>+E1361*F1361</f>
        <v>0</v>
      </c>
    </row>
    <row r="1362" spans="1:8" ht="17.25" customHeight="1" thickBot="1">
      <c r="A1362" s="211" t="s">
        <v>520</v>
      </c>
      <c r="B1362" s="216" t="str">
        <f ca="1">_xlfn.CONCAT(B1324,A1362)</f>
        <v>1986EAB3-ak</v>
      </c>
      <c r="C1362" s="34"/>
      <c r="D1362" s="185"/>
      <c r="E1362" s="26"/>
      <c r="F1362" s="36" t="s">
        <v>31</v>
      </c>
      <c r="G1362" s="23">
        <f>SUM(G1359:G1361)</f>
        <v>22684.954028907974</v>
      </c>
    </row>
    <row r="1363" spans="1:8" ht="14.25" thickBot="1">
      <c r="A1363" s="211" t="s">
        <v>521</v>
      </c>
      <c r="B1363" s="216" t="str">
        <f ca="1">_xlfn.CONCAT(B1324,A1363)</f>
        <v>1986EAB3-al</v>
      </c>
      <c r="C1363" s="37"/>
      <c r="E1363" s="38"/>
      <c r="F1363" s="22"/>
      <c r="G1363" s="39"/>
    </row>
    <row r="1364" spans="1:8" ht="23.25" customHeight="1" thickBot="1">
      <c r="A1364" s="211" t="s">
        <v>522</v>
      </c>
      <c r="B1364" s="216" t="str">
        <f ca="1">_xlfn.CONCAT(B1324,A1364)</f>
        <v>1986EAB3-am</v>
      </c>
      <c r="C1364" s="40"/>
      <c r="D1364" s="193"/>
      <c r="E1364" s="41"/>
      <c r="F1364" s="42"/>
      <c r="G1364" s="43">
        <f>+G1347+G1356+G1362</f>
        <v>75031.202987241297</v>
      </c>
    </row>
    <row r="1365" spans="1:8" ht="21.75" thickBot="1">
      <c r="B1365" s="212" t="s">
        <v>550</v>
      </c>
      <c r="C1365" s="2"/>
      <c r="D1365" s="183"/>
      <c r="F1365" s="4"/>
      <c r="G1365" s="5"/>
    </row>
    <row r="1366" spans="1:8" s="45" customFormat="1" ht="34.5" customHeight="1">
      <c r="A1366" s="213"/>
      <c r="B1366" s="214">
        <v>32</v>
      </c>
      <c r="C1366" s="242" t="str">
        <f ca="1">_xlfn.XLOOKUP(B1366,Cantidades!$A$10:$A$314,Cantidades!$C$10:$C$314,,0,1)</f>
        <v>Suministro e instalación de salida interruptor sencillo. Incluye interruptor. Incluye caja de conexión, cable #12 AWG de cobre, tubería SCH 40 y demás accesorios para su correcta instalación,  fincionamiento y señalización. (sin aparato)</v>
      </c>
      <c r="D1366" s="243"/>
      <c r="E1366" s="243"/>
      <c r="F1366" s="243"/>
      <c r="G1366" s="244"/>
      <c r="H1366" s="213"/>
    </row>
    <row r="1367" spans="1:8" s="47" customFormat="1" ht="24.95" customHeight="1" thickBot="1">
      <c r="A1367" s="215"/>
      <c r="B1367" s="216" t="s">
        <v>550</v>
      </c>
      <c r="C1367" s="177"/>
      <c r="D1367" s="189"/>
      <c r="E1367" s="178"/>
      <c r="F1367" s="179" t="s">
        <v>636</v>
      </c>
      <c r="G1367" s="209" t="str">
        <f ca="1">B1368</f>
        <v>1BB7370-</v>
      </c>
      <c r="H1367" s="215"/>
    </row>
    <row r="1368" spans="1:8" ht="28.5" customHeight="1" thickBot="1">
      <c r="B1368" s="212" t="str">
        <f ca="1">_xlfn.XLOOKUP(C1366,Cantidades!$C$1:$C$314,Cantidades!$B$1:$B$314,"",0,1)</f>
        <v>1BB7370-</v>
      </c>
      <c r="C1368" s="10" t="s">
        <v>0</v>
      </c>
      <c r="D1368" s="190"/>
      <c r="E1368" s="11"/>
      <c r="F1368" s="12"/>
      <c r="G1368" s="13"/>
    </row>
    <row r="1369" spans="1:8" s="47" customFormat="1" ht="23.25" customHeight="1" thickBot="1">
      <c r="A1369" s="215"/>
      <c r="B1369" s="216" t="s">
        <v>550</v>
      </c>
      <c r="C1369" s="14" t="s">
        <v>1</v>
      </c>
      <c r="D1369" s="15" t="s">
        <v>2</v>
      </c>
      <c r="E1369" s="15" t="s">
        <v>3</v>
      </c>
      <c r="F1369" s="16" t="s">
        <v>4</v>
      </c>
      <c r="G1369" s="15" t="s">
        <v>5</v>
      </c>
      <c r="H1369" s="215"/>
    </row>
    <row r="1370" spans="1:8" ht="15">
      <c r="A1370" s="211" t="s">
        <v>484</v>
      </c>
      <c r="B1370" s="216" t="str">
        <f ca="1">_xlfn.CONCAT(B1368,A1370)</f>
        <v>1BB7370-A</v>
      </c>
      <c r="C1370" s="17" t="str">
        <f>_xlfn.XLOOKUP(H1370,'Materiales unitario'!$A$1:$A$2500,'Materiales unitario'!B$1:B$2500,,0,1)</f>
        <v>Tubo Conduit PVC Sch40 1-2 Pulgadas</v>
      </c>
      <c r="D1370" s="184" t="str">
        <f>_xlfn.XLOOKUP(H1370,'Materiales unitario'!A$1:A$2500,'Materiales unitario'!C$1:C$2500,,0,1)</f>
        <v>ml</v>
      </c>
      <c r="E1370" s="197">
        <f>_xlfn.XLOOKUP(H1370,'Materiales unitario'!$A$1:$A$2500,'Materiales unitario'!D$1:D$2500,,0,1)</f>
        <v>2966.6666666666665</v>
      </c>
      <c r="F1370" s="19">
        <v>2.5</v>
      </c>
      <c r="G1370" s="20">
        <f>+E1370*F1370</f>
        <v>7416.6666666666661</v>
      </c>
      <c r="H1370" s="217" t="s">
        <v>601</v>
      </c>
    </row>
    <row r="1371" spans="1:8" ht="15">
      <c r="A1371" s="211" t="s">
        <v>485</v>
      </c>
      <c r="B1371" s="216" t="str">
        <f ca="1">_xlfn.CONCAT(B1368,A1371)</f>
        <v>1BB7370-B</v>
      </c>
      <c r="C1371" s="17" t="str">
        <f>_xlfn.XLOOKUP(H1371,'Materiales unitario'!$A$1:$A$2500,'Materiales unitario'!B$1:B$2500,,0,1)</f>
        <v>Tubo Conduit PVC SCH40 3-4 Pulgadas</v>
      </c>
      <c r="D1371" s="184" t="str">
        <f>_xlfn.XLOOKUP(H1371,'Materiales unitario'!A$1:A$2500,'Materiales unitario'!C$1:C$2500,,0,1)</f>
        <v>ml</v>
      </c>
      <c r="E1371" s="197">
        <f>_xlfn.XLOOKUP(H1371,'Materiales unitario'!$A$1:$A$2500,'Materiales unitario'!D$1:D$2500,,0,1)</f>
        <v>3966.6666666666665</v>
      </c>
      <c r="F1371" s="19">
        <v>0.5</v>
      </c>
      <c r="G1371" s="20">
        <f t="shared" ref="G1371:G1381" si="36">+E1371*F1371</f>
        <v>1983.3333333333333</v>
      </c>
      <c r="H1371" s="217" t="s">
        <v>602</v>
      </c>
    </row>
    <row r="1372" spans="1:8" ht="15">
      <c r="A1372" s="211" t="s">
        <v>486</v>
      </c>
      <c r="B1372" s="216" t="str">
        <f ca="1">_xlfn.CONCAT(B1368,A1372)</f>
        <v>1BB7370-C</v>
      </c>
      <c r="C1372" s="17" t="str">
        <f>_xlfn.XLOOKUP(H1372,'Materiales unitario'!$A$1:$A$2500,'Materiales unitario'!B$1:B$2500,,0,1)</f>
        <v>Adaptador terminal PVC ø1/2"</v>
      </c>
      <c r="D1372" s="184" t="str">
        <f>_xlfn.XLOOKUP(H1372,'Materiales unitario'!A$1:A$2500,'Materiales unitario'!C$1:C$2500,,0,1)</f>
        <v>un</v>
      </c>
      <c r="E1372" s="197">
        <f>_xlfn.XLOOKUP(H1372,'Materiales unitario'!$A$1:$A$2500,'Materiales unitario'!D$1:D$2500,,0,1)</f>
        <v>720</v>
      </c>
      <c r="F1372" s="19">
        <v>1.7</v>
      </c>
      <c r="G1372" s="20">
        <f t="shared" si="36"/>
        <v>1224</v>
      </c>
      <c r="H1372" s="217" t="s">
        <v>603</v>
      </c>
    </row>
    <row r="1373" spans="1:8" ht="15">
      <c r="A1373" s="211" t="s">
        <v>487</v>
      </c>
      <c r="B1373" s="216" t="str">
        <f ca="1">_xlfn.CONCAT(B1368,A1373)</f>
        <v>1BB7370-D</v>
      </c>
      <c r="C1373" s="17" t="str">
        <f>_xlfn.XLOOKUP(H1373,'Materiales unitario'!$A$1:$A$2500,'Materiales unitario'!B$1:B$2500,,0,1)</f>
        <v>Adaptador terminal PVC ø3/4"</v>
      </c>
      <c r="D1373" s="184" t="str">
        <f>_xlfn.XLOOKUP(H1373,'Materiales unitario'!A$1:A$2500,'Materiales unitario'!C$1:C$2500,,0,1)</f>
        <v>un</v>
      </c>
      <c r="E1373" s="197">
        <f>_xlfn.XLOOKUP(H1373,'Materiales unitario'!$A$1:$A$2500,'Materiales unitario'!D$1:D$2500,,0,1)</f>
        <v>920</v>
      </c>
      <c r="F1373" s="19">
        <v>0.3</v>
      </c>
      <c r="G1373" s="20">
        <f t="shared" si="36"/>
        <v>276</v>
      </c>
      <c r="H1373" s="217" t="s">
        <v>604</v>
      </c>
    </row>
    <row r="1374" spans="1:8" ht="15">
      <c r="A1374" s="211" t="s">
        <v>488</v>
      </c>
      <c r="B1374" s="216" t="str">
        <f ca="1">_xlfn.CONCAT(B1368,A1374)</f>
        <v>1BB7370-E</v>
      </c>
      <c r="C1374" s="17" t="str">
        <f>_xlfn.XLOOKUP(H1374,'Materiales unitario'!$A$1:$A$2500,'Materiales unitario'!B$1:B$2500,,0,1)</f>
        <v>Caja galvanizada ref. 2400 (Cal. 20)</v>
      </c>
      <c r="D1374" s="184" t="str">
        <f>_xlfn.XLOOKUP(H1374,'Materiales unitario'!A$1:A$2500,'Materiales unitario'!C$1:C$2500,,0,1)</f>
        <v>un</v>
      </c>
      <c r="E1374" s="197">
        <f>_xlfn.XLOOKUP(H1374,'Materiales unitario'!$A$1:$A$2500,'Materiales unitario'!D$1:D$2500,,0,1)</f>
        <v>3150</v>
      </c>
      <c r="F1374" s="19">
        <v>0.8</v>
      </c>
      <c r="G1374" s="20">
        <f t="shared" si="36"/>
        <v>2520</v>
      </c>
      <c r="H1374" s="217" t="s">
        <v>605</v>
      </c>
    </row>
    <row r="1375" spans="1:8" ht="15">
      <c r="A1375" s="211" t="s">
        <v>489</v>
      </c>
      <c r="B1375" s="216" t="str">
        <f ca="1">_xlfn.CONCAT(B1368,A1375)</f>
        <v>1BB7370-F</v>
      </c>
      <c r="C1375" s="17" t="str">
        <f>_xlfn.XLOOKUP(H1375,'Materiales unitario'!$A$1:$A$2500,'Materiales unitario'!B$1:B$2500,,0,1)</f>
        <v>Caja galvanizada ref. 5800 (Cal. 20)</v>
      </c>
      <c r="D1375" s="184" t="str">
        <f>_xlfn.XLOOKUP(H1375,'Materiales unitario'!A$1:A$2500,'Materiales unitario'!C$1:C$2500,,0,1)</f>
        <v>un</v>
      </c>
      <c r="E1375" s="197">
        <f>_xlfn.XLOOKUP(H1375,'Materiales unitario'!$A$1:$A$2500,'Materiales unitario'!D$1:D$2500,,0,1)</f>
        <v>2900</v>
      </c>
      <c r="F1375" s="19">
        <v>0.2</v>
      </c>
      <c r="G1375" s="20">
        <f t="shared" si="36"/>
        <v>580</v>
      </c>
      <c r="H1375" s="217" t="s">
        <v>606</v>
      </c>
    </row>
    <row r="1376" spans="1:8" ht="15">
      <c r="A1376" s="211" t="s">
        <v>490</v>
      </c>
      <c r="B1376" s="216" t="str">
        <f ca="1">_xlfn.CONCAT(B1368,A1376)</f>
        <v>1BB7370-G</v>
      </c>
      <c r="C1376" s="17" t="str">
        <f>_xlfn.XLOOKUP(H1376,'Materiales unitario'!$A$1:$A$2500,'Materiales unitario'!B$1:B$2500,,0,1)</f>
        <v>Caja galvanizada octagonal (Cal. 20)</v>
      </c>
      <c r="D1376" s="184" t="str">
        <f>_xlfn.XLOOKUP(H1376,'Materiales unitario'!A$1:A$2500,'Materiales unitario'!C$1:C$2500,,0,1)</f>
        <v>un</v>
      </c>
      <c r="E1376" s="197">
        <f>_xlfn.XLOOKUP(H1376,'Materiales unitario'!$A$1:$A$2500,'Materiales unitario'!D$1:D$2500,,0,1)</f>
        <v>2900</v>
      </c>
      <c r="F1376" s="19">
        <v>0.01</v>
      </c>
      <c r="G1376" s="20">
        <f t="shared" si="36"/>
        <v>29</v>
      </c>
      <c r="H1376" s="217" t="s">
        <v>607</v>
      </c>
    </row>
    <row r="1377" spans="1:8" ht="15">
      <c r="A1377" s="211" t="s">
        <v>491</v>
      </c>
      <c r="B1377" s="216" t="str">
        <f ca="1">_xlfn.CONCAT(B1368,A1377)</f>
        <v>1BB7370-H</v>
      </c>
      <c r="C1377" s="17" t="str">
        <f>_xlfn.XLOOKUP(H1377,'Materiales unitario'!$A$1:$A$2500,'Materiales unitario'!B$1:B$2500,,0,1)</f>
        <v xml:space="preserve">Tornillo lámina #14x1/2" goloso </v>
      </c>
      <c r="D1377" s="184" t="str">
        <f>_xlfn.XLOOKUP(H1377,'Materiales unitario'!A$1:A$2500,'Materiales unitario'!C$1:C$2500,,0,1)</f>
        <v>un</v>
      </c>
      <c r="E1377" s="197">
        <f>_xlfn.XLOOKUP(H1377,'Materiales unitario'!$A$1:$A$2500,'Materiales unitario'!D$1:D$2500,,0,1)</f>
        <v>200</v>
      </c>
      <c r="F1377" s="19">
        <v>2</v>
      </c>
      <c r="G1377" s="20">
        <f t="shared" si="36"/>
        <v>400</v>
      </c>
      <c r="H1377" s="217" t="s">
        <v>608</v>
      </c>
    </row>
    <row r="1378" spans="1:8" ht="15">
      <c r="A1378" s="211" t="s">
        <v>492</v>
      </c>
      <c r="B1378" s="216" t="str">
        <f ca="1">_xlfn.CONCAT(B1368,A1378)</f>
        <v>1BB7370-I</v>
      </c>
      <c r="C1378" s="17" t="str">
        <f>_xlfn.XLOOKUP(H1378,'Materiales unitario'!$A$1:$A$2500,'Materiales unitario'!B$1:B$2500,,0,1)</f>
        <v>Suplemento galvanizado de ø1/4" (Cal. 24)</v>
      </c>
      <c r="D1378" s="184" t="str">
        <f>_xlfn.XLOOKUP(H1378,'Materiales unitario'!A$1:A$2500,'Materiales unitario'!C$1:C$2500,,0,1)</f>
        <v>un</v>
      </c>
      <c r="E1378" s="197">
        <f>_xlfn.XLOOKUP(H1378,'Materiales unitario'!$A$1:$A$2500,'Materiales unitario'!D$1:D$2500,,0,1)</f>
        <v>1200</v>
      </c>
      <c r="F1378" s="19">
        <v>1</v>
      </c>
      <c r="G1378" s="20">
        <f t="shared" si="36"/>
        <v>1200</v>
      </c>
      <c r="H1378" s="217" t="s">
        <v>609</v>
      </c>
    </row>
    <row r="1379" spans="1:8" ht="15">
      <c r="A1379" s="211" t="s">
        <v>493</v>
      </c>
      <c r="B1379" s="216" t="str">
        <f ca="1">_xlfn.CONCAT(B1368,A1379)</f>
        <v>1BB7370-J</v>
      </c>
      <c r="C1379" s="17" t="str">
        <f>_xlfn.XLOOKUP(H1379,'Materiales unitario'!$A$1:$A$2500,'Materiales unitario'!B$1:B$2500,,0,1)</f>
        <v>Conector de resorte rojo "R" 18-10 AWG</v>
      </c>
      <c r="D1379" s="184" t="str">
        <f>_xlfn.XLOOKUP(H1379,'Materiales unitario'!A$1:A$2500,'Materiales unitario'!C$1:C$2500,,0,1)</f>
        <v>un</v>
      </c>
      <c r="E1379" s="197">
        <f>_xlfn.XLOOKUP(H1379,'Materiales unitario'!$A$1:$A$2500,'Materiales unitario'!D$1:D$2500,,0,1)</f>
        <v>280</v>
      </c>
      <c r="F1379" s="19">
        <v>3</v>
      </c>
      <c r="G1379" s="20">
        <f t="shared" si="36"/>
        <v>840</v>
      </c>
      <c r="H1379" s="217" t="s">
        <v>302</v>
      </c>
    </row>
    <row r="1380" spans="1:8" ht="15">
      <c r="A1380" s="211" t="s">
        <v>494</v>
      </c>
      <c r="B1380" s="216" t="str">
        <f ca="1">_xlfn.CONCAT(B1368,A1380)</f>
        <v>1BB7370-K</v>
      </c>
      <c r="C1380" s="17" t="str">
        <f>_xlfn.XLOOKUP(H1380,'Materiales unitario'!$A$1:$A$2500,'Materiales unitario'!B$1:B$2500,,0,1)</f>
        <v>Soldadura liquida PVC 1/4 de galón</v>
      </c>
      <c r="D1380" s="184" t="str">
        <f>_xlfn.XLOOKUP(H1380,'Materiales unitario'!A$1:A$2500,'Materiales unitario'!C$1:C$2500,,0,1)</f>
        <v>un</v>
      </c>
      <c r="E1380" s="197">
        <f>_xlfn.XLOOKUP(H1380,'Materiales unitario'!$A$1:$A$2500,'Materiales unitario'!D$1:D$2500,,0,1)</f>
        <v>60900</v>
      </c>
      <c r="F1380" s="19">
        <v>1.2E-2</v>
      </c>
      <c r="G1380" s="20">
        <f t="shared" si="36"/>
        <v>730.80000000000007</v>
      </c>
      <c r="H1380" s="217" t="s">
        <v>530</v>
      </c>
    </row>
    <row r="1381" spans="1:8" ht="15">
      <c r="A1381" s="211" t="s">
        <v>495</v>
      </c>
      <c r="B1381" s="216" t="str">
        <f ca="1">_xlfn.CONCAT(B1368,A1381)</f>
        <v>1BB7370-L</v>
      </c>
      <c r="C1381" s="17" t="str">
        <f>_xlfn.XLOOKUP(H1381,'Materiales unitario'!$A$1:$A$2500,'Materiales unitario'!B$1:B$2500,,0,1)</f>
        <v>Cable de cobre aislado #12 AWG-THHN/THWN Color negro</v>
      </c>
      <c r="D1381" s="184" t="str">
        <f>_xlfn.XLOOKUP(H1381,'Materiales unitario'!A$1:A$2500,'Materiales unitario'!C$1:C$2500,,0,1)</f>
        <v>ml</v>
      </c>
      <c r="E1381" s="197">
        <f>_xlfn.XLOOKUP(H1381,'Materiales unitario'!$A$1:$A$2500,'Materiales unitario'!D$1:D$2500,,0,1)</f>
        <v>3020</v>
      </c>
      <c r="F1381" s="19">
        <v>12</v>
      </c>
      <c r="G1381" s="20">
        <f t="shared" si="36"/>
        <v>36240</v>
      </c>
      <c r="H1381" s="217" t="s">
        <v>267</v>
      </c>
    </row>
    <row r="1382" spans="1:8" ht="15">
      <c r="A1382" s="211" t="s">
        <v>496</v>
      </c>
      <c r="B1382" s="216" t="str">
        <f ca="1">_xlfn.CONCAT(B1368,A1382)</f>
        <v>1BB7370-M</v>
      </c>
      <c r="C1382" s="17"/>
      <c r="D1382" s="184"/>
      <c r="E1382" s="197"/>
      <c r="F1382" s="19"/>
      <c r="G1382" s="20"/>
      <c r="H1382" s="217"/>
    </row>
    <row r="1383" spans="1:8">
      <c r="A1383" s="211" t="s">
        <v>497</v>
      </c>
      <c r="B1383" s="216" t="str">
        <f ca="1">_xlfn.CONCAT(B1368,A1383)</f>
        <v>1BB7370-N</v>
      </c>
      <c r="C1383" s="17"/>
      <c r="D1383" s="184"/>
      <c r="E1383" s="197"/>
      <c r="F1383" s="19"/>
      <c r="G1383" s="20"/>
    </row>
    <row r="1384" spans="1:8">
      <c r="A1384" s="211" t="s">
        <v>498</v>
      </c>
      <c r="B1384" s="216" t="str">
        <f ca="1">_xlfn.CONCAT(B1368,A1384)</f>
        <v>1BB7370-O</v>
      </c>
      <c r="C1384" s="17"/>
      <c r="D1384" s="184"/>
      <c r="E1384" s="197"/>
      <c r="F1384" s="19"/>
      <c r="G1384" s="20"/>
    </row>
    <row r="1385" spans="1:8">
      <c r="A1385" s="211" t="s">
        <v>499</v>
      </c>
      <c r="B1385" s="216" t="str">
        <f ca="1">_xlfn.CONCAT(B1368,A1385)</f>
        <v>1BB7370-P</v>
      </c>
      <c r="C1385" s="17"/>
      <c r="D1385" s="184"/>
      <c r="E1385" s="197"/>
      <c r="F1385" s="19"/>
      <c r="G1385" s="20"/>
    </row>
    <row r="1386" spans="1:8">
      <c r="A1386" s="211" t="s">
        <v>500</v>
      </c>
      <c r="B1386" s="216" t="str">
        <f ca="1">_xlfn.CONCAT(B1368,A1386)</f>
        <v>1BB7370-Q</v>
      </c>
      <c r="C1386" s="17"/>
      <c r="D1386" s="184"/>
      <c r="E1386" s="197"/>
      <c r="F1386" s="19"/>
      <c r="G1386" s="20"/>
    </row>
    <row r="1387" spans="1:8">
      <c r="A1387" s="211" t="s">
        <v>501</v>
      </c>
      <c r="B1387" s="216" t="str">
        <f ca="1">_xlfn.CONCAT(B1368,A1387)</f>
        <v>1BB7370-R</v>
      </c>
      <c r="C1387" s="17"/>
      <c r="D1387" s="184"/>
      <c r="E1387" s="197"/>
      <c r="F1387" s="19"/>
      <c r="G1387" s="20"/>
    </row>
    <row r="1388" spans="1:8">
      <c r="A1388" s="211" t="s">
        <v>502</v>
      </c>
      <c r="B1388" s="216" t="str">
        <f ca="1">_xlfn.CONCAT(B1368,A1388)</f>
        <v>1BB7370-S</v>
      </c>
      <c r="C1388" s="17"/>
      <c r="D1388" s="184"/>
      <c r="E1388" s="197"/>
      <c r="F1388" s="19"/>
      <c r="G1388" s="20"/>
    </row>
    <row r="1389" spans="1:8">
      <c r="A1389" s="211" t="s">
        <v>503</v>
      </c>
      <c r="B1389" s="216" t="str">
        <f ca="1">_xlfn.CONCAT(B1368,A1389)</f>
        <v>1BB7370-T</v>
      </c>
      <c r="C1389" s="17"/>
      <c r="D1389" s="184"/>
      <c r="E1389" s="197"/>
      <c r="F1389" s="19"/>
      <c r="G1389" s="20"/>
    </row>
    <row r="1390" spans="1:8" ht="14.25" thickBot="1">
      <c r="A1390" s="211" t="s">
        <v>504</v>
      </c>
      <c r="B1390" s="216" t="str">
        <f ca="1">_xlfn.CONCAT(B1368,A1390)</f>
        <v>1BB7370-U</v>
      </c>
      <c r="C1390" s="17"/>
      <c r="D1390" s="184"/>
      <c r="E1390" s="197"/>
      <c r="F1390" s="19"/>
      <c r="G1390" s="20"/>
    </row>
    <row r="1391" spans="1:8" ht="16.5" customHeight="1" thickBot="1">
      <c r="A1391" s="211" t="s">
        <v>505</v>
      </c>
      <c r="B1391" s="216" t="str">
        <f ca="1">_xlfn.CONCAT(B1368,A1391)</f>
        <v>1BB7370-V</v>
      </c>
      <c r="C1391" s="17" t="s">
        <v>17</v>
      </c>
      <c r="D1391" s="192" t="s">
        <v>17</v>
      </c>
      <c r="E1391" s="18"/>
      <c r="F1391" s="22" t="s">
        <v>18</v>
      </c>
      <c r="G1391" s="23">
        <f>SUM(G1370:G1390)</f>
        <v>53439.8</v>
      </c>
    </row>
    <row r="1392" spans="1:8" ht="28.5" customHeight="1" thickBot="1">
      <c r="A1392" s="211" t="s">
        <v>506</v>
      </c>
      <c r="B1392" s="216" t="str">
        <f ca="1">_xlfn.CONCAT(B1368,A1392)</f>
        <v>1BB7370-W</v>
      </c>
      <c r="C1392" s="10" t="s">
        <v>19</v>
      </c>
      <c r="D1392" s="190"/>
      <c r="E1392" s="11"/>
      <c r="F1392" s="12"/>
      <c r="G1392" s="13"/>
    </row>
    <row r="1393" spans="1:8" s="47" customFormat="1" ht="23.25" customHeight="1" thickBot="1">
      <c r="A1393" s="211" t="s">
        <v>507</v>
      </c>
      <c r="B1393" s="216" t="str">
        <f ca="1">_xlfn.CONCAT(B1368,A1393)</f>
        <v>1BB7370-X</v>
      </c>
      <c r="C1393" s="14" t="s">
        <v>1</v>
      </c>
      <c r="D1393" s="15"/>
      <c r="E1393" s="15" t="s">
        <v>20</v>
      </c>
      <c r="F1393" s="16" t="s">
        <v>21</v>
      </c>
      <c r="G1393" s="15" t="s">
        <v>5</v>
      </c>
      <c r="H1393" s="215"/>
    </row>
    <row r="1394" spans="1:8">
      <c r="A1394" s="211" t="s">
        <v>508</v>
      </c>
      <c r="B1394" s="216" t="str">
        <f ca="1">_xlfn.CONCAT(B1368,A1394)</f>
        <v>1BB7370-Y</v>
      </c>
      <c r="C1394" s="24" t="s">
        <v>22</v>
      </c>
      <c r="D1394" s="184"/>
      <c r="E1394" s="25">
        <f>_xlfn.XLOOKUP(C1394,'H-MO'!B$7:B$30,'H-MO'!D$7:D$30,,0,1)</f>
        <v>2436.5624999999995</v>
      </c>
      <c r="F1394" s="19">
        <v>0.25</v>
      </c>
      <c r="G1394" s="33">
        <f t="shared" ref="G1394:G1399" si="37">+E1394*F1394</f>
        <v>609.14062499999989</v>
      </c>
    </row>
    <row r="1395" spans="1:8">
      <c r="A1395" s="211" t="s">
        <v>509</v>
      </c>
      <c r="B1395" s="216" t="str">
        <f ca="1">_xlfn.CONCAT(B1368,A1395)</f>
        <v>1BB7370-Z</v>
      </c>
      <c r="C1395" s="24" t="s">
        <v>23</v>
      </c>
      <c r="D1395" s="184"/>
      <c r="E1395" s="25">
        <f>_xlfn.XLOOKUP(C1395,'H-MO'!B$7:B$30,'H-MO'!D$7:D$30,,0,1)</f>
        <v>1461.9374999999998</v>
      </c>
      <c r="F1395" s="19">
        <v>0.95</v>
      </c>
      <c r="G1395" s="33">
        <f t="shared" si="37"/>
        <v>1388.8406249999998</v>
      </c>
    </row>
    <row r="1396" spans="1:8">
      <c r="A1396" s="211" t="s">
        <v>510</v>
      </c>
      <c r="B1396" s="216" t="str">
        <f ca="1">_xlfn.CONCAT(B1368,A1396)</f>
        <v>1BB7370-aa</v>
      </c>
      <c r="C1396" s="24" t="s">
        <v>24</v>
      </c>
      <c r="D1396" s="185"/>
      <c r="E1396" s="25">
        <f>_xlfn.XLOOKUP(C1396,'H-MO'!B$7:B$30,'H-MO'!D$7:D$30,,0,1)</f>
        <v>29238.749999999996</v>
      </c>
      <c r="F1396" s="28">
        <v>0.02</v>
      </c>
      <c r="G1396" s="33">
        <f t="shared" si="37"/>
        <v>584.77499999999998</v>
      </c>
    </row>
    <row r="1397" spans="1:8">
      <c r="A1397" s="211" t="s">
        <v>511</v>
      </c>
      <c r="B1397" s="216" t="str">
        <f ca="1">_xlfn.CONCAT(B1368,A1397)</f>
        <v>1BB7370-ab</v>
      </c>
      <c r="C1397" s="24" t="s">
        <v>25</v>
      </c>
      <c r="D1397" s="185"/>
      <c r="E1397" s="25">
        <f>_xlfn.XLOOKUP(C1397,'H-MO'!B$7:B$30,'H-MO'!D$7:D$30,,0,1)</f>
        <v>2761.4374999999995</v>
      </c>
      <c r="F1397" s="28">
        <v>0.25</v>
      </c>
      <c r="G1397" s="33">
        <f t="shared" si="37"/>
        <v>690.35937499999989</v>
      </c>
    </row>
    <row r="1398" spans="1:8">
      <c r="A1398" s="211" t="s">
        <v>512</v>
      </c>
      <c r="B1398" s="216" t="str">
        <f ca="1">_xlfn.CONCAT(B1368,A1398)</f>
        <v>1BB7370-ac</v>
      </c>
      <c r="C1398" s="24"/>
      <c r="D1398" s="185"/>
      <c r="E1398" s="29"/>
      <c r="F1398" s="28"/>
      <c r="G1398" s="33">
        <f t="shared" si="37"/>
        <v>0</v>
      </c>
    </row>
    <row r="1399" spans="1:8" ht="14.25" thickBot="1">
      <c r="A1399" s="211" t="s">
        <v>513</v>
      </c>
      <c r="B1399" s="216" t="str">
        <f ca="1">_xlfn.CONCAT(B1368,A1399)</f>
        <v>1BB7370-ad</v>
      </c>
      <c r="C1399" s="24"/>
      <c r="D1399" s="185"/>
      <c r="E1399" s="29"/>
      <c r="F1399" s="28"/>
      <c r="G1399" s="33">
        <f t="shared" si="37"/>
        <v>0</v>
      </c>
    </row>
    <row r="1400" spans="1:8" ht="16.5" customHeight="1" thickBot="1">
      <c r="A1400" s="211" t="s">
        <v>514</v>
      </c>
      <c r="B1400" s="216" t="str">
        <f ca="1">_xlfn.CONCAT(B1368,A1400)</f>
        <v>1BB7370-ae</v>
      </c>
      <c r="C1400" s="17"/>
      <c r="D1400" s="192"/>
      <c r="E1400" s="18"/>
      <c r="F1400" s="22" t="s">
        <v>26</v>
      </c>
      <c r="G1400" s="23">
        <f>SUM(G1394:G1399)</f>
        <v>3273.1156249999999</v>
      </c>
    </row>
    <row r="1401" spans="1:8" ht="28.5" customHeight="1" thickBot="1">
      <c r="A1401" s="211" t="s">
        <v>515</v>
      </c>
      <c r="B1401" s="216" t="str">
        <f ca="1">_xlfn.CONCAT(B1368,A1401)</f>
        <v>1BB7370-af</v>
      </c>
      <c r="C1401" s="10" t="s">
        <v>27</v>
      </c>
      <c r="D1401" s="190"/>
      <c r="E1401" s="11"/>
      <c r="F1401" s="12"/>
      <c r="G1401" s="13"/>
    </row>
    <row r="1402" spans="1:8" s="47" customFormat="1" ht="23.25" customHeight="1" thickBot="1">
      <c r="A1402" s="211" t="s">
        <v>516</v>
      </c>
      <c r="B1402" s="216" t="str">
        <f ca="1">_xlfn.CONCAT(B1368,A1402)</f>
        <v>1BB7370-ag</v>
      </c>
      <c r="C1402" s="14" t="s">
        <v>1</v>
      </c>
      <c r="D1402" s="15" t="s">
        <v>28</v>
      </c>
      <c r="E1402" s="15" t="s">
        <v>20</v>
      </c>
      <c r="F1402" s="16" t="s">
        <v>21</v>
      </c>
      <c r="G1402" s="15" t="s">
        <v>5</v>
      </c>
      <c r="H1402" s="215"/>
    </row>
    <row r="1403" spans="1:8">
      <c r="A1403" s="211" t="s">
        <v>517</v>
      </c>
      <c r="B1403" s="216" t="str">
        <f ca="1">_xlfn.CONCAT(B1368,A1403)</f>
        <v>1BB7370-ah</v>
      </c>
      <c r="C1403" s="30" t="s">
        <v>29</v>
      </c>
      <c r="D1403" s="186">
        <f>'H-MO'!$N$77</f>
        <v>725918.52892505517</v>
      </c>
      <c r="E1403" s="31">
        <f>+D1403/8</f>
        <v>90739.816115631897</v>
      </c>
      <c r="F1403" s="32">
        <v>0.25</v>
      </c>
      <c r="G1403" s="33">
        <f>+E1403*F1403</f>
        <v>22684.954028907974</v>
      </c>
    </row>
    <row r="1404" spans="1:8">
      <c r="A1404" s="211" t="s">
        <v>518</v>
      </c>
      <c r="B1404" s="216" t="str">
        <f ca="1">_xlfn.CONCAT(B1368,A1404)</f>
        <v>1BB7370-ai</v>
      </c>
      <c r="C1404" s="34" t="s">
        <v>30</v>
      </c>
      <c r="D1404" s="187">
        <f>'H-MO'!$N$86</f>
        <v>685561.39085756091</v>
      </c>
      <c r="E1404" s="29">
        <f>+D1404/8</f>
        <v>85695.173857195114</v>
      </c>
      <c r="F1404" s="28">
        <v>0</v>
      </c>
      <c r="G1404" s="33">
        <f>+E1404*F1404</f>
        <v>0</v>
      </c>
    </row>
    <row r="1405" spans="1:8" ht="14.25" thickBot="1">
      <c r="A1405" s="211" t="s">
        <v>519</v>
      </c>
      <c r="B1405" s="216" t="str">
        <f ca="1">_xlfn.CONCAT(B1368,A1405)</f>
        <v>1BB7370-aj</v>
      </c>
      <c r="C1405" s="34"/>
      <c r="D1405" s="187"/>
      <c r="E1405" s="29"/>
      <c r="F1405" s="28"/>
      <c r="G1405" s="33">
        <f>+E1405*F1405</f>
        <v>0</v>
      </c>
    </row>
    <row r="1406" spans="1:8" ht="17.25" customHeight="1" thickBot="1">
      <c r="A1406" s="211" t="s">
        <v>520</v>
      </c>
      <c r="B1406" s="216" t="str">
        <f ca="1">_xlfn.CONCAT(B1368,A1406)</f>
        <v>1BB7370-ak</v>
      </c>
      <c r="C1406" s="34"/>
      <c r="D1406" s="185"/>
      <c r="E1406" s="26"/>
      <c r="F1406" s="36" t="s">
        <v>31</v>
      </c>
      <c r="G1406" s="23">
        <f>SUM(G1403:G1405)</f>
        <v>22684.954028907974</v>
      </c>
    </row>
    <row r="1407" spans="1:8" ht="14.25" thickBot="1">
      <c r="A1407" s="211" t="s">
        <v>521</v>
      </c>
      <c r="B1407" s="216" t="str">
        <f ca="1">_xlfn.CONCAT(B1368,A1407)</f>
        <v>1BB7370-al</v>
      </c>
      <c r="C1407" s="37"/>
      <c r="E1407" s="38"/>
      <c r="F1407" s="22"/>
      <c r="G1407" s="39"/>
    </row>
    <row r="1408" spans="1:8" ht="23.25" customHeight="1" thickBot="1">
      <c r="A1408" s="211" t="s">
        <v>522</v>
      </c>
      <c r="B1408" s="216" t="str">
        <f ca="1">_xlfn.CONCAT(B1368,A1408)</f>
        <v>1BB7370-am</v>
      </c>
      <c r="C1408" s="40"/>
      <c r="D1408" s="193"/>
      <c r="E1408" s="41"/>
      <c r="F1408" s="42"/>
      <c r="G1408" s="43">
        <f>+G1391+G1400+G1406</f>
        <v>79397.869653907983</v>
      </c>
    </row>
    <row r="1409" spans="1:8" ht="21.75" thickBot="1">
      <c r="B1409" s="212" t="s">
        <v>550</v>
      </c>
      <c r="C1409" s="2"/>
      <c r="D1409" s="183"/>
      <c r="F1409" s="4"/>
      <c r="G1409" s="5"/>
    </row>
    <row r="1410" spans="1:8" s="45" customFormat="1" ht="34.5" customHeight="1">
      <c r="A1410" s="213"/>
      <c r="B1410" s="214">
        <v>33</v>
      </c>
      <c r="C1410" s="242" t="str">
        <f ca="1">_xlfn.XLOOKUP(B1410,Cantidades!$A$10:$A$314,Cantidades!$C$10:$C$314,,0,1)</f>
        <v>Suministro e instalación de salida interruptor doble. Incluye interruptor. Incluye caja de conexión, cable #12 AWG de cobre, tubería SCH 40 y demás accesorios para su correcta instalación,  fincionamiento y señalización.  ( sin aparato)</v>
      </c>
      <c r="D1410" s="243"/>
      <c r="E1410" s="243"/>
      <c r="F1410" s="243"/>
      <c r="G1410" s="244"/>
      <c r="H1410" s="213"/>
    </row>
    <row r="1411" spans="1:8" s="47" customFormat="1" ht="24.95" customHeight="1" thickBot="1">
      <c r="A1411" s="215"/>
      <c r="B1411" s="216" t="s">
        <v>550</v>
      </c>
      <c r="C1411" s="177"/>
      <c r="D1411" s="189"/>
      <c r="E1411" s="178"/>
      <c r="F1411" s="179" t="s">
        <v>636</v>
      </c>
      <c r="G1411" s="209" t="str">
        <f ca="1">B1412</f>
        <v>2A7256AD-</v>
      </c>
      <c r="H1411" s="215"/>
    </row>
    <row r="1412" spans="1:8" ht="28.5" customHeight="1" thickBot="1">
      <c r="B1412" s="212" t="str">
        <f ca="1">_xlfn.XLOOKUP(C1410,Cantidades!$C$1:$C$314,Cantidades!$B$1:$B$314,"",0,1)</f>
        <v>2A7256AD-</v>
      </c>
      <c r="C1412" s="10" t="s">
        <v>0</v>
      </c>
      <c r="D1412" s="190"/>
      <c r="E1412" s="11"/>
      <c r="F1412" s="12"/>
      <c r="G1412" s="13"/>
    </row>
    <row r="1413" spans="1:8" s="47" customFormat="1" ht="23.25" customHeight="1" thickBot="1">
      <c r="A1413" s="215"/>
      <c r="B1413" s="216" t="s">
        <v>550</v>
      </c>
      <c r="C1413" s="14" t="s">
        <v>1</v>
      </c>
      <c r="D1413" s="15" t="s">
        <v>2</v>
      </c>
      <c r="E1413" s="15" t="s">
        <v>3</v>
      </c>
      <c r="F1413" s="16" t="s">
        <v>4</v>
      </c>
      <c r="G1413" s="15" t="s">
        <v>5</v>
      </c>
      <c r="H1413" s="215"/>
    </row>
    <row r="1414" spans="1:8" ht="15">
      <c r="A1414" s="211" t="s">
        <v>484</v>
      </c>
      <c r="B1414" s="216" t="str">
        <f ca="1">_xlfn.CONCAT(B1412,A1414)</f>
        <v>2A7256AD-A</v>
      </c>
      <c r="C1414" s="17" t="str">
        <f>_xlfn.XLOOKUP(H1414,'Materiales unitario'!$A$1:$A$2500,'Materiales unitario'!B$1:B$2500,,0,1)</f>
        <v>Tubo Conduit PVC Sch40 1-2 Pulgadas</v>
      </c>
      <c r="D1414" s="184" t="str">
        <f>_xlfn.XLOOKUP(H1414,'Materiales unitario'!A$1:A$2500,'Materiales unitario'!C$1:C$2500,,0,1)</f>
        <v>ml</v>
      </c>
      <c r="E1414" s="197">
        <f>_xlfn.XLOOKUP(H1414,'Materiales unitario'!$A$1:$A$2500,'Materiales unitario'!D$1:D$2500,,0,1)</f>
        <v>2966.6666666666665</v>
      </c>
      <c r="F1414" s="19">
        <v>1.5</v>
      </c>
      <c r="G1414" s="20">
        <f>+E1414*F1414</f>
        <v>4450</v>
      </c>
      <c r="H1414" s="217" t="s">
        <v>601</v>
      </c>
    </row>
    <row r="1415" spans="1:8" ht="15">
      <c r="A1415" s="211" t="s">
        <v>485</v>
      </c>
      <c r="B1415" s="216" t="str">
        <f ca="1">_xlfn.CONCAT(B1412,A1415)</f>
        <v>2A7256AD-B</v>
      </c>
      <c r="C1415" s="17" t="str">
        <f>_xlfn.XLOOKUP(H1415,'Materiales unitario'!$A$1:$A$2500,'Materiales unitario'!B$1:B$2500,,0,1)</f>
        <v>Tubo Conduit PVC SCH40 3-4 Pulgadas</v>
      </c>
      <c r="D1415" s="184" t="str">
        <f>_xlfn.XLOOKUP(H1415,'Materiales unitario'!A$1:A$2500,'Materiales unitario'!C$1:C$2500,,0,1)</f>
        <v>ml</v>
      </c>
      <c r="E1415" s="197">
        <f>_xlfn.XLOOKUP(H1415,'Materiales unitario'!$A$1:$A$2500,'Materiales unitario'!D$1:D$2500,,0,1)</f>
        <v>3966.6666666666665</v>
      </c>
      <c r="F1415" s="19">
        <v>1.5</v>
      </c>
      <c r="G1415" s="20">
        <f t="shared" ref="G1415:G1425" si="38">+E1415*F1415</f>
        <v>5950</v>
      </c>
      <c r="H1415" s="217" t="s">
        <v>602</v>
      </c>
    </row>
    <row r="1416" spans="1:8" ht="15">
      <c r="A1416" s="211" t="s">
        <v>486</v>
      </c>
      <c r="B1416" s="216" t="str">
        <f ca="1">_xlfn.CONCAT(B1412,A1416)</f>
        <v>2A7256AD-C</v>
      </c>
      <c r="C1416" s="17" t="str">
        <f>_xlfn.XLOOKUP(H1416,'Materiales unitario'!$A$1:$A$2500,'Materiales unitario'!B$1:B$2500,,0,1)</f>
        <v>Adaptador terminal PVC ø1/2"</v>
      </c>
      <c r="D1416" s="184" t="str">
        <f>_xlfn.XLOOKUP(H1416,'Materiales unitario'!A$1:A$2500,'Materiales unitario'!C$1:C$2500,,0,1)</f>
        <v>un</v>
      </c>
      <c r="E1416" s="197">
        <f>_xlfn.XLOOKUP(H1416,'Materiales unitario'!$A$1:$A$2500,'Materiales unitario'!D$1:D$2500,,0,1)</f>
        <v>720</v>
      </c>
      <c r="F1416" s="19">
        <v>1</v>
      </c>
      <c r="G1416" s="20">
        <f t="shared" si="38"/>
        <v>720</v>
      </c>
      <c r="H1416" s="217" t="s">
        <v>603</v>
      </c>
    </row>
    <row r="1417" spans="1:8" ht="15">
      <c r="A1417" s="211" t="s">
        <v>487</v>
      </c>
      <c r="B1417" s="216" t="str">
        <f ca="1">_xlfn.CONCAT(B1412,A1417)</f>
        <v>2A7256AD-D</v>
      </c>
      <c r="C1417" s="17" t="str">
        <f>_xlfn.XLOOKUP(H1417,'Materiales unitario'!$A$1:$A$2500,'Materiales unitario'!B$1:B$2500,,0,1)</f>
        <v>Adaptador terminal PVC ø3/4"</v>
      </c>
      <c r="D1417" s="184" t="str">
        <f>_xlfn.XLOOKUP(H1417,'Materiales unitario'!A$1:A$2500,'Materiales unitario'!C$1:C$2500,,0,1)</f>
        <v>un</v>
      </c>
      <c r="E1417" s="197">
        <f>_xlfn.XLOOKUP(H1417,'Materiales unitario'!$A$1:$A$2500,'Materiales unitario'!D$1:D$2500,,0,1)</f>
        <v>920</v>
      </c>
      <c r="F1417" s="19">
        <v>1</v>
      </c>
      <c r="G1417" s="20">
        <f t="shared" si="38"/>
        <v>920</v>
      </c>
      <c r="H1417" s="217" t="s">
        <v>604</v>
      </c>
    </row>
    <row r="1418" spans="1:8" ht="15">
      <c r="A1418" s="211" t="s">
        <v>488</v>
      </c>
      <c r="B1418" s="216" t="str">
        <f ca="1">_xlfn.CONCAT(B1412,A1418)</f>
        <v>2A7256AD-E</v>
      </c>
      <c r="C1418" s="17" t="str">
        <f>_xlfn.XLOOKUP(H1418,'Materiales unitario'!$A$1:$A$2500,'Materiales unitario'!B$1:B$2500,,0,1)</f>
        <v>Caja galvanizada ref. 2400 (Cal. 20)</v>
      </c>
      <c r="D1418" s="184" t="str">
        <f>_xlfn.XLOOKUP(H1418,'Materiales unitario'!A$1:A$2500,'Materiales unitario'!C$1:C$2500,,0,1)</f>
        <v>un</v>
      </c>
      <c r="E1418" s="197">
        <f>_xlfn.XLOOKUP(H1418,'Materiales unitario'!$A$1:$A$2500,'Materiales unitario'!D$1:D$2500,,0,1)</f>
        <v>3150</v>
      </c>
      <c r="F1418" s="19">
        <v>0.8</v>
      </c>
      <c r="G1418" s="20">
        <f t="shared" si="38"/>
        <v>2520</v>
      </c>
      <c r="H1418" s="217" t="s">
        <v>605</v>
      </c>
    </row>
    <row r="1419" spans="1:8" ht="15">
      <c r="A1419" s="211" t="s">
        <v>489</v>
      </c>
      <c r="B1419" s="216" t="str">
        <f ca="1">_xlfn.CONCAT(B1412,A1419)</f>
        <v>2A7256AD-F</v>
      </c>
      <c r="C1419" s="17" t="str">
        <f>_xlfn.XLOOKUP(H1419,'Materiales unitario'!$A$1:$A$2500,'Materiales unitario'!B$1:B$2500,,0,1)</f>
        <v>Caja galvanizada ref. 5800 (Cal. 20)</v>
      </c>
      <c r="D1419" s="184" t="str">
        <f>_xlfn.XLOOKUP(H1419,'Materiales unitario'!A$1:A$2500,'Materiales unitario'!C$1:C$2500,,0,1)</f>
        <v>un</v>
      </c>
      <c r="E1419" s="197">
        <f>_xlfn.XLOOKUP(H1419,'Materiales unitario'!$A$1:$A$2500,'Materiales unitario'!D$1:D$2500,,0,1)</f>
        <v>2900</v>
      </c>
      <c r="F1419" s="19">
        <v>0.2</v>
      </c>
      <c r="G1419" s="20">
        <f t="shared" si="38"/>
        <v>580</v>
      </c>
      <c r="H1419" s="217" t="s">
        <v>606</v>
      </c>
    </row>
    <row r="1420" spans="1:8" ht="15">
      <c r="A1420" s="211" t="s">
        <v>490</v>
      </c>
      <c r="B1420" s="216" t="str">
        <f ca="1">_xlfn.CONCAT(B1412,A1420)</f>
        <v>2A7256AD-G</v>
      </c>
      <c r="C1420" s="17" t="str">
        <f>_xlfn.XLOOKUP(H1420,'Materiales unitario'!$A$1:$A$2500,'Materiales unitario'!B$1:B$2500,,0,1)</f>
        <v>Caja galvanizada octagonal (Cal. 20)</v>
      </c>
      <c r="D1420" s="184" t="str">
        <f>_xlfn.XLOOKUP(H1420,'Materiales unitario'!A$1:A$2500,'Materiales unitario'!C$1:C$2500,,0,1)</f>
        <v>un</v>
      </c>
      <c r="E1420" s="197">
        <f>_xlfn.XLOOKUP(H1420,'Materiales unitario'!$A$1:$A$2500,'Materiales unitario'!D$1:D$2500,,0,1)</f>
        <v>2900</v>
      </c>
      <c r="F1420" s="19">
        <v>0.01</v>
      </c>
      <c r="G1420" s="20">
        <f t="shared" si="38"/>
        <v>29</v>
      </c>
      <c r="H1420" s="217" t="s">
        <v>607</v>
      </c>
    </row>
    <row r="1421" spans="1:8" ht="15">
      <c r="A1421" s="211" t="s">
        <v>491</v>
      </c>
      <c r="B1421" s="216" t="str">
        <f ca="1">_xlfn.CONCAT(B1412,A1421)</f>
        <v>2A7256AD-H</v>
      </c>
      <c r="C1421" s="17" t="str">
        <f>_xlfn.XLOOKUP(H1421,'Materiales unitario'!$A$1:$A$2500,'Materiales unitario'!B$1:B$2500,,0,1)</f>
        <v xml:space="preserve">Tornillo lámina #14x1/2" goloso </v>
      </c>
      <c r="D1421" s="184" t="str">
        <f>_xlfn.XLOOKUP(H1421,'Materiales unitario'!A$1:A$2500,'Materiales unitario'!C$1:C$2500,,0,1)</f>
        <v>un</v>
      </c>
      <c r="E1421" s="197">
        <f>_xlfn.XLOOKUP(H1421,'Materiales unitario'!$A$1:$A$2500,'Materiales unitario'!D$1:D$2500,,0,1)</f>
        <v>200</v>
      </c>
      <c r="F1421" s="19">
        <v>2</v>
      </c>
      <c r="G1421" s="20">
        <f t="shared" si="38"/>
        <v>400</v>
      </c>
      <c r="H1421" s="217" t="s">
        <v>608</v>
      </c>
    </row>
    <row r="1422" spans="1:8" ht="15">
      <c r="A1422" s="211" t="s">
        <v>492</v>
      </c>
      <c r="B1422" s="216" t="str">
        <f ca="1">_xlfn.CONCAT(B1412,A1422)</f>
        <v>2A7256AD-I</v>
      </c>
      <c r="C1422" s="17" t="str">
        <f>_xlfn.XLOOKUP(H1422,'Materiales unitario'!$A$1:$A$2500,'Materiales unitario'!B$1:B$2500,,0,1)</f>
        <v>Suplemento galvanizado de ø1/4" (Cal. 24)</v>
      </c>
      <c r="D1422" s="184" t="str">
        <f>_xlfn.XLOOKUP(H1422,'Materiales unitario'!A$1:A$2500,'Materiales unitario'!C$1:C$2500,,0,1)</f>
        <v>un</v>
      </c>
      <c r="E1422" s="197">
        <f>_xlfn.XLOOKUP(H1422,'Materiales unitario'!$A$1:$A$2500,'Materiales unitario'!D$1:D$2500,,0,1)</f>
        <v>1200</v>
      </c>
      <c r="F1422" s="19">
        <v>1</v>
      </c>
      <c r="G1422" s="20">
        <f t="shared" si="38"/>
        <v>1200</v>
      </c>
      <c r="H1422" s="217" t="s">
        <v>609</v>
      </c>
    </row>
    <row r="1423" spans="1:8" ht="15">
      <c r="A1423" s="211" t="s">
        <v>493</v>
      </c>
      <c r="B1423" s="216" t="str">
        <f ca="1">_xlfn.CONCAT(B1412,A1423)</f>
        <v>2A7256AD-J</v>
      </c>
      <c r="C1423" s="17" t="str">
        <f>_xlfn.XLOOKUP(H1423,'Materiales unitario'!$A$1:$A$2500,'Materiales unitario'!B$1:B$2500,,0,1)</f>
        <v>Conector de resorte rojo "R" 18-10 AWG</v>
      </c>
      <c r="D1423" s="184" t="str">
        <f>_xlfn.XLOOKUP(H1423,'Materiales unitario'!A$1:A$2500,'Materiales unitario'!C$1:C$2500,,0,1)</f>
        <v>un</v>
      </c>
      <c r="E1423" s="197">
        <f>_xlfn.XLOOKUP(H1423,'Materiales unitario'!$A$1:$A$2500,'Materiales unitario'!D$1:D$2500,,0,1)</f>
        <v>280</v>
      </c>
      <c r="F1423" s="19">
        <v>3</v>
      </c>
      <c r="G1423" s="20">
        <f t="shared" si="38"/>
        <v>840</v>
      </c>
      <c r="H1423" s="217" t="s">
        <v>302</v>
      </c>
    </row>
    <row r="1424" spans="1:8" ht="15">
      <c r="A1424" s="211" t="s">
        <v>494</v>
      </c>
      <c r="B1424" s="216" t="str">
        <f ca="1">_xlfn.CONCAT(B1412,A1424)</f>
        <v>2A7256AD-K</v>
      </c>
      <c r="C1424" s="17" t="str">
        <f>_xlfn.XLOOKUP(H1424,'Materiales unitario'!$A$1:$A$2500,'Materiales unitario'!B$1:B$2500,,0,1)</f>
        <v>Soldadura liquida PVC 1/4 de galón</v>
      </c>
      <c r="D1424" s="184" t="str">
        <f>_xlfn.XLOOKUP(H1424,'Materiales unitario'!A$1:A$2500,'Materiales unitario'!C$1:C$2500,,0,1)</f>
        <v>un</v>
      </c>
      <c r="E1424" s="197">
        <f>_xlfn.XLOOKUP(H1424,'Materiales unitario'!$A$1:$A$2500,'Materiales unitario'!D$1:D$2500,,0,1)</f>
        <v>60900</v>
      </c>
      <c r="F1424" s="19">
        <v>1.2E-2</v>
      </c>
      <c r="G1424" s="20">
        <f t="shared" si="38"/>
        <v>730.80000000000007</v>
      </c>
      <c r="H1424" s="217" t="s">
        <v>530</v>
      </c>
    </row>
    <row r="1425" spans="1:8" ht="15">
      <c r="A1425" s="211" t="s">
        <v>495</v>
      </c>
      <c r="B1425" s="216" t="str">
        <f ca="1">_xlfn.CONCAT(B1412,A1425)</f>
        <v>2A7256AD-L</v>
      </c>
      <c r="C1425" s="17" t="str">
        <f>_xlfn.XLOOKUP(H1425,'Materiales unitario'!$A$1:$A$2500,'Materiales unitario'!B$1:B$2500,,0,1)</f>
        <v>Cable de cobre aislado #12 AWG-THHN/THWN Color negro</v>
      </c>
      <c r="D1425" s="184" t="str">
        <f>_xlfn.XLOOKUP(H1425,'Materiales unitario'!A$1:A$2500,'Materiales unitario'!C$1:C$2500,,0,1)</f>
        <v>ml</v>
      </c>
      <c r="E1425" s="197">
        <f>_xlfn.XLOOKUP(H1425,'Materiales unitario'!$A$1:$A$2500,'Materiales unitario'!D$1:D$2500,,0,1)</f>
        <v>3020</v>
      </c>
      <c r="F1425" s="19">
        <v>16</v>
      </c>
      <c r="G1425" s="20">
        <f t="shared" si="38"/>
        <v>48320</v>
      </c>
      <c r="H1425" s="217" t="s">
        <v>267</v>
      </c>
    </row>
    <row r="1426" spans="1:8" ht="15">
      <c r="A1426" s="211" t="s">
        <v>496</v>
      </c>
      <c r="B1426" s="216" t="str">
        <f ca="1">_xlfn.CONCAT(B1412,A1426)</f>
        <v>2A7256AD-M</v>
      </c>
      <c r="C1426" s="17"/>
      <c r="D1426" s="184"/>
      <c r="E1426" s="197"/>
      <c r="F1426" s="19"/>
      <c r="G1426" s="20"/>
      <c r="H1426" s="217"/>
    </row>
    <row r="1427" spans="1:8">
      <c r="A1427" s="211" t="s">
        <v>497</v>
      </c>
      <c r="B1427" s="216" t="str">
        <f ca="1">_xlfn.CONCAT(B1412,A1427)</f>
        <v>2A7256AD-N</v>
      </c>
      <c r="C1427" s="17"/>
      <c r="D1427" s="184"/>
      <c r="E1427" s="197"/>
      <c r="F1427" s="19"/>
      <c r="G1427" s="20"/>
    </row>
    <row r="1428" spans="1:8">
      <c r="A1428" s="211" t="s">
        <v>498</v>
      </c>
      <c r="B1428" s="216" t="str">
        <f ca="1">_xlfn.CONCAT(B1412,A1428)</f>
        <v>2A7256AD-O</v>
      </c>
      <c r="C1428" s="17"/>
      <c r="D1428" s="184"/>
      <c r="E1428" s="197"/>
      <c r="F1428" s="19"/>
      <c r="G1428" s="20"/>
    </row>
    <row r="1429" spans="1:8">
      <c r="A1429" s="211" t="s">
        <v>499</v>
      </c>
      <c r="B1429" s="216" t="str">
        <f ca="1">_xlfn.CONCAT(B1412,A1429)</f>
        <v>2A7256AD-P</v>
      </c>
      <c r="C1429" s="17"/>
      <c r="D1429" s="184"/>
      <c r="E1429" s="197"/>
      <c r="F1429" s="19"/>
      <c r="G1429" s="20"/>
    </row>
    <row r="1430" spans="1:8">
      <c r="A1430" s="211" t="s">
        <v>500</v>
      </c>
      <c r="B1430" s="216" t="str">
        <f ca="1">_xlfn.CONCAT(B1412,A1430)</f>
        <v>2A7256AD-Q</v>
      </c>
      <c r="C1430" s="17"/>
      <c r="D1430" s="184"/>
      <c r="E1430" s="197"/>
      <c r="F1430" s="19"/>
      <c r="G1430" s="20"/>
    </row>
    <row r="1431" spans="1:8">
      <c r="A1431" s="211" t="s">
        <v>501</v>
      </c>
      <c r="B1431" s="216" t="str">
        <f ca="1">_xlfn.CONCAT(B1412,A1431)</f>
        <v>2A7256AD-R</v>
      </c>
      <c r="C1431" s="17"/>
      <c r="D1431" s="184"/>
      <c r="E1431" s="197"/>
      <c r="F1431" s="19"/>
      <c r="G1431" s="20"/>
    </row>
    <row r="1432" spans="1:8">
      <c r="A1432" s="211" t="s">
        <v>502</v>
      </c>
      <c r="B1432" s="216" t="str">
        <f ca="1">_xlfn.CONCAT(B1412,A1432)</f>
        <v>2A7256AD-S</v>
      </c>
      <c r="C1432" s="17"/>
      <c r="D1432" s="184"/>
      <c r="E1432" s="197"/>
      <c r="F1432" s="19"/>
      <c r="G1432" s="20"/>
    </row>
    <row r="1433" spans="1:8">
      <c r="A1433" s="211" t="s">
        <v>503</v>
      </c>
      <c r="B1433" s="216" t="str">
        <f ca="1">_xlfn.CONCAT(B1412,A1433)</f>
        <v>2A7256AD-T</v>
      </c>
      <c r="C1433" s="17"/>
      <c r="D1433" s="184"/>
      <c r="E1433" s="197"/>
      <c r="F1433" s="19"/>
      <c r="G1433" s="20"/>
    </row>
    <row r="1434" spans="1:8" ht="14.25" thickBot="1">
      <c r="A1434" s="211" t="s">
        <v>504</v>
      </c>
      <c r="B1434" s="216" t="str">
        <f ca="1">_xlfn.CONCAT(B1412,A1434)</f>
        <v>2A7256AD-U</v>
      </c>
      <c r="C1434" s="17"/>
      <c r="D1434" s="184"/>
      <c r="E1434" s="197"/>
      <c r="F1434" s="19"/>
      <c r="G1434" s="20"/>
    </row>
    <row r="1435" spans="1:8" ht="16.5" customHeight="1" thickBot="1">
      <c r="A1435" s="211" t="s">
        <v>505</v>
      </c>
      <c r="B1435" s="216" t="str">
        <f ca="1">_xlfn.CONCAT(B1412,A1435)</f>
        <v>2A7256AD-V</v>
      </c>
      <c r="C1435" s="17" t="s">
        <v>17</v>
      </c>
      <c r="D1435" s="192" t="s">
        <v>17</v>
      </c>
      <c r="E1435" s="18"/>
      <c r="F1435" s="22" t="s">
        <v>18</v>
      </c>
      <c r="G1435" s="23">
        <f>SUM(G1414:G1434)</f>
        <v>66659.8</v>
      </c>
    </row>
    <row r="1436" spans="1:8" ht="28.5" customHeight="1" thickBot="1">
      <c r="A1436" s="211" t="s">
        <v>506</v>
      </c>
      <c r="B1436" s="216" t="str">
        <f ca="1">_xlfn.CONCAT(B1412,A1436)</f>
        <v>2A7256AD-W</v>
      </c>
      <c r="C1436" s="10" t="s">
        <v>19</v>
      </c>
      <c r="D1436" s="190"/>
      <c r="E1436" s="11"/>
      <c r="F1436" s="12"/>
      <c r="G1436" s="13"/>
    </row>
    <row r="1437" spans="1:8" s="47" customFormat="1" ht="23.25" customHeight="1" thickBot="1">
      <c r="A1437" s="211" t="s">
        <v>507</v>
      </c>
      <c r="B1437" s="216" t="str">
        <f ca="1">_xlfn.CONCAT(B1412,A1437)</f>
        <v>2A7256AD-X</v>
      </c>
      <c r="C1437" s="14" t="s">
        <v>1</v>
      </c>
      <c r="D1437" s="15"/>
      <c r="E1437" s="15" t="s">
        <v>20</v>
      </c>
      <c r="F1437" s="16" t="s">
        <v>21</v>
      </c>
      <c r="G1437" s="15" t="s">
        <v>5</v>
      </c>
      <c r="H1437" s="215"/>
    </row>
    <row r="1438" spans="1:8">
      <c r="A1438" s="211" t="s">
        <v>508</v>
      </c>
      <c r="B1438" s="216" t="str">
        <f ca="1">_xlfn.CONCAT(B1412,A1438)</f>
        <v>2A7256AD-Y</v>
      </c>
      <c r="C1438" s="24" t="s">
        <v>22</v>
      </c>
      <c r="D1438" s="184"/>
      <c r="E1438" s="25">
        <f>_xlfn.XLOOKUP(C1438,'H-MO'!B$7:B$30,'H-MO'!D$7:D$30,,0,1)</f>
        <v>2436.5624999999995</v>
      </c>
      <c r="F1438" s="19">
        <v>0.25</v>
      </c>
      <c r="G1438" s="33">
        <f t="shared" ref="G1438:G1443" si="39">+E1438*F1438</f>
        <v>609.14062499999989</v>
      </c>
    </row>
    <row r="1439" spans="1:8">
      <c r="A1439" s="211" t="s">
        <v>509</v>
      </c>
      <c r="B1439" s="216" t="str">
        <f ca="1">_xlfn.CONCAT(B1412,A1439)</f>
        <v>2A7256AD-Z</v>
      </c>
      <c r="C1439" s="24" t="s">
        <v>23</v>
      </c>
      <c r="D1439" s="184"/>
      <c r="E1439" s="25">
        <f>_xlfn.XLOOKUP(C1439,'H-MO'!B$7:B$30,'H-MO'!D$7:D$30,,0,1)</f>
        <v>1461.9374999999998</v>
      </c>
      <c r="F1439" s="19">
        <v>0.95</v>
      </c>
      <c r="G1439" s="33">
        <f t="shared" si="39"/>
        <v>1388.8406249999998</v>
      </c>
    </row>
    <row r="1440" spans="1:8">
      <c r="A1440" s="211" t="s">
        <v>510</v>
      </c>
      <c r="B1440" s="216" t="str">
        <f ca="1">_xlfn.CONCAT(B1412,A1440)</f>
        <v>2A7256AD-aa</v>
      </c>
      <c r="C1440" s="24" t="s">
        <v>24</v>
      </c>
      <c r="D1440" s="185"/>
      <c r="E1440" s="25">
        <f>_xlfn.XLOOKUP(C1440,'H-MO'!B$7:B$30,'H-MO'!D$7:D$30,,0,1)</f>
        <v>29238.749999999996</v>
      </c>
      <c r="F1440" s="28">
        <v>0.02</v>
      </c>
      <c r="G1440" s="33">
        <f t="shared" si="39"/>
        <v>584.77499999999998</v>
      </c>
    </row>
    <row r="1441" spans="1:8">
      <c r="A1441" s="211" t="s">
        <v>511</v>
      </c>
      <c r="B1441" s="216" t="str">
        <f ca="1">_xlfn.CONCAT(B1412,A1441)</f>
        <v>2A7256AD-ab</v>
      </c>
      <c r="C1441" s="24" t="s">
        <v>25</v>
      </c>
      <c r="D1441" s="185"/>
      <c r="E1441" s="25">
        <f>_xlfn.XLOOKUP(C1441,'H-MO'!B$7:B$30,'H-MO'!D$7:D$30,,0,1)</f>
        <v>2761.4374999999995</v>
      </c>
      <c r="F1441" s="28">
        <v>0.25</v>
      </c>
      <c r="G1441" s="33">
        <f t="shared" si="39"/>
        <v>690.35937499999989</v>
      </c>
    </row>
    <row r="1442" spans="1:8">
      <c r="A1442" s="211" t="s">
        <v>512</v>
      </c>
      <c r="B1442" s="216" t="str">
        <f ca="1">_xlfn.CONCAT(B1412,A1442)</f>
        <v>2A7256AD-ac</v>
      </c>
      <c r="C1442" s="24"/>
      <c r="D1442" s="185"/>
      <c r="E1442" s="29"/>
      <c r="F1442" s="28"/>
      <c r="G1442" s="33">
        <f t="shared" si="39"/>
        <v>0</v>
      </c>
    </row>
    <row r="1443" spans="1:8" ht="14.25" thickBot="1">
      <c r="A1443" s="211" t="s">
        <v>513</v>
      </c>
      <c r="B1443" s="216" t="str">
        <f ca="1">_xlfn.CONCAT(B1412,A1443)</f>
        <v>2A7256AD-ad</v>
      </c>
      <c r="C1443" s="24"/>
      <c r="D1443" s="185"/>
      <c r="E1443" s="29"/>
      <c r="F1443" s="28"/>
      <c r="G1443" s="33">
        <f t="shared" si="39"/>
        <v>0</v>
      </c>
    </row>
    <row r="1444" spans="1:8" ht="16.5" customHeight="1" thickBot="1">
      <c r="A1444" s="211" t="s">
        <v>514</v>
      </c>
      <c r="B1444" s="216" t="str">
        <f ca="1">_xlfn.CONCAT(B1412,A1444)</f>
        <v>2A7256AD-ae</v>
      </c>
      <c r="C1444" s="17"/>
      <c r="D1444" s="192"/>
      <c r="E1444" s="18"/>
      <c r="F1444" s="22" t="s">
        <v>26</v>
      </c>
      <c r="G1444" s="23">
        <f>SUM(G1438:G1443)</f>
        <v>3273.1156249999999</v>
      </c>
    </row>
    <row r="1445" spans="1:8" ht="28.5" customHeight="1" thickBot="1">
      <c r="A1445" s="211" t="s">
        <v>515</v>
      </c>
      <c r="B1445" s="216" t="str">
        <f ca="1">_xlfn.CONCAT(B1412,A1445)</f>
        <v>2A7256AD-af</v>
      </c>
      <c r="C1445" s="10" t="s">
        <v>27</v>
      </c>
      <c r="D1445" s="190"/>
      <c r="E1445" s="11"/>
      <c r="F1445" s="12"/>
      <c r="G1445" s="13"/>
    </row>
    <row r="1446" spans="1:8" s="47" customFormat="1" ht="23.25" customHeight="1" thickBot="1">
      <c r="A1446" s="211" t="s">
        <v>516</v>
      </c>
      <c r="B1446" s="216" t="str">
        <f ca="1">_xlfn.CONCAT(B1412,A1446)</f>
        <v>2A7256AD-ag</v>
      </c>
      <c r="C1446" s="14" t="s">
        <v>1</v>
      </c>
      <c r="D1446" s="15" t="s">
        <v>28</v>
      </c>
      <c r="E1446" s="15" t="s">
        <v>20</v>
      </c>
      <c r="F1446" s="16" t="s">
        <v>21</v>
      </c>
      <c r="G1446" s="15" t="s">
        <v>5</v>
      </c>
      <c r="H1446" s="215"/>
    </row>
    <row r="1447" spans="1:8">
      <c r="A1447" s="211" t="s">
        <v>517</v>
      </c>
      <c r="B1447" s="216" t="str">
        <f ca="1">_xlfn.CONCAT(B1412,A1447)</f>
        <v>2A7256AD-ah</v>
      </c>
      <c r="C1447" s="30" t="s">
        <v>29</v>
      </c>
      <c r="D1447" s="186">
        <f>'H-MO'!$N$77</f>
        <v>725918.52892505517</v>
      </c>
      <c r="E1447" s="31">
        <f>+D1447/8</f>
        <v>90739.816115631897</v>
      </c>
      <c r="F1447" s="32">
        <v>0.28000000000000003</v>
      </c>
      <c r="G1447" s="33">
        <f>+E1447*F1447</f>
        <v>25407.148512376934</v>
      </c>
    </row>
    <row r="1448" spans="1:8">
      <c r="A1448" s="211" t="s">
        <v>518</v>
      </c>
      <c r="B1448" s="216" t="str">
        <f ca="1">_xlfn.CONCAT(B1412,A1448)</f>
        <v>2A7256AD-ai</v>
      </c>
      <c r="C1448" s="34" t="s">
        <v>30</v>
      </c>
      <c r="D1448" s="187">
        <f>'H-MO'!$N$86</f>
        <v>685561.39085756091</v>
      </c>
      <c r="E1448" s="29">
        <f>+D1448/8</f>
        <v>85695.173857195114</v>
      </c>
      <c r="F1448" s="28">
        <v>0</v>
      </c>
      <c r="G1448" s="33">
        <f>+E1448*F1448</f>
        <v>0</v>
      </c>
    </row>
    <row r="1449" spans="1:8" ht="14.25" thickBot="1">
      <c r="A1449" s="211" t="s">
        <v>519</v>
      </c>
      <c r="B1449" s="216" t="str">
        <f ca="1">_xlfn.CONCAT(B1412,A1449)</f>
        <v>2A7256AD-aj</v>
      </c>
      <c r="C1449" s="34"/>
      <c r="D1449" s="187"/>
      <c r="E1449" s="29"/>
      <c r="F1449" s="28"/>
      <c r="G1449" s="33">
        <f>+E1449*F1449</f>
        <v>0</v>
      </c>
    </row>
    <row r="1450" spans="1:8" ht="17.25" customHeight="1" thickBot="1">
      <c r="A1450" s="211" t="s">
        <v>520</v>
      </c>
      <c r="B1450" s="216" t="str">
        <f ca="1">_xlfn.CONCAT(B1412,A1450)</f>
        <v>2A7256AD-ak</v>
      </c>
      <c r="C1450" s="34"/>
      <c r="D1450" s="185"/>
      <c r="E1450" s="26"/>
      <c r="F1450" s="36" t="s">
        <v>31</v>
      </c>
      <c r="G1450" s="23">
        <f>SUM(G1447:G1449)</f>
        <v>25407.148512376934</v>
      </c>
    </row>
    <row r="1451" spans="1:8" ht="14.25" thickBot="1">
      <c r="A1451" s="211" t="s">
        <v>521</v>
      </c>
      <c r="B1451" s="216" t="str">
        <f ca="1">_xlfn.CONCAT(B1412,A1451)</f>
        <v>2A7256AD-al</v>
      </c>
      <c r="C1451" s="37"/>
      <c r="E1451" s="38"/>
      <c r="F1451" s="22"/>
      <c r="G1451" s="39"/>
    </row>
    <row r="1452" spans="1:8" ht="23.25" customHeight="1" thickBot="1">
      <c r="A1452" s="211" t="s">
        <v>522</v>
      </c>
      <c r="B1452" s="216" t="str">
        <f ca="1">_xlfn.CONCAT(B1412,A1452)</f>
        <v>2A7256AD-am</v>
      </c>
      <c r="C1452" s="40"/>
      <c r="D1452" s="193"/>
      <c r="E1452" s="41"/>
      <c r="F1452" s="42"/>
      <c r="G1452" s="43">
        <f>+G1435+G1444+G1450</f>
        <v>95340.064137376947</v>
      </c>
    </row>
    <row r="1453" spans="1:8" ht="21.75" thickBot="1">
      <c r="B1453" s="212" t="s">
        <v>550</v>
      </c>
      <c r="C1453" s="2"/>
      <c r="D1453" s="183"/>
      <c r="F1453" s="4"/>
      <c r="G1453" s="5"/>
    </row>
    <row r="1454" spans="1:8" s="45" customFormat="1" ht="34.5" customHeight="1">
      <c r="A1454" s="213"/>
      <c r="B1454" s="214">
        <v>34</v>
      </c>
      <c r="C1454" s="242" t="str">
        <f ca="1">_xlfn.XLOOKUP(B1454,Cantidades!$A$10:$A$314,Cantidades!$C$10:$C$314,,0,1)</f>
        <v>Suministro e instalación de salida para roseta. Incluye roseta de 4"en porcelana. Incluye caja de conexión, cable #12 AWG de cobre, tubería PVC tipo A y demás accesorios para su correcta instalación,  fincionamiento y señalización.</v>
      </c>
      <c r="D1454" s="243"/>
      <c r="E1454" s="243"/>
      <c r="F1454" s="243"/>
      <c r="G1454" s="244"/>
      <c r="H1454" s="213"/>
    </row>
    <row r="1455" spans="1:8" s="47" customFormat="1" ht="24.95" customHeight="1" thickBot="1">
      <c r="A1455" s="215"/>
      <c r="B1455" s="216" t="s">
        <v>550</v>
      </c>
      <c r="C1455" s="177"/>
      <c r="D1455" s="189"/>
      <c r="E1455" s="178"/>
      <c r="F1455" s="179" t="s">
        <v>636</v>
      </c>
      <c r="G1455" s="209" t="str">
        <f ca="1">B1456</f>
        <v>C8A8E96-</v>
      </c>
      <c r="H1455" s="215"/>
    </row>
    <row r="1456" spans="1:8" ht="28.5" customHeight="1" thickBot="1">
      <c r="B1456" s="212" t="str">
        <f ca="1">_xlfn.XLOOKUP(C1454,Cantidades!$C$1:$C$314,Cantidades!$B$1:$B$314,"",0,1)</f>
        <v>C8A8E96-</v>
      </c>
      <c r="C1456" s="10" t="s">
        <v>0</v>
      </c>
      <c r="D1456" s="190"/>
      <c r="E1456" s="11"/>
      <c r="F1456" s="12"/>
      <c r="G1456" s="13"/>
    </row>
    <row r="1457" spans="1:8" s="47" customFormat="1" ht="23.25" customHeight="1" thickBot="1">
      <c r="A1457" s="215"/>
      <c r="B1457" s="216" t="s">
        <v>550</v>
      </c>
      <c r="C1457" s="14" t="s">
        <v>1</v>
      </c>
      <c r="D1457" s="15" t="s">
        <v>2</v>
      </c>
      <c r="E1457" s="15" t="s">
        <v>3</v>
      </c>
      <c r="F1457" s="16" t="s">
        <v>4</v>
      </c>
      <c r="G1457" s="15" t="s">
        <v>5</v>
      </c>
      <c r="H1457" s="215"/>
    </row>
    <row r="1458" spans="1:8" ht="15">
      <c r="A1458" s="211" t="s">
        <v>484</v>
      </c>
      <c r="B1458" s="216" t="str">
        <f ca="1">_xlfn.CONCAT(B1456,A1458)</f>
        <v>C8A8E96-A</v>
      </c>
      <c r="C1458" s="17" t="str">
        <f>_xlfn.XLOOKUP(H1458,'Materiales unitario'!$A$1:$A$2500,'Materiales unitario'!B$1:B$2500,,0,1)</f>
        <v>Tubo Conduit PVC 1-2 Pulgadas</v>
      </c>
      <c r="D1458" s="184" t="str">
        <f>_xlfn.XLOOKUP(H1458,'Materiales unitario'!A$1:A$2500,'Materiales unitario'!C$1:C$2500,,0,1)</f>
        <v>ml</v>
      </c>
      <c r="E1458" s="197">
        <f>_xlfn.XLOOKUP(H1458,'Materiales unitario'!$A$1:$A$2500,'Materiales unitario'!D$1:D$2500,,0,1)</f>
        <v>1600</v>
      </c>
      <c r="F1458" s="19">
        <v>2.5</v>
      </c>
      <c r="G1458" s="20">
        <f>+E1458*F1458</f>
        <v>4000</v>
      </c>
      <c r="H1458" s="217" t="s">
        <v>613</v>
      </c>
    </row>
    <row r="1459" spans="1:8" ht="15">
      <c r="A1459" s="211" t="s">
        <v>485</v>
      </c>
      <c r="B1459" s="216" t="str">
        <f ca="1">_xlfn.CONCAT(B1456,A1459)</f>
        <v>C8A8E96-B</v>
      </c>
      <c r="C1459" s="17" t="str">
        <f>_xlfn.XLOOKUP(H1459,'Materiales unitario'!$A$1:$A$2500,'Materiales unitario'!B$1:B$2500,,0,1)</f>
        <v>Tubo Conduit PVC 3-4 Pulgadas</v>
      </c>
      <c r="D1459" s="184" t="str">
        <f>_xlfn.XLOOKUP(H1459,'Materiales unitario'!A$1:A$2500,'Materiales unitario'!C$1:C$2500,,0,1)</f>
        <v>ml</v>
      </c>
      <c r="E1459" s="197">
        <f>_xlfn.XLOOKUP(H1459,'Materiales unitario'!$A$1:$A$2500,'Materiales unitario'!D$1:D$2500,,0,1)</f>
        <v>2066.6666666666665</v>
      </c>
      <c r="F1459" s="19">
        <v>0.5</v>
      </c>
      <c r="G1459" s="20">
        <f t="shared" ref="G1459:G1469" si="40">+E1459*F1459</f>
        <v>1033.3333333333333</v>
      </c>
      <c r="H1459" s="217" t="s">
        <v>614</v>
      </c>
    </row>
    <row r="1460" spans="1:8" ht="15">
      <c r="A1460" s="211" t="s">
        <v>486</v>
      </c>
      <c r="B1460" s="216" t="str">
        <f ca="1">_xlfn.CONCAT(B1456,A1460)</f>
        <v>C8A8E96-C</v>
      </c>
      <c r="C1460" s="17" t="str">
        <f>_xlfn.XLOOKUP(H1460,'Materiales unitario'!$A$1:$A$2500,'Materiales unitario'!B$1:B$2500,,0,1)</f>
        <v>Adaptador terminal PVC ø1/2"</v>
      </c>
      <c r="D1460" s="184" t="str">
        <f>_xlfn.XLOOKUP(H1460,'Materiales unitario'!A$1:A$2500,'Materiales unitario'!C$1:C$2500,,0,1)</f>
        <v>un</v>
      </c>
      <c r="E1460" s="197">
        <f>_xlfn.XLOOKUP(H1460,'Materiales unitario'!$A$1:$A$2500,'Materiales unitario'!D$1:D$2500,,0,1)</f>
        <v>720</v>
      </c>
      <c r="F1460" s="19">
        <v>1.7</v>
      </c>
      <c r="G1460" s="20">
        <f t="shared" si="40"/>
        <v>1224</v>
      </c>
      <c r="H1460" s="217" t="s">
        <v>603</v>
      </c>
    </row>
    <row r="1461" spans="1:8" ht="15">
      <c r="A1461" s="211" t="s">
        <v>487</v>
      </c>
      <c r="B1461" s="216" t="str">
        <f ca="1">_xlfn.CONCAT(B1456,A1461)</f>
        <v>C8A8E96-D</v>
      </c>
      <c r="C1461" s="17" t="str">
        <f>_xlfn.XLOOKUP(H1461,'Materiales unitario'!$A$1:$A$2500,'Materiales unitario'!B$1:B$2500,,0,1)</f>
        <v>Adaptador terminal PVC ø3/4"</v>
      </c>
      <c r="D1461" s="184" t="str">
        <f>_xlfn.XLOOKUP(H1461,'Materiales unitario'!A$1:A$2500,'Materiales unitario'!C$1:C$2500,,0,1)</f>
        <v>un</v>
      </c>
      <c r="E1461" s="197">
        <f>_xlfn.XLOOKUP(H1461,'Materiales unitario'!$A$1:$A$2500,'Materiales unitario'!D$1:D$2500,,0,1)</f>
        <v>920</v>
      </c>
      <c r="F1461" s="19">
        <v>0.3</v>
      </c>
      <c r="G1461" s="20">
        <f t="shared" si="40"/>
        <v>276</v>
      </c>
      <c r="H1461" s="217" t="s">
        <v>604</v>
      </c>
    </row>
    <row r="1462" spans="1:8" ht="15">
      <c r="A1462" s="211" t="s">
        <v>488</v>
      </c>
      <c r="B1462" s="216" t="str">
        <f ca="1">_xlfn.CONCAT(B1456,A1462)</f>
        <v>C8A8E96-E</v>
      </c>
      <c r="C1462" s="17" t="str">
        <f>_xlfn.XLOOKUP(H1462,'Materiales unitario'!$A$1:$A$2500,'Materiales unitario'!B$1:B$2500,,0,1)</f>
        <v>Caja galvanizada ref. 2400 (Cal. 20)</v>
      </c>
      <c r="D1462" s="184" t="str">
        <f>_xlfn.XLOOKUP(H1462,'Materiales unitario'!A$1:A$2500,'Materiales unitario'!C$1:C$2500,,0,1)</f>
        <v>un</v>
      </c>
      <c r="E1462" s="197">
        <f>_xlfn.XLOOKUP(H1462,'Materiales unitario'!$A$1:$A$2500,'Materiales unitario'!D$1:D$2500,,0,1)</f>
        <v>3150</v>
      </c>
      <c r="F1462" s="19">
        <v>0.1</v>
      </c>
      <c r="G1462" s="20">
        <f t="shared" si="40"/>
        <v>315</v>
      </c>
      <c r="H1462" s="217" t="s">
        <v>605</v>
      </c>
    </row>
    <row r="1463" spans="1:8" ht="15">
      <c r="A1463" s="211" t="s">
        <v>489</v>
      </c>
      <c r="B1463" s="216" t="str">
        <f ca="1">_xlfn.CONCAT(B1456,A1463)</f>
        <v>C8A8E96-F</v>
      </c>
      <c r="C1463" s="17" t="str">
        <f>_xlfn.XLOOKUP(H1463,'Materiales unitario'!$A$1:$A$2500,'Materiales unitario'!B$1:B$2500,,0,1)</f>
        <v>Caja galvanizada ref. 5800 (Cal. 20)</v>
      </c>
      <c r="D1463" s="184" t="str">
        <f>_xlfn.XLOOKUP(H1463,'Materiales unitario'!A$1:A$2500,'Materiales unitario'!C$1:C$2500,,0,1)</f>
        <v>un</v>
      </c>
      <c r="E1463" s="197">
        <f>_xlfn.XLOOKUP(H1463,'Materiales unitario'!$A$1:$A$2500,'Materiales unitario'!D$1:D$2500,,0,1)</f>
        <v>2900</v>
      </c>
      <c r="F1463" s="19">
        <v>0.1</v>
      </c>
      <c r="G1463" s="20">
        <f t="shared" si="40"/>
        <v>290</v>
      </c>
      <c r="H1463" s="217" t="s">
        <v>606</v>
      </c>
    </row>
    <row r="1464" spans="1:8" ht="15">
      <c r="A1464" s="211" t="s">
        <v>490</v>
      </c>
      <c r="B1464" s="216" t="str">
        <f ca="1">_xlfn.CONCAT(B1456,A1464)</f>
        <v>C8A8E96-G</v>
      </c>
      <c r="C1464" s="17" t="str">
        <f>_xlfn.XLOOKUP(H1464,'Materiales unitario'!$A$1:$A$2500,'Materiales unitario'!B$1:B$2500,,0,1)</f>
        <v>Caja galvanizada octagonal (Cal. 20)</v>
      </c>
      <c r="D1464" s="184" t="str">
        <f>_xlfn.XLOOKUP(H1464,'Materiales unitario'!A$1:A$2500,'Materiales unitario'!C$1:C$2500,,0,1)</f>
        <v>un</v>
      </c>
      <c r="E1464" s="197">
        <f>_xlfn.XLOOKUP(H1464,'Materiales unitario'!$A$1:$A$2500,'Materiales unitario'!D$1:D$2500,,0,1)</f>
        <v>2900</v>
      </c>
      <c r="F1464" s="19">
        <v>1</v>
      </c>
      <c r="G1464" s="20">
        <f t="shared" si="40"/>
        <v>2900</v>
      </c>
      <c r="H1464" s="217" t="s">
        <v>607</v>
      </c>
    </row>
    <row r="1465" spans="1:8" ht="15">
      <c r="A1465" s="211" t="s">
        <v>491</v>
      </c>
      <c r="B1465" s="216" t="str">
        <f ca="1">_xlfn.CONCAT(B1456,A1465)</f>
        <v>C8A8E96-H</v>
      </c>
      <c r="C1465" s="17" t="str">
        <f>_xlfn.XLOOKUP(H1465,'Materiales unitario'!$A$1:$A$2500,'Materiales unitario'!B$1:B$2500,,0,1)</f>
        <v xml:space="preserve">Tornillo lámina #14x1/2" goloso </v>
      </c>
      <c r="D1465" s="184" t="str">
        <f>_xlfn.XLOOKUP(H1465,'Materiales unitario'!A$1:A$2500,'Materiales unitario'!C$1:C$2500,,0,1)</f>
        <v>un</v>
      </c>
      <c r="E1465" s="197">
        <f>_xlfn.XLOOKUP(H1465,'Materiales unitario'!$A$1:$A$2500,'Materiales unitario'!D$1:D$2500,,0,1)</f>
        <v>200</v>
      </c>
      <c r="F1465" s="19">
        <v>2</v>
      </c>
      <c r="G1465" s="20">
        <f t="shared" si="40"/>
        <v>400</v>
      </c>
      <c r="H1465" s="217" t="s">
        <v>608</v>
      </c>
    </row>
    <row r="1466" spans="1:8" ht="15">
      <c r="A1466" s="211" t="s">
        <v>492</v>
      </c>
      <c r="B1466" s="216" t="str">
        <f ca="1">_xlfn.CONCAT(B1456,A1466)</f>
        <v>C8A8E96-I</v>
      </c>
      <c r="C1466" s="17" t="str">
        <f>_xlfn.XLOOKUP(H1466,'Materiales unitario'!$A$1:$A$2500,'Materiales unitario'!B$1:B$2500,,0,1)</f>
        <v>Suplemento galvanizado de ø1/4" (Cal. 24)</v>
      </c>
      <c r="D1466" s="184" t="str">
        <f>_xlfn.XLOOKUP(H1466,'Materiales unitario'!A$1:A$2500,'Materiales unitario'!C$1:C$2500,,0,1)</f>
        <v>un</v>
      </c>
      <c r="E1466" s="197">
        <f>_xlfn.XLOOKUP(H1466,'Materiales unitario'!$A$1:$A$2500,'Materiales unitario'!D$1:D$2500,,0,1)</f>
        <v>1200</v>
      </c>
      <c r="F1466" s="19">
        <v>1</v>
      </c>
      <c r="G1466" s="20">
        <f t="shared" si="40"/>
        <v>1200</v>
      </c>
      <c r="H1466" s="217" t="s">
        <v>609</v>
      </c>
    </row>
    <row r="1467" spans="1:8" ht="15">
      <c r="A1467" s="211" t="s">
        <v>493</v>
      </c>
      <c r="B1467" s="216" t="str">
        <f ca="1">_xlfn.CONCAT(B1456,A1467)</f>
        <v>C8A8E96-J</v>
      </c>
      <c r="C1467" s="17" t="str">
        <f>_xlfn.XLOOKUP(H1467,'Materiales unitario'!$A$1:$A$2500,'Materiales unitario'!B$1:B$2500,,0,1)</f>
        <v>Conector de resorte rojo "R" 18-10 AWG</v>
      </c>
      <c r="D1467" s="184" t="str">
        <f>_xlfn.XLOOKUP(H1467,'Materiales unitario'!A$1:A$2500,'Materiales unitario'!C$1:C$2500,,0,1)</f>
        <v>un</v>
      </c>
      <c r="E1467" s="197">
        <f>_xlfn.XLOOKUP(H1467,'Materiales unitario'!$A$1:$A$2500,'Materiales unitario'!D$1:D$2500,,0,1)</f>
        <v>280</v>
      </c>
      <c r="F1467" s="19">
        <v>3</v>
      </c>
      <c r="G1467" s="20">
        <f t="shared" si="40"/>
        <v>840</v>
      </c>
      <c r="H1467" s="217" t="s">
        <v>302</v>
      </c>
    </row>
    <row r="1468" spans="1:8" ht="15">
      <c r="A1468" s="211" t="s">
        <v>494</v>
      </c>
      <c r="B1468" s="216" t="str">
        <f ca="1">_xlfn.CONCAT(B1456,A1468)</f>
        <v>C8A8E96-K</v>
      </c>
      <c r="C1468" s="17" t="str">
        <f>_xlfn.XLOOKUP(H1468,'Materiales unitario'!$A$1:$A$2500,'Materiales unitario'!B$1:B$2500,,0,1)</f>
        <v>Soldadura liquida PVC 1/4 de galón</v>
      </c>
      <c r="D1468" s="184" t="str">
        <f>_xlfn.XLOOKUP(H1468,'Materiales unitario'!A$1:A$2500,'Materiales unitario'!C$1:C$2500,,0,1)</f>
        <v>un</v>
      </c>
      <c r="E1468" s="197">
        <f>_xlfn.XLOOKUP(H1468,'Materiales unitario'!$A$1:$A$2500,'Materiales unitario'!D$1:D$2500,,0,1)</f>
        <v>60900</v>
      </c>
      <c r="F1468" s="19">
        <v>1.2E-2</v>
      </c>
      <c r="G1468" s="20">
        <f t="shared" si="40"/>
        <v>730.80000000000007</v>
      </c>
      <c r="H1468" s="217" t="s">
        <v>530</v>
      </c>
    </row>
    <row r="1469" spans="1:8" ht="15">
      <c r="A1469" s="211" t="s">
        <v>495</v>
      </c>
      <c r="B1469" s="216" t="str">
        <f ca="1">_xlfn.CONCAT(B1456,A1469)</f>
        <v>C8A8E96-L</v>
      </c>
      <c r="C1469" s="17" t="str">
        <f>_xlfn.XLOOKUP(H1469,'Materiales unitario'!$A$1:$A$2500,'Materiales unitario'!B$1:B$2500,,0,1)</f>
        <v>Cable de cobre aislado #12 AWG-THHN/THWN Color negro</v>
      </c>
      <c r="D1469" s="184" t="str">
        <f>_xlfn.XLOOKUP(H1469,'Materiales unitario'!A$1:A$2500,'Materiales unitario'!C$1:C$2500,,0,1)</f>
        <v>ml</v>
      </c>
      <c r="E1469" s="197">
        <f>_xlfn.XLOOKUP(H1469,'Materiales unitario'!$A$1:$A$2500,'Materiales unitario'!D$1:D$2500,,0,1)</f>
        <v>3020</v>
      </c>
      <c r="F1469" s="19">
        <v>12</v>
      </c>
      <c r="G1469" s="20">
        <f t="shared" si="40"/>
        <v>36240</v>
      </c>
      <c r="H1469" s="217" t="s">
        <v>267</v>
      </c>
    </row>
    <row r="1470" spans="1:8" ht="15">
      <c r="A1470" s="211" t="s">
        <v>496</v>
      </c>
      <c r="B1470" s="216" t="str">
        <f ca="1">_xlfn.CONCAT(B1456,A1470)</f>
        <v>C8A8E96-M</v>
      </c>
      <c r="C1470" s="17"/>
      <c r="D1470" s="184"/>
      <c r="E1470" s="197"/>
      <c r="F1470" s="19"/>
      <c r="G1470" s="20"/>
      <c r="H1470" s="217"/>
    </row>
    <row r="1471" spans="1:8">
      <c r="A1471" s="211" t="s">
        <v>497</v>
      </c>
      <c r="B1471" s="216" t="str">
        <f ca="1">_xlfn.CONCAT(B1456,A1471)</f>
        <v>C8A8E96-N</v>
      </c>
      <c r="C1471" s="17"/>
      <c r="D1471" s="184"/>
      <c r="E1471" s="197"/>
      <c r="F1471" s="19"/>
      <c r="G1471" s="20"/>
    </row>
    <row r="1472" spans="1:8">
      <c r="A1472" s="211" t="s">
        <v>498</v>
      </c>
      <c r="B1472" s="216" t="str">
        <f ca="1">_xlfn.CONCAT(B1456,A1472)</f>
        <v>C8A8E96-O</v>
      </c>
      <c r="C1472" s="17"/>
      <c r="D1472" s="184"/>
      <c r="E1472" s="197"/>
      <c r="F1472" s="19"/>
      <c r="G1472" s="20"/>
    </row>
    <row r="1473" spans="1:8">
      <c r="A1473" s="211" t="s">
        <v>499</v>
      </c>
      <c r="B1473" s="216" t="str">
        <f ca="1">_xlfn.CONCAT(B1456,A1473)</f>
        <v>C8A8E96-P</v>
      </c>
      <c r="C1473" s="17"/>
      <c r="D1473" s="184"/>
      <c r="E1473" s="197"/>
      <c r="F1473" s="19"/>
      <c r="G1473" s="20"/>
    </row>
    <row r="1474" spans="1:8">
      <c r="A1474" s="211" t="s">
        <v>500</v>
      </c>
      <c r="B1474" s="216" t="str">
        <f ca="1">_xlfn.CONCAT(B1456,A1474)</f>
        <v>C8A8E96-Q</v>
      </c>
      <c r="C1474" s="17"/>
      <c r="D1474" s="184"/>
      <c r="E1474" s="197"/>
      <c r="F1474" s="19"/>
      <c r="G1474" s="20"/>
    </row>
    <row r="1475" spans="1:8">
      <c r="A1475" s="211" t="s">
        <v>501</v>
      </c>
      <c r="B1475" s="216" t="str">
        <f ca="1">_xlfn.CONCAT(B1456,A1475)</f>
        <v>C8A8E96-R</v>
      </c>
      <c r="C1475" s="17"/>
      <c r="D1475" s="184"/>
      <c r="E1475" s="197"/>
      <c r="F1475" s="19"/>
      <c r="G1475" s="20"/>
    </row>
    <row r="1476" spans="1:8">
      <c r="A1476" s="211" t="s">
        <v>502</v>
      </c>
      <c r="B1476" s="216" t="str">
        <f ca="1">_xlfn.CONCAT(B1456,A1476)</f>
        <v>C8A8E96-S</v>
      </c>
      <c r="C1476" s="17"/>
      <c r="D1476" s="184"/>
      <c r="E1476" s="197"/>
      <c r="F1476" s="19"/>
      <c r="G1476" s="20"/>
    </row>
    <row r="1477" spans="1:8">
      <c r="A1477" s="211" t="s">
        <v>503</v>
      </c>
      <c r="B1477" s="216" t="str">
        <f ca="1">_xlfn.CONCAT(B1456,A1477)</f>
        <v>C8A8E96-T</v>
      </c>
      <c r="C1477" s="17"/>
      <c r="D1477" s="184"/>
      <c r="E1477" s="197"/>
      <c r="F1477" s="19"/>
      <c r="G1477" s="20"/>
    </row>
    <row r="1478" spans="1:8" ht="14.25" thickBot="1">
      <c r="A1478" s="211" t="s">
        <v>504</v>
      </c>
      <c r="B1478" s="216" t="str">
        <f ca="1">_xlfn.CONCAT(B1456,A1478)</f>
        <v>C8A8E96-U</v>
      </c>
      <c r="C1478" s="17"/>
      <c r="D1478" s="184"/>
      <c r="E1478" s="197"/>
      <c r="F1478" s="19"/>
      <c r="G1478" s="20"/>
    </row>
    <row r="1479" spans="1:8" ht="16.5" customHeight="1" thickBot="1">
      <c r="A1479" s="211" t="s">
        <v>505</v>
      </c>
      <c r="B1479" s="216" t="str">
        <f ca="1">_xlfn.CONCAT(B1456,A1479)</f>
        <v>C8A8E96-V</v>
      </c>
      <c r="C1479" s="17" t="s">
        <v>17</v>
      </c>
      <c r="D1479" s="192" t="s">
        <v>17</v>
      </c>
      <c r="E1479" s="18"/>
      <c r="F1479" s="22" t="s">
        <v>18</v>
      </c>
      <c r="G1479" s="23">
        <f>SUM(G1458:G1478)</f>
        <v>49449.133333333331</v>
      </c>
    </row>
    <row r="1480" spans="1:8" ht="28.5" customHeight="1" thickBot="1">
      <c r="A1480" s="211" t="s">
        <v>506</v>
      </c>
      <c r="B1480" s="216" t="str">
        <f ca="1">_xlfn.CONCAT(B1456,A1480)</f>
        <v>C8A8E96-W</v>
      </c>
      <c r="C1480" s="10" t="s">
        <v>19</v>
      </c>
      <c r="D1480" s="190"/>
      <c r="E1480" s="11"/>
      <c r="F1480" s="12"/>
      <c r="G1480" s="13"/>
    </row>
    <row r="1481" spans="1:8" s="47" customFormat="1" ht="23.25" customHeight="1" thickBot="1">
      <c r="A1481" s="211" t="s">
        <v>507</v>
      </c>
      <c r="B1481" s="216" t="str">
        <f ca="1">_xlfn.CONCAT(B1456,A1481)</f>
        <v>C8A8E96-X</v>
      </c>
      <c r="C1481" s="14" t="s">
        <v>1</v>
      </c>
      <c r="D1481" s="15"/>
      <c r="E1481" s="15" t="s">
        <v>20</v>
      </c>
      <c r="F1481" s="16" t="s">
        <v>21</v>
      </c>
      <c r="G1481" s="15" t="s">
        <v>5</v>
      </c>
      <c r="H1481" s="215"/>
    </row>
    <row r="1482" spans="1:8">
      <c r="A1482" s="211" t="s">
        <v>508</v>
      </c>
      <c r="B1482" s="216" t="str">
        <f ca="1">_xlfn.CONCAT(B1456,A1482)</f>
        <v>C8A8E96-Y</v>
      </c>
      <c r="C1482" s="24" t="s">
        <v>22</v>
      </c>
      <c r="D1482" s="184"/>
      <c r="E1482" s="25">
        <f>_xlfn.XLOOKUP(C1482,'H-MO'!B$7:B$30,'H-MO'!D$7:D$30,,0,1)</f>
        <v>2436.5624999999995</v>
      </c>
      <c r="F1482" s="19">
        <v>0.25</v>
      </c>
      <c r="G1482" s="33">
        <f t="shared" ref="G1482:G1487" si="41">+E1482*F1482</f>
        <v>609.14062499999989</v>
      </c>
    </row>
    <row r="1483" spans="1:8">
      <c r="A1483" s="211" t="s">
        <v>509</v>
      </c>
      <c r="B1483" s="216" t="str">
        <f ca="1">_xlfn.CONCAT(B1456,A1483)</f>
        <v>C8A8E96-Z</v>
      </c>
      <c r="C1483" s="24" t="s">
        <v>23</v>
      </c>
      <c r="D1483" s="184"/>
      <c r="E1483" s="25">
        <f>_xlfn.XLOOKUP(C1483,'H-MO'!B$7:B$30,'H-MO'!D$7:D$30,,0,1)</f>
        <v>1461.9374999999998</v>
      </c>
      <c r="F1483" s="19">
        <v>0.95</v>
      </c>
      <c r="G1483" s="33">
        <f t="shared" si="41"/>
        <v>1388.8406249999998</v>
      </c>
    </row>
    <row r="1484" spans="1:8">
      <c r="A1484" s="211" t="s">
        <v>510</v>
      </c>
      <c r="B1484" s="216" t="str">
        <f ca="1">_xlfn.CONCAT(B1456,A1484)</f>
        <v>C8A8E96-aa</v>
      </c>
      <c r="C1484" s="24" t="s">
        <v>24</v>
      </c>
      <c r="D1484" s="185"/>
      <c r="E1484" s="25">
        <f>_xlfn.XLOOKUP(C1484,'H-MO'!B$7:B$30,'H-MO'!D$7:D$30,,0,1)</f>
        <v>29238.749999999996</v>
      </c>
      <c r="F1484" s="28">
        <v>0.02</v>
      </c>
      <c r="G1484" s="33">
        <f t="shared" si="41"/>
        <v>584.77499999999998</v>
      </c>
    </row>
    <row r="1485" spans="1:8">
      <c r="A1485" s="211" t="s">
        <v>511</v>
      </c>
      <c r="B1485" s="216" t="str">
        <f ca="1">_xlfn.CONCAT(B1456,A1485)</f>
        <v>C8A8E96-ab</v>
      </c>
      <c r="C1485" s="24" t="s">
        <v>25</v>
      </c>
      <c r="D1485" s="185"/>
      <c r="E1485" s="25">
        <f>_xlfn.XLOOKUP(C1485,'H-MO'!B$7:B$30,'H-MO'!D$7:D$30,,0,1)</f>
        <v>2761.4374999999995</v>
      </c>
      <c r="F1485" s="28">
        <v>0.25</v>
      </c>
      <c r="G1485" s="33">
        <f t="shared" si="41"/>
        <v>690.35937499999989</v>
      </c>
    </row>
    <row r="1486" spans="1:8">
      <c r="A1486" s="211" t="s">
        <v>512</v>
      </c>
      <c r="B1486" s="216" t="str">
        <f ca="1">_xlfn.CONCAT(B1456,A1486)</f>
        <v>C8A8E96-ac</v>
      </c>
      <c r="C1486" s="24"/>
      <c r="D1486" s="185"/>
      <c r="E1486" s="29"/>
      <c r="F1486" s="28"/>
      <c r="G1486" s="33">
        <f t="shared" si="41"/>
        <v>0</v>
      </c>
    </row>
    <row r="1487" spans="1:8" ht="14.25" thickBot="1">
      <c r="A1487" s="211" t="s">
        <v>513</v>
      </c>
      <c r="B1487" s="216" t="str">
        <f ca="1">_xlfn.CONCAT(B1456,A1487)</f>
        <v>C8A8E96-ad</v>
      </c>
      <c r="C1487" s="24"/>
      <c r="D1487" s="185"/>
      <c r="E1487" s="29"/>
      <c r="F1487" s="28"/>
      <c r="G1487" s="33">
        <f t="shared" si="41"/>
        <v>0</v>
      </c>
    </row>
    <row r="1488" spans="1:8" ht="16.5" customHeight="1" thickBot="1">
      <c r="A1488" s="211" t="s">
        <v>514</v>
      </c>
      <c r="B1488" s="216" t="str">
        <f ca="1">_xlfn.CONCAT(B1456,A1488)</f>
        <v>C8A8E96-ae</v>
      </c>
      <c r="C1488" s="17"/>
      <c r="D1488" s="192"/>
      <c r="E1488" s="18"/>
      <c r="F1488" s="22" t="s">
        <v>26</v>
      </c>
      <c r="G1488" s="23">
        <f>SUM(G1482:G1487)</f>
        <v>3273.1156249999999</v>
      </c>
    </row>
    <row r="1489" spans="1:8" ht="28.5" customHeight="1" thickBot="1">
      <c r="A1489" s="211" t="s">
        <v>515</v>
      </c>
      <c r="B1489" s="216" t="str">
        <f ca="1">_xlfn.CONCAT(B1456,A1489)</f>
        <v>C8A8E96-af</v>
      </c>
      <c r="C1489" s="10" t="s">
        <v>27</v>
      </c>
      <c r="D1489" s="190"/>
      <c r="E1489" s="11"/>
      <c r="F1489" s="12"/>
      <c r="G1489" s="13"/>
    </row>
    <row r="1490" spans="1:8" s="47" customFormat="1" ht="23.25" customHeight="1" thickBot="1">
      <c r="A1490" s="211" t="s">
        <v>516</v>
      </c>
      <c r="B1490" s="216" t="str">
        <f ca="1">_xlfn.CONCAT(B1456,A1490)</f>
        <v>C8A8E96-ag</v>
      </c>
      <c r="C1490" s="14" t="s">
        <v>1</v>
      </c>
      <c r="D1490" s="15" t="s">
        <v>28</v>
      </c>
      <c r="E1490" s="15" t="s">
        <v>20</v>
      </c>
      <c r="F1490" s="16" t="s">
        <v>21</v>
      </c>
      <c r="G1490" s="15" t="s">
        <v>5</v>
      </c>
      <c r="H1490" s="215"/>
    </row>
    <row r="1491" spans="1:8">
      <c r="A1491" s="211" t="s">
        <v>517</v>
      </c>
      <c r="B1491" s="216" t="str">
        <f ca="1">_xlfn.CONCAT(B1456,A1491)</f>
        <v>C8A8E96-ah</v>
      </c>
      <c r="C1491" s="30" t="s">
        <v>29</v>
      </c>
      <c r="D1491" s="186">
        <f>'H-MO'!$N$77</f>
        <v>725918.52892505517</v>
      </c>
      <c r="E1491" s="31">
        <f>+D1491/8</f>
        <v>90739.816115631897</v>
      </c>
      <c r="F1491" s="32">
        <v>0.3</v>
      </c>
      <c r="G1491" s="33">
        <f>+E1491*F1491</f>
        <v>27221.94483468957</v>
      </c>
    </row>
    <row r="1492" spans="1:8">
      <c r="A1492" s="211" t="s">
        <v>518</v>
      </c>
      <c r="B1492" s="216" t="str">
        <f ca="1">_xlfn.CONCAT(B1456,A1492)</f>
        <v>C8A8E96-ai</v>
      </c>
      <c r="C1492" s="34" t="s">
        <v>30</v>
      </c>
      <c r="D1492" s="187">
        <f>'H-MO'!$N$86</f>
        <v>685561.39085756091</v>
      </c>
      <c r="E1492" s="29">
        <f>+D1492/8</f>
        <v>85695.173857195114</v>
      </c>
      <c r="F1492" s="28">
        <v>0</v>
      </c>
      <c r="G1492" s="33">
        <f>+E1492*F1492</f>
        <v>0</v>
      </c>
    </row>
    <row r="1493" spans="1:8" ht="14.25" thickBot="1">
      <c r="A1493" s="211" t="s">
        <v>519</v>
      </c>
      <c r="B1493" s="216" t="str">
        <f ca="1">_xlfn.CONCAT(B1456,A1493)</f>
        <v>C8A8E96-aj</v>
      </c>
      <c r="C1493" s="34"/>
      <c r="D1493" s="187"/>
      <c r="E1493" s="29"/>
      <c r="F1493" s="28"/>
      <c r="G1493" s="33">
        <f>+E1493*F1493</f>
        <v>0</v>
      </c>
    </row>
    <row r="1494" spans="1:8" ht="17.25" customHeight="1" thickBot="1">
      <c r="A1494" s="211" t="s">
        <v>520</v>
      </c>
      <c r="B1494" s="216" t="str">
        <f ca="1">_xlfn.CONCAT(B1456,A1494)</f>
        <v>C8A8E96-ak</v>
      </c>
      <c r="C1494" s="34"/>
      <c r="D1494" s="185"/>
      <c r="E1494" s="26"/>
      <c r="F1494" s="36" t="s">
        <v>31</v>
      </c>
      <c r="G1494" s="23">
        <f>SUM(G1491:G1493)</f>
        <v>27221.94483468957</v>
      </c>
    </row>
    <row r="1495" spans="1:8" ht="14.25" thickBot="1">
      <c r="A1495" s="211" t="s">
        <v>521</v>
      </c>
      <c r="B1495" s="216" t="str">
        <f ca="1">_xlfn.CONCAT(B1456,A1495)</f>
        <v>C8A8E96-al</v>
      </c>
      <c r="C1495" s="37"/>
      <c r="E1495" s="38"/>
      <c r="F1495" s="22"/>
      <c r="G1495" s="39"/>
    </row>
    <row r="1496" spans="1:8" ht="23.25" customHeight="1" thickBot="1">
      <c r="A1496" s="211" t="s">
        <v>522</v>
      </c>
      <c r="B1496" s="216" t="str">
        <f ca="1">_xlfn.CONCAT(B1456,A1496)</f>
        <v>C8A8E96-am</v>
      </c>
      <c r="C1496" s="40"/>
      <c r="D1496" s="193"/>
      <c r="E1496" s="41"/>
      <c r="F1496" s="42"/>
      <c r="G1496" s="43">
        <f>+G1479+G1488+G1494</f>
        <v>79944.193793022903</v>
      </c>
    </row>
    <row r="1497" spans="1:8" ht="21.75" thickBot="1">
      <c r="B1497" s="212" t="s">
        <v>550</v>
      </c>
      <c r="C1497" s="2"/>
      <c r="D1497" s="183"/>
      <c r="F1497" s="4"/>
      <c r="G1497" s="5"/>
    </row>
    <row r="1498" spans="1:8" s="45" customFormat="1" ht="34.5" customHeight="1">
      <c r="A1498" s="213"/>
      <c r="B1498" s="214">
        <v>35</v>
      </c>
      <c r="C1498" s="242" t="str">
        <f ca="1">_xlfn.XLOOKUP(B1498,Cantidades!$A$10:$A$314,Cantidades!$C$10:$C$314,,0,1)</f>
        <v>Suministro e instalación de salida para lámpara LED EMERGENCIA 48 PCS 2,8 W Sylvania. Incluye caja de conexión, cable #12 AWG de cobre, tubería PVC tipo A y demás accesorios para su correcta instalación,  fincionamiento y señalización.</v>
      </c>
      <c r="D1498" s="243"/>
      <c r="E1498" s="243"/>
      <c r="F1498" s="243"/>
      <c r="G1498" s="244"/>
      <c r="H1498" s="213"/>
    </row>
    <row r="1499" spans="1:8" s="47" customFormat="1" ht="24.95" customHeight="1" thickBot="1">
      <c r="A1499" s="215"/>
      <c r="B1499" s="216" t="s">
        <v>550</v>
      </c>
      <c r="C1499" s="177"/>
      <c r="D1499" s="189"/>
      <c r="E1499" s="178"/>
      <c r="F1499" s="179" t="s">
        <v>636</v>
      </c>
      <c r="G1499" s="209" t="str">
        <f ca="1">B1500</f>
        <v>E769842-</v>
      </c>
      <c r="H1499" s="215"/>
    </row>
    <row r="1500" spans="1:8" ht="28.5" customHeight="1" thickBot="1">
      <c r="B1500" s="212" t="str">
        <f ca="1">_xlfn.XLOOKUP(C1498,Cantidades!$C$1:$C$314,Cantidades!$B$1:$B$314,"",0,1)</f>
        <v>E769842-</v>
      </c>
      <c r="C1500" s="10" t="s">
        <v>0</v>
      </c>
      <c r="D1500" s="190"/>
      <c r="E1500" s="11"/>
      <c r="F1500" s="12"/>
      <c r="G1500" s="13"/>
    </row>
    <row r="1501" spans="1:8" s="47" customFormat="1" ht="23.25" customHeight="1" thickBot="1">
      <c r="A1501" s="215"/>
      <c r="B1501" s="216" t="s">
        <v>550</v>
      </c>
      <c r="C1501" s="14" t="s">
        <v>1</v>
      </c>
      <c r="D1501" s="15" t="s">
        <v>2</v>
      </c>
      <c r="E1501" s="15" t="s">
        <v>3</v>
      </c>
      <c r="F1501" s="16" t="s">
        <v>4</v>
      </c>
      <c r="G1501" s="15" t="s">
        <v>5</v>
      </c>
      <c r="H1501" s="215"/>
    </row>
    <row r="1502" spans="1:8" ht="15">
      <c r="A1502" s="211" t="s">
        <v>484</v>
      </c>
      <c r="B1502" s="216" t="str">
        <f ca="1">_xlfn.CONCAT(B1500,A1502)</f>
        <v>E769842-A</v>
      </c>
      <c r="C1502" s="17" t="str">
        <f>_xlfn.XLOOKUP(H1502,'Materiales unitario'!$A$1:$A$2500,'Materiales unitario'!B$1:B$2500,,0,1)</f>
        <v>Tubo Conduit PVC Sch40 1-2 Pulgadas</v>
      </c>
      <c r="D1502" s="184" t="str">
        <f>_xlfn.XLOOKUP(H1502,'Materiales unitario'!A$1:A$2500,'Materiales unitario'!C$1:C$2500,,0,1)</f>
        <v>ml</v>
      </c>
      <c r="E1502" s="197">
        <f>_xlfn.XLOOKUP(H1502,'Materiales unitario'!$A$1:$A$2500,'Materiales unitario'!D$1:D$2500,,0,1)</f>
        <v>2966.6666666666665</v>
      </c>
      <c r="F1502" s="19">
        <v>5.2</v>
      </c>
      <c r="G1502" s="20">
        <f>+E1502*F1502</f>
        <v>15426.666666666666</v>
      </c>
      <c r="H1502" s="217" t="s">
        <v>601</v>
      </c>
    </row>
    <row r="1503" spans="1:8" ht="15">
      <c r="A1503" s="211" t="s">
        <v>485</v>
      </c>
      <c r="B1503" s="216" t="str">
        <f ca="1">_xlfn.CONCAT(B1500,A1503)</f>
        <v>E769842-B</v>
      </c>
      <c r="C1503" s="17" t="str">
        <f>_xlfn.XLOOKUP(H1503,'Materiales unitario'!$A$1:$A$2500,'Materiales unitario'!B$1:B$2500,,0,1)</f>
        <v>Tubo Conduit PVC SCH40 3-4 Pulgadas</v>
      </c>
      <c r="D1503" s="184" t="str">
        <f>_xlfn.XLOOKUP(H1503,'Materiales unitario'!A$1:A$2500,'Materiales unitario'!C$1:C$2500,,0,1)</f>
        <v>ml</v>
      </c>
      <c r="E1503" s="197">
        <f>_xlfn.XLOOKUP(H1503,'Materiales unitario'!$A$1:$A$2500,'Materiales unitario'!D$1:D$2500,,0,1)</f>
        <v>3966.6666666666665</v>
      </c>
      <c r="F1503" s="19">
        <v>2.2000000000000002</v>
      </c>
      <c r="G1503" s="20">
        <f t="shared" ref="G1503:G1513" si="42">+E1503*F1503</f>
        <v>8726.6666666666679</v>
      </c>
      <c r="H1503" s="217" t="s">
        <v>602</v>
      </c>
    </row>
    <row r="1504" spans="1:8" ht="15">
      <c r="A1504" s="211" t="s">
        <v>486</v>
      </c>
      <c r="B1504" s="216" t="str">
        <f ca="1">_xlfn.CONCAT(B1500,A1504)</f>
        <v>E769842-C</v>
      </c>
      <c r="C1504" s="17" t="str">
        <f>_xlfn.XLOOKUP(H1504,'Materiales unitario'!$A$1:$A$2500,'Materiales unitario'!B$1:B$2500,,0,1)</f>
        <v>Adaptador terminal PVC ø1/2"</v>
      </c>
      <c r="D1504" s="184" t="str">
        <f>_xlfn.XLOOKUP(H1504,'Materiales unitario'!A$1:A$2500,'Materiales unitario'!C$1:C$2500,,0,1)</f>
        <v>un</v>
      </c>
      <c r="E1504" s="197">
        <f>_xlfn.XLOOKUP(H1504,'Materiales unitario'!$A$1:$A$2500,'Materiales unitario'!D$1:D$2500,,0,1)</f>
        <v>720</v>
      </c>
      <c r="F1504" s="19">
        <v>2</v>
      </c>
      <c r="G1504" s="20">
        <f t="shared" si="42"/>
        <v>1440</v>
      </c>
      <c r="H1504" s="217" t="s">
        <v>603</v>
      </c>
    </row>
    <row r="1505" spans="1:8" ht="15">
      <c r="A1505" s="211" t="s">
        <v>487</v>
      </c>
      <c r="B1505" s="216" t="str">
        <f ca="1">_xlfn.CONCAT(B1500,A1505)</f>
        <v>E769842-D</v>
      </c>
      <c r="C1505" s="17" t="str">
        <f>_xlfn.XLOOKUP(H1505,'Materiales unitario'!$A$1:$A$2500,'Materiales unitario'!B$1:B$2500,,0,1)</f>
        <v>Adaptador terminal PVC ø3/4"</v>
      </c>
      <c r="D1505" s="184" t="str">
        <f>_xlfn.XLOOKUP(H1505,'Materiales unitario'!A$1:A$2500,'Materiales unitario'!C$1:C$2500,,0,1)</f>
        <v>un</v>
      </c>
      <c r="E1505" s="197">
        <f>_xlfn.XLOOKUP(H1505,'Materiales unitario'!$A$1:$A$2500,'Materiales unitario'!D$1:D$2500,,0,1)</f>
        <v>920</v>
      </c>
      <c r="F1505" s="19">
        <v>0.3</v>
      </c>
      <c r="G1505" s="20">
        <f t="shared" si="42"/>
        <v>276</v>
      </c>
      <c r="H1505" s="217" t="s">
        <v>604</v>
      </c>
    </row>
    <row r="1506" spans="1:8" ht="15">
      <c r="A1506" s="211" t="s">
        <v>488</v>
      </c>
      <c r="B1506" s="216" t="str">
        <f ca="1">_xlfn.CONCAT(B1500,A1506)</f>
        <v>E769842-E</v>
      </c>
      <c r="C1506" s="17" t="str">
        <f>_xlfn.XLOOKUP(H1506,'Materiales unitario'!$A$1:$A$2500,'Materiales unitario'!B$1:B$2500,,0,1)</f>
        <v>Caja galvanizada ref. 2400 (Cal. 20)</v>
      </c>
      <c r="D1506" s="184" t="str">
        <f>_xlfn.XLOOKUP(H1506,'Materiales unitario'!A$1:A$2500,'Materiales unitario'!C$1:C$2500,,0,1)</f>
        <v>un</v>
      </c>
      <c r="E1506" s="197">
        <f>_xlfn.XLOOKUP(H1506,'Materiales unitario'!$A$1:$A$2500,'Materiales unitario'!D$1:D$2500,,0,1)</f>
        <v>3150</v>
      </c>
      <c r="F1506" s="19">
        <v>0.5</v>
      </c>
      <c r="G1506" s="20">
        <f t="shared" si="42"/>
        <v>1575</v>
      </c>
      <c r="H1506" s="217" t="s">
        <v>605</v>
      </c>
    </row>
    <row r="1507" spans="1:8" ht="15">
      <c r="A1507" s="211" t="s">
        <v>489</v>
      </c>
      <c r="B1507" s="216" t="str">
        <f ca="1">_xlfn.CONCAT(B1500,A1507)</f>
        <v>E769842-F</v>
      </c>
      <c r="C1507" s="17" t="str">
        <f>_xlfn.XLOOKUP(H1507,'Materiales unitario'!$A$1:$A$2500,'Materiales unitario'!B$1:B$2500,,0,1)</f>
        <v>Caja galvanizada ref. 5800 (Cal. 20)</v>
      </c>
      <c r="D1507" s="184" t="str">
        <f>_xlfn.XLOOKUP(H1507,'Materiales unitario'!A$1:A$2500,'Materiales unitario'!C$1:C$2500,,0,1)</f>
        <v>un</v>
      </c>
      <c r="E1507" s="197">
        <f>_xlfn.XLOOKUP(H1507,'Materiales unitario'!$A$1:$A$2500,'Materiales unitario'!D$1:D$2500,,0,1)</f>
        <v>2900</v>
      </c>
      <c r="F1507" s="19">
        <v>0.5</v>
      </c>
      <c r="G1507" s="20">
        <f t="shared" si="42"/>
        <v>1450</v>
      </c>
      <c r="H1507" s="217" t="s">
        <v>606</v>
      </c>
    </row>
    <row r="1508" spans="1:8" ht="15">
      <c r="A1508" s="211" t="s">
        <v>490</v>
      </c>
      <c r="B1508" s="216" t="str">
        <f ca="1">_xlfn.CONCAT(B1500,A1508)</f>
        <v>E769842-G</v>
      </c>
      <c r="C1508" s="17" t="str">
        <f>_xlfn.XLOOKUP(H1508,'Materiales unitario'!$A$1:$A$2500,'Materiales unitario'!B$1:B$2500,,0,1)</f>
        <v>Caja galvanizada octagonal (Cal. 20)</v>
      </c>
      <c r="D1508" s="184" t="str">
        <f>_xlfn.XLOOKUP(H1508,'Materiales unitario'!A$1:A$2500,'Materiales unitario'!C$1:C$2500,,0,1)</f>
        <v>un</v>
      </c>
      <c r="E1508" s="197">
        <f>_xlfn.XLOOKUP(H1508,'Materiales unitario'!$A$1:$A$2500,'Materiales unitario'!D$1:D$2500,,0,1)</f>
        <v>2900</v>
      </c>
      <c r="F1508" s="19">
        <v>0.1</v>
      </c>
      <c r="G1508" s="20">
        <f t="shared" si="42"/>
        <v>290</v>
      </c>
      <c r="H1508" s="217" t="s">
        <v>607</v>
      </c>
    </row>
    <row r="1509" spans="1:8" ht="15">
      <c r="A1509" s="211" t="s">
        <v>491</v>
      </c>
      <c r="B1509" s="216" t="str">
        <f ca="1">_xlfn.CONCAT(B1500,A1509)</f>
        <v>E769842-H</v>
      </c>
      <c r="C1509" s="17" t="str">
        <f>_xlfn.XLOOKUP(H1509,'Materiales unitario'!$A$1:$A$2500,'Materiales unitario'!B$1:B$2500,,0,1)</f>
        <v xml:space="preserve">Tornillo lámina #14x1/2" goloso </v>
      </c>
      <c r="D1509" s="184" t="str">
        <f>_xlfn.XLOOKUP(H1509,'Materiales unitario'!A$1:A$2500,'Materiales unitario'!C$1:C$2500,,0,1)</f>
        <v>un</v>
      </c>
      <c r="E1509" s="197">
        <f>_xlfn.XLOOKUP(H1509,'Materiales unitario'!$A$1:$A$2500,'Materiales unitario'!D$1:D$2500,,0,1)</f>
        <v>200</v>
      </c>
      <c r="F1509" s="19">
        <v>2</v>
      </c>
      <c r="G1509" s="20">
        <f t="shared" si="42"/>
        <v>400</v>
      </c>
      <c r="H1509" s="217" t="s">
        <v>608</v>
      </c>
    </row>
    <row r="1510" spans="1:8" ht="15">
      <c r="A1510" s="211" t="s">
        <v>492</v>
      </c>
      <c r="B1510" s="216" t="str">
        <f ca="1">_xlfn.CONCAT(B1500,A1510)</f>
        <v>E769842-I</v>
      </c>
      <c r="C1510" s="17" t="str">
        <f>_xlfn.XLOOKUP(H1510,'Materiales unitario'!$A$1:$A$2500,'Materiales unitario'!B$1:B$2500,,0,1)</f>
        <v>Suplemento galvanizado de ø1/4" (Cal. 24)</v>
      </c>
      <c r="D1510" s="184" t="str">
        <f>_xlfn.XLOOKUP(H1510,'Materiales unitario'!A$1:A$2500,'Materiales unitario'!C$1:C$2500,,0,1)</f>
        <v>un</v>
      </c>
      <c r="E1510" s="197">
        <f>_xlfn.XLOOKUP(H1510,'Materiales unitario'!$A$1:$A$2500,'Materiales unitario'!D$1:D$2500,,0,1)</f>
        <v>1200</v>
      </c>
      <c r="F1510" s="19">
        <v>0.5</v>
      </c>
      <c r="G1510" s="20">
        <f t="shared" si="42"/>
        <v>600</v>
      </c>
      <c r="H1510" s="217" t="s">
        <v>609</v>
      </c>
    </row>
    <row r="1511" spans="1:8" ht="15">
      <c r="A1511" s="211" t="s">
        <v>493</v>
      </c>
      <c r="B1511" s="216" t="str">
        <f ca="1">_xlfn.CONCAT(B1500,A1511)</f>
        <v>E769842-J</v>
      </c>
      <c r="C1511" s="17" t="str">
        <f>_xlfn.XLOOKUP(H1511,'Materiales unitario'!$A$1:$A$2500,'Materiales unitario'!B$1:B$2500,,0,1)</f>
        <v>Conector de resorte rojo "R" 18-10 AWG</v>
      </c>
      <c r="D1511" s="184" t="str">
        <f>_xlfn.XLOOKUP(H1511,'Materiales unitario'!A$1:A$2500,'Materiales unitario'!C$1:C$2500,,0,1)</f>
        <v>un</v>
      </c>
      <c r="E1511" s="197">
        <f>_xlfn.XLOOKUP(H1511,'Materiales unitario'!$A$1:$A$2500,'Materiales unitario'!D$1:D$2500,,0,1)</f>
        <v>280</v>
      </c>
      <c r="F1511" s="19">
        <v>3</v>
      </c>
      <c r="G1511" s="20">
        <f t="shared" si="42"/>
        <v>840</v>
      </c>
      <c r="H1511" s="217" t="s">
        <v>302</v>
      </c>
    </row>
    <row r="1512" spans="1:8" ht="15">
      <c r="A1512" s="211" t="s">
        <v>494</v>
      </c>
      <c r="B1512" s="216" t="str">
        <f ca="1">_xlfn.CONCAT(B1500,A1512)</f>
        <v>E769842-K</v>
      </c>
      <c r="C1512" s="17" t="str">
        <f>_xlfn.XLOOKUP(H1512,'Materiales unitario'!$A$1:$A$2500,'Materiales unitario'!B$1:B$2500,,0,1)</f>
        <v>Soldadura liquida PVC 1/4 de galón</v>
      </c>
      <c r="D1512" s="184" t="str">
        <f>_xlfn.XLOOKUP(H1512,'Materiales unitario'!A$1:A$2500,'Materiales unitario'!C$1:C$2500,,0,1)</f>
        <v>un</v>
      </c>
      <c r="E1512" s="197">
        <f>_xlfn.XLOOKUP(H1512,'Materiales unitario'!$A$1:$A$2500,'Materiales unitario'!D$1:D$2500,,0,1)</f>
        <v>60900</v>
      </c>
      <c r="F1512" s="19">
        <v>1.2E-2</v>
      </c>
      <c r="G1512" s="20">
        <f t="shared" si="42"/>
        <v>730.80000000000007</v>
      </c>
      <c r="H1512" s="217" t="s">
        <v>530</v>
      </c>
    </row>
    <row r="1513" spans="1:8" ht="15">
      <c r="A1513" s="211" t="s">
        <v>495</v>
      </c>
      <c r="B1513" s="216" t="str">
        <f ca="1">_xlfn.CONCAT(B1500,A1513)</f>
        <v>E769842-L</v>
      </c>
      <c r="C1513" s="17" t="str">
        <f>_xlfn.XLOOKUP(H1513,'Materiales unitario'!$A$1:$A$2500,'Materiales unitario'!B$1:B$2500,,0,1)</f>
        <v>Cable de cobre aislado #12 AWG-THHN/THWN Color negro</v>
      </c>
      <c r="D1513" s="184" t="str">
        <f>_xlfn.XLOOKUP(H1513,'Materiales unitario'!A$1:A$2500,'Materiales unitario'!C$1:C$2500,,0,1)</f>
        <v>ml</v>
      </c>
      <c r="E1513" s="197">
        <f>_xlfn.XLOOKUP(H1513,'Materiales unitario'!$A$1:$A$2500,'Materiales unitario'!D$1:D$2500,,0,1)</f>
        <v>3020</v>
      </c>
      <c r="F1513" s="19">
        <v>27</v>
      </c>
      <c r="G1513" s="20">
        <f t="shared" si="42"/>
        <v>81540</v>
      </c>
      <c r="H1513" s="217" t="s">
        <v>267</v>
      </c>
    </row>
    <row r="1514" spans="1:8" ht="15">
      <c r="A1514" s="211" t="s">
        <v>496</v>
      </c>
      <c r="B1514" s="216" t="str">
        <f ca="1">_xlfn.CONCAT(B1500,A1514)</f>
        <v>E769842-M</v>
      </c>
      <c r="C1514" s="17"/>
      <c r="D1514" s="184"/>
      <c r="E1514" s="197"/>
      <c r="F1514" s="19"/>
      <c r="G1514" s="20"/>
      <c r="H1514" s="217"/>
    </row>
    <row r="1515" spans="1:8">
      <c r="A1515" s="211" t="s">
        <v>497</v>
      </c>
      <c r="B1515" s="216" t="str">
        <f ca="1">_xlfn.CONCAT(B1500,A1515)</f>
        <v>E769842-N</v>
      </c>
      <c r="C1515" s="17"/>
      <c r="D1515" s="184"/>
      <c r="E1515" s="197"/>
      <c r="F1515" s="19"/>
      <c r="G1515" s="20"/>
    </row>
    <row r="1516" spans="1:8">
      <c r="A1516" s="211" t="s">
        <v>498</v>
      </c>
      <c r="B1516" s="216" t="str">
        <f ca="1">_xlfn.CONCAT(B1500,A1516)</f>
        <v>E769842-O</v>
      </c>
      <c r="C1516" s="17"/>
      <c r="D1516" s="184"/>
      <c r="E1516" s="197"/>
      <c r="F1516" s="19"/>
      <c r="G1516" s="20"/>
    </row>
    <row r="1517" spans="1:8">
      <c r="A1517" s="211" t="s">
        <v>499</v>
      </c>
      <c r="B1517" s="216" t="str">
        <f ca="1">_xlfn.CONCAT(B1500,A1517)</f>
        <v>E769842-P</v>
      </c>
      <c r="C1517" s="17"/>
      <c r="D1517" s="184"/>
      <c r="E1517" s="197"/>
      <c r="F1517" s="19"/>
      <c r="G1517" s="20"/>
    </row>
    <row r="1518" spans="1:8">
      <c r="A1518" s="211" t="s">
        <v>500</v>
      </c>
      <c r="B1518" s="216" t="str">
        <f ca="1">_xlfn.CONCAT(B1500,A1518)</f>
        <v>E769842-Q</v>
      </c>
      <c r="C1518" s="17"/>
      <c r="D1518" s="184"/>
      <c r="E1518" s="197"/>
      <c r="F1518" s="19"/>
      <c r="G1518" s="20"/>
    </row>
    <row r="1519" spans="1:8">
      <c r="A1519" s="211" t="s">
        <v>501</v>
      </c>
      <c r="B1519" s="216" t="str">
        <f ca="1">_xlfn.CONCAT(B1500,A1519)</f>
        <v>E769842-R</v>
      </c>
      <c r="C1519" s="17"/>
      <c r="D1519" s="184"/>
      <c r="E1519" s="197"/>
      <c r="F1519" s="19"/>
      <c r="G1519" s="20"/>
    </row>
    <row r="1520" spans="1:8">
      <c r="A1520" s="211" t="s">
        <v>502</v>
      </c>
      <c r="B1520" s="216" t="str">
        <f ca="1">_xlfn.CONCAT(B1500,A1520)</f>
        <v>E769842-S</v>
      </c>
      <c r="C1520" s="17"/>
      <c r="D1520" s="184"/>
      <c r="E1520" s="197"/>
      <c r="F1520" s="19"/>
      <c r="G1520" s="20"/>
    </row>
    <row r="1521" spans="1:8">
      <c r="A1521" s="211" t="s">
        <v>503</v>
      </c>
      <c r="B1521" s="216" t="str">
        <f ca="1">_xlfn.CONCAT(B1500,A1521)</f>
        <v>E769842-T</v>
      </c>
      <c r="C1521" s="17"/>
      <c r="D1521" s="184"/>
      <c r="E1521" s="197"/>
      <c r="F1521" s="19"/>
      <c r="G1521" s="20"/>
    </row>
    <row r="1522" spans="1:8" ht="14.25" thickBot="1">
      <c r="A1522" s="211" t="s">
        <v>504</v>
      </c>
      <c r="B1522" s="216" t="str">
        <f ca="1">_xlfn.CONCAT(B1500,A1522)</f>
        <v>E769842-U</v>
      </c>
      <c r="C1522" s="17"/>
      <c r="D1522" s="184"/>
      <c r="E1522" s="197"/>
      <c r="F1522" s="19"/>
      <c r="G1522" s="20"/>
    </row>
    <row r="1523" spans="1:8" ht="16.5" customHeight="1" thickBot="1">
      <c r="A1523" s="211" t="s">
        <v>505</v>
      </c>
      <c r="B1523" s="216" t="str">
        <f ca="1">_xlfn.CONCAT(B1500,A1523)</f>
        <v>E769842-V</v>
      </c>
      <c r="C1523" s="17" t="s">
        <v>17</v>
      </c>
      <c r="D1523" s="192" t="s">
        <v>17</v>
      </c>
      <c r="E1523" s="18"/>
      <c r="F1523" s="22" t="s">
        <v>18</v>
      </c>
      <c r="G1523" s="23">
        <f>SUM(G1502:G1522)</f>
        <v>113295.13333333333</v>
      </c>
    </row>
    <row r="1524" spans="1:8" ht="28.5" customHeight="1" thickBot="1">
      <c r="A1524" s="211" t="s">
        <v>506</v>
      </c>
      <c r="B1524" s="216" t="str">
        <f ca="1">_xlfn.CONCAT(B1500,A1524)</f>
        <v>E769842-W</v>
      </c>
      <c r="C1524" s="10" t="s">
        <v>19</v>
      </c>
      <c r="D1524" s="190"/>
      <c r="E1524" s="11"/>
      <c r="F1524" s="12"/>
      <c r="G1524" s="13"/>
    </row>
    <row r="1525" spans="1:8" s="47" customFormat="1" ht="23.25" customHeight="1" thickBot="1">
      <c r="A1525" s="211" t="s">
        <v>507</v>
      </c>
      <c r="B1525" s="216" t="str">
        <f ca="1">_xlfn.CONCAT(B1500,A1525)</f>
        <v>E769842-X</v>
      </c>
      <c r="C1525" s="14" t="s">
        <v>1</v>
      </c>
      <c r="D1525" s="15"/>
      <c r="E1525" s="15" t="s">
        <v>20</v>
      </c>
      <c r="F1525" s="16" t="s">
        <v>21</v>
      </c>
      <c r="G1525" s="15" t="s">
        <v>5</v>
      </c>
      <c r="H1525" s="215"/>
    </row>
    <row r="1526" spans="1:8">
      <c r="A1526" s="211" t="s">
        <v>508</v>
      </c>
      <c r="B1526" s="216" t="str">
        <f ca="1">_xlfn.CONCAT(B1500,A1526)</f>
        <v>E769842-Y</v>
      </c>
      <c r="C1526" s="24" t="s">
        <v>22</v>
      </c>
      <c r="D1526" s="184"/>
      <c r="E1526" s="25">
        <f>_xlfn.XLOOKUP(C1526,'H-MO'!B$7:B$30,'H-MO'!D$7:D$30,,0,1)</f>
        <v>2436.5624999999995</v>
      </c>
      <c r="F1526" s="19">
        <v>0.3</v>
      </c>
      <c r="G1526" s="33">
        <f t="shared" ref="G1526:G1531" si="43">+E1526*F1526</f>
        <v>730.96874999999989</v>
      </c>
    </row>
    <row r="1527" spans="1:8">
      <c r="A1527" s="211" t="s">
        <v>509</v>
      </c>
      <c r="B1527" s="216" t="str">
        <f ca="1">_xlfn.CONCAT(B1500,A1527)</f>
        <v>E769842-Z</v>
      </c>
      <c r="C1527" s="24" t="s">
        <v>23</v>
      </c>
      <c r="D1527" s="184"/>
      <c r="E1527" s="25">
        <f>_xlfn.XLOOKUP(C1527,'H-MO'!B$7:B$30,'H-MO'!D$7:D$30,,0,1)</f>
        <v>1461.9374999999998</v>
      </c>
      <c r="F1527" s="19">
        <v>9.7711304347826086E-2</v>
      </c>
      <c r="G1527" s="33">
        <f t="shared" si="43"/>
        <v>142.84781999999998</v>
      </c>
    </row>
    <row r="1528" spans="1:8">
      <c r="A1528" s="211" t="s">
        <v>510</v>
      </c>
      <c r="B1528" s="216" t="str">
        <f ca="1">_xlfn.CONCAT(B1500,A1528)</f>
        <v>E769842-aa</v>
      </c>
      <c r="C1528" s="24" t="s">
        <v>24</v>
      </c>
      <c r="D1528" s="185"/>
      <c r="E1528" s="25">
        <f>_xlfn.XLOOKUP(C1528,'H-MO'!B$7:B$30,'H-MO'!D$7:D$30,,0,1)</f>
        <v>29238.749999999996</v>
      </c>
      <c r="F1528" s="28">
        <v>1.6285217391304348E-3</v>
      </c>
      <c r="G1528" s="33">
        <f t="shared" si="43"/>
        <v>47.615939999999995</v>
      </c>
    </row>
    <row r="1529" spans="1:8">
      <c r="A1529" s="211" t="s">
        <v>511</v>
      </c>
      <c r="B1529" s="216" t="str">
        <f ca="1">_xlfn.CONCAT(B1500,A1529)</f>
        <v>E769842-ab</v>
      </c>
      <c r="C1529" s="24" t="s">
        <v>25</v>
      </c>
      <c r="D1529" s="185"/>
      <c r="E1529" s="25">
        <f>_xlfn.XLOOKUP(C1529,'H-MO'!B$7:B$30,'H-MO'!D$7:D$30,,0,1)</f>
        <v>2761.4374999999995</v>
      </c>
      <c r="F1529" s="28">
        <v>0.3</v>
      </c>
      <c r="G1529" s="33">
        <f t="shared" si="43"/>
        <v>828.43124999999986</v>
      </c>
    </row>
    <row r="1530" spans="1:8">
      <c r="A1530" s="211" t="s">
        <v>512</v>
      </c>
      <c r="B1530" s="216" t="str">
        <f ca="1">_xlfn.CONCAT(B1500,A1530)</f>
        <v>E769842-ac</v>
      </c>
      <c r="C1530" s="24"/>
      <c r="D1530" s="185"/>
      <c r="E1530" s="29"/>
      <c r="F1530" s="28"/>
      <c r="G1530" s="33">
        <f t="shared" si="43"/>
        <v>0</v>
      </c>
    </row>
    <row r="1531" spans="1:8" ht="14.25" thickBot="1">
      <c r="A1531" s="211" t="s">
        <v>513</v>
      </c>
      <c r="B1531" s="216" t="str">
        <f ca="1">_xlfn.CONCAT(B1500,A1531)</f>
        <v>E769842-ad</v>
      </c>
      <c r="C1531" s="24"/>
      <c r="D1531" s="185"/>
      <c r="E1531" s="29"/>
      <c r="F1531" s="28"/>
      <c r="G1531" s="33">
        <f t="shared" si="43"/>
        <v>0</v>
      </c>
    </row>
    <row r="1532" spans="1:8" ht="16.5" customHeight="1" thickBot="1">
      <c r="A1532" s="211" t="s">
        <v>514</v>
      </c>
      <c r="B1532" s="216" t="str">
        <f ca="1">_xlfn.CONCAT(B1500,A1532)</f>
        <v>E769842-ae</v>
      </c>
      <c r="C1532" s="17"/>
      <c r="D1532" s="192"/>
      <c r="E1532" s="18"/>
      <c r="F1532" s="22" t="s">
        <v>26</v>
      </c>
      <c r="G1532" s="23">
        <f>SUM(G1526:G1531)</f>
        <v>1749.8637599999997</v>
      </c>
    </row>
    <row r="1533" spans="1:8" ht="28.5" customHeight="1" thickBot="1">
      <c r="A1533" s="211" t="s">
        <v>515</v>
      </c>
      <c r="B1533" s="216" t="str">
        <f ca="1">_xlfn.CONCAT(B1500,A1533)</f>
        <v>E769842-af</v>
      </c>
      <c r="C1533" s="10" t="s">
        <v>27</v>
      </c>
      <c r="D1533" s="190"/>
      <c r="E1533" s="11"/>
      <c r="F1533" s="12"/>
      <c r="G1533" s="13"/>
    </row>
    <row r="1534" spans="1:8" s="47" customFormat="1" ht="23.25" customHeight="1" thickBot="1">
      <c r="A1534" s="211" t="s">
        <v>516</v>
      </c>
      <c r="B1534" s="216" t="str">
        <f ca="1">_xlfn.CONCAT(B1500,A1534)</f>
        <v>E769842-ag</v>
      </c>
      <c r="C1534" s="14" t="s">
        <v>1</v>
      </c>
      <c r="D1534" s="15" t="s">
        <v>28</v>
      </c>
      <c r="E1534" s="15" t="s">
        <v>20</v>
      </c>
      <c r="F1534" s="16" t="s">
        <v>21</v>
      </c>
      <c r="G1534" s="15" t="s">
        <v>5</v>
      </c>
      <c r="H1534" s="215"/>
    </row>
    <row r="1535" spans="1:8">
      <c r="A1535" s="211" t="s">
        <v>517</v>
      </c>
      <c r="B1535" s="216" t="str">
        <f ca="1">_xlfn.CONCAT(B1500,A1535)</f>
        <v>E769842-ah</v>
      </c>
      <c r="C1535" s="30" t="s">
        <v>29</v>
      </c>
      <c r="D1535" s="186">
        <f>'H-MO'!$N$77</f>
        <v>725918.52892505517</v>
      </c>
      <c r="E1535" s="31">
        <f>+D1535/8</f>
        <v>90739.816115631897</v>
      </c>
      <c r="F1535" s="32">
        <v>0.35</v>
      </c>
      <c r="G1535" s="33">
        <f>+E1535*F1535</f>
        <v>31758.935640471162</v>
      </c>
    </row>
    <row r="1536" spans="1:8">
      <c r="A1536" s="211" t="s">
        <v>518</v>
      </c>
      <c r="B1536" s="216" t="str">
        <f ca="1">_xlfn.CONCAT(B1500,A1536)</f>
        <v>E769842-ai</v>
      </c>
      <c r="C1536" s="34" t="s">
        <v>30</v>
      </c>
      <c r="D1536" s="187">
        <f>'H-MO'!$N$86</f>
        <v>685561.39085756091</v>
      </c>
      <c r="E1536" s="29">
        <f>+D1536/8</f>
        <v>85695.173857195114</v>
      </c>
      <c r="F1536" s="28">
        <v>0.05</v>
      </c>
      <c r="G1536" s="33">
        <f>+E1536*F1536</f>
        <v>4284.7586928597557</v>
      </c>
    </row>
    <row r="1537" spans="1:8" ht="14.25" thickBot="1">
      <c r="A1537" s="211" t="s">
        <v>519</v>
      </c>
      <c r="B1537" s="216" t="str">
        <f ca="1">_xlfn.CONCAT(B1500,A1537)</f>
        <v>E769842-aj</v>
      </c>
      <c r="C1537" s="34"/>
      <c r="D1537" s="187"/>
      <c r="E1537" s="29"/>
      <c r="F1537" s="28"/>
      <c r="G1537" s="33">
        <f>+E1537*F1537</f>
        <v>0</v>
      </c>
    </row>
    <row r="1538" spans="1:8" ht="17.25" customHeight="1" thickBot="1">
      <c r="A1538" s="211" t="s">
        <v>520</v>
      </c>
      <c r="B1538" s="216" t="str">
        <f ca="1">_xlfn.CONCAT(B1500,A1538)</f>
        <v>E769842-ak</v>
      </c>
      <c r="C1538" s="34"/>
      <c r="D1538" s="185"/>
      <c r="E1538" s="26"/>
      <c r="F1538" s="36" t="s">
        <v>31</v>
      </c>
      <c r="G1538" s="23">
        <f>SUM(G1535:G1537)</f>
        <v>36043.694333330917</v>
      </c>
    </row>
    <row r="1539" spans="1:8" ht="14.25" thickBot="1">
      <c r="A1539" s="211" t="s">
        <v>521</v>
      </c>
      <c r="B1539" s="216" t="str">
        <f ca="1">_xlfn.CONCAT(B1500,A1539)</f>
        <v>E769842-al</v>
      </c>
      <c r="C1539" s="37"/>
      <c r="E1539" s="38"/>
      <c r="F1539" s="22"/>
      <c r="G1539" s="39"/>
    </row>
    <row r="1540" spans="1:8" ht="23.25" customHeight="1" thickBot="1">
      <c r="A1540" s="211" t="s">
        <v>522</v>
      </c>
      <c r="B1540" s="216" t="str">
        <f ca="1">_xlfn.CONCAT(B1500,A1540)</f>
        <v>E769842-am</v>
      </c>
      <c r="C1540" s="40"/>
      <c r="D1540" s="193"/>
      <c r="E1540" s="41"/>
      <c r="F1540" s="42"/>
      <c r="G1540" s="43">
        <f>+G1523+G1532+G1538</f>
        <v>151088.69142666424</v>
      </c>
    </row>
    <row r="1541" spans="1:8" ht="21">
      <c r="B1541" s="212" t="s">
        <v>550</v>
      </c>
      <c r="C1541" s="2"/>
      <c r="D1541" s="183"/>
      <c r="F1541" s="4"/>
      <c r="G1541" s="5"/>
    </row>
    <row r="1542" spans="1:8" s="45" customFormat="1" ht="34.5" customHeight="1">
      <c r="A1542" s="213"/>
      <c r="B1542" s="214"/>
      <c r="C1542" s="245"/>
      <c r="D1542" s="245"/>
      <c r="E1542" s="245"/>
      <c r="F1542" s="245"/>
      <c r="G1542" s="245"/>
      <c r="H1542" s="213"/>
    </row>
    <row r="1543" spans="1:8" s="47" customFormat="1" ht="24.95" customHeight="1" thickBot="1">
      <c r="A1543" s="215"/>
      <c r="B1543" s="216"/>
      <c r="C1543" s="7"/>
      <c r="D1543" s="194"/>
      <c r="E1543" s="8"/>
      <c r="F1543" s="9"/>
      <c r="G1543" s="8"/>
      <c r="H1543" s="215"/>
    </row>
    <row r="1544" spans="1:8" ht="28.5" customHeight="1" thickBot="1">
      <c r="C1544" s="10"/>
      <c r="D1544" s="190"/>
      <c r="E1544" s="11"/>
      <c r="F1544" s="12"/>
      <c r="G1544" s="13"/>
    </row>
    <row r="1545" spans="1:8" s="47" customFormat="1" ht="23.25" customHeight="1" thickBot="1">
      <c r="A1545" s="215"/>
      <c r="B1545" s="216"/>
      <c r="C1545" s="14"/>
      <c r="D1545" s="15"/>
      <c r="E1545" s="15"/>
      <c r="F1545" s="16"/>
      <c r="G1545" s="15"/>
      <c r="H1545" s="215"/>
    </row>
    <row r="1546" spans="1:8">
      <c r="A1546" s="211" t="s">
        <v>484</v>
      </c>
      <c r="B1546" s="216"/>
      <c r="C1546" s="17"/>
      <c r="D1546" s="195"/>
      <c r="E1546" s="18"/>
      <c r="F1546" s="19"/>
      <c r="G1546" s="20"/>
    </row>
    <row r="1547" spans="1:8">
      <c r="A1547" s="211" t="s">
        <v>485</v>
      </c>
      <c r="C1547" s="17"/>
      <c r="D1547" s="184"/>
      <c r="E1547" s="18"/>
      <c r="F1547" s="19"/>
      <c r="G1547" s="20"/>
    </row>
    <row r="1548" spans="1:8">
      <c r="A1548" s="211" t="s">
        <v>486</v>
      </c>
      <c r="C1548" s="17"/>
      <c r="D1548" s="184"/>
      <c r="E1548" s="18"/>
      <c r="F1548" s="19"/>
      <c r="G1548" s="20"/>
    </row>
    <row r="1549" spans="1:8">
      <c r="A1549" s="211" t="s">
        <v>487</v>
      </c>
      <c r="C1549" s="17"/>
      <c r="D1549" s="184"/>
      <c r="E1549" s="18"/>
      <c r="F1549" s="19"/>
      <c r="G1549" s="20"/>
    </row>
    <row r="1550" spans="1:8">
      <c r="A1550" s="211" t="s">
        <v>488</v>
      </c>
      <c r="C1550" s="17"/>
      <c r="D1550" s="184"/>
      <c r="E1550" s="18"/>
      <c r="F1550" s="19"/>
      <c r="G1550" s="20"/>
    </row>
    <row r="1551" spans="1:8">
      <c r="A1551" s="211" t="s">
        <v>489</v>
      </c>
      <c r="C1551" s="17"/>
      <c r="D1551" s="184"/>
      <c r="E1551" s="18"/>
      <c r="F1551" s="19"/>
      <c r="G1551" s="20"/>
    </row>
    <row r="1552" spans="1:8">
      <c r="A1552" s="211" t="s">
        <v>490</v>
      </c>
      <c r="C1552" s="17"/>
      <c r="D1552" s="184"/>
      <c r="E1552" s="18"/>
      <c r="F1552" s="19"/>
      <c r="G1552" s="20"/>
    </row>
    <row r="1553" spans="1:1">
      <c r="A1553" s="211" t="s">
        <v>491</v>
      </c>
    </row>
    <row r="1554" spans="1:1">
      <c r="A1554" s="211" t="s">
        <v>492</v>
      </c>
    </row>
    <row r="1555" spans="1:1">
      <c r="A1555" s="211" t="s">
        <v>493</v>
      </c>
    </row>
    <row r="1556" spans="1:1">
      <c r="A1556" s="211" t="s">
        <v>494</v>
      </c>
    </row>
    <row r="1557" spans="1:1">
      <c r="A1557" s="211" t="s">
        <v>495</v>
      </c>
    </row>
    <row r="1558" spans="1:1">
      <c r="A1558" s="211" t="s">
        <v>496</v>
      </c>
    </row>
    <row r="1559" spans="1:1">
      <c r="A1559" s="211" t="s">
        <v>497</v>
      </c>
    </row>
    <row r="1560" spans="1:1">
      <c r="A1560" s="211" t="s">
        <v>498</v>
      </c>
    </row>
    <row r="1561" spans="1:1">
      <c r="A1561" s="211" t="s">
        <v>499</v>
      </c>
    </row>
    <row r="1562" spans="1:1">
      <c r="A1562" s="211" t="s">
        <v>500</v>
      </c>
    </row>
    <row r="1563" spans="1:1">
      <c r="A1563" s="211" t="s">
        <v>501</v>
      </c>
    </row>
    <row r="1564" spans="1:1">
      <c r="A1564" s="211" t="s">
        <v>502</v>
      </c>
    </row>
    <row r="1565" spans="1:1">
      <c r="A1565" s="211" t="s">
        <v>503</v>
      </c>
    </row>
    <row r="1566" spans="1:1" ht="14.25" thickBot="1">
      <c r="A1566" s="211" t="s">
        <v>504</v>
      </c>
    </row>
    <row r="1567" spans="1:1" ht="16.5" customHeight="1" thickBot="1">
      <c r="A1567" s="211" t="s">
        <v>505</v>
      </c>
    </row>
    <row r="1568" spans="1:1" ht="28.5" customHeight="1" thickBot="1">
      <c r="A1568" s="211" t="s">
        <v>506</v>
      </c>
    </row>
    <row r="1569" spans="1:1" s="47" customFormat="1" ht="23.25" customHeight="1" thickBot="1">
      <c r="A1569" s="211" t="s">
        <v>507</v>
      </c>
    </row>
    <row r="1570" spans="1:1">
      <c r="A1570" s="211" t="s">
        <v>508</v>
      </c>
    </row>
    <row r="1571" spans="1:1">
      <c r="A1571" s="211" t="s">
        <v>509</v>
      </c>
    </row>
    <row r="1572" spans="1:1">
      <c r="A1572" s="211" t="s">
        <v>510</v>
      </c>
    </row>
    <row r="1573" spans="1:1">
      <c r="A1573" s="211" t="s">
        <v>511</v>
      </c>
    </row>
    <row r="1574" spans="1:1">
      <c r="A1574" s="211" t="s">
        <v>512</v>
      </c>
    </row>
    <row r="1575" spans="1:1" ht="14.25" thickBot="1">
      <c r="A1575" s="211" t="s">
        <v>513</v>
      </c>
    </row>
    <row r="1576" spans="1:1" ht="16.5" customHeight="1" thickBot="1">
      <c r="A1576" s="211" t="s">
        <v>514</v>
      </c>
    </row>
    <row r="1577" spans="1:1" ht="28.5" customHeight="1" thickBot="1">
      <c r="A1577" s="211" t="s">
        <v>515</v>
      </c>
    </row>
    <row r="1578" spans="1:1" s="47" customFormat="1" ht="23.25" customHeight="1" thickBot="1">
      <c r="A1578" s="211" t="s">
        <v>516</v>
      </c>
    </row>
    <row r="1579" spans="1:1">
      <c r="A1579" s="211" t="s">
        <v>517</v>
      </c>
    </row>
    <row r="1580" spans="1:1">
      <c r="A1580" s="211" t="s">
        <v>518</v>
      </c>
    </row>
    <row r="1581" spans="1:1" ht="14.25" thickBot="1">
      <c r="A1581" s="211" t="s">
        <v>519</v>
      </c>
    </row>
    <row r="1582" spans="1:1" ht="17.25" customHeight="1" thickBot="1">
      <c r="A1582" s="211" t="s">
        <v>520</v>
      </c>
    </row>
    <row r="1583" spans="1:1" ht="14.25" thickBot="1">
      <c r="A1583" s="211" t="s">
        <v>521</v>
      </c>
    </row>
    <row r="1584" spans="1:1" ht="23.25" customHeight="1" thickBot="1">
      <c r="A1584" s="211" t="s">
        <v>522</v>
      </c>
    </row>
    <row r="1586" spans="1:7" s="45" customFormat="1" ht="34.5" customHeight="1">
      <c r="A1586" s="213"/>
      <c r="B1586" s="214"/>
      <c r="C1586" s="245"/>
      <c r="D1586" s="245"/>
      <c r="E1586" s="245"/>
      <c r="F1586" s="245"/>
      <c r="G1586" s="245"/>
    </row>
    <row r="1587" spans="1:7" s="47" customFormat="1" ht="24.95" customHeight="1" thickBot="1">
      <c r="A1587" s="215"/>
      <c r="B1587" s="216"/>
      <c r="C1587" s="7"/>
      <c r="D1587" s="194"/>
      <c r="E1587" s="8"/>
      <c r="F1587" s="9"/>
      <c r="G1587" s="8"/>
    </row>
    <row r="1588" spans="1:7" ht="28.5" customHeight="1" thickBot="1">
      <c r="C1588" s="10"/>
      <c r="D1588" s="190"/>
      <c r="E1588" s="11"/>
      <c r="F1588" s="12"/>
      <c r="G1588" s="13"/>
    </row>
    <row r="1589" spans="1:7" s="47" customFormat="1" ht="23.25" customHeight="1" thickBot="1">
      <c r="A1589" s="215"/>
      <c r="B1589" s="216"/>
      <c r="C1589" s="14"/>
      <c r="D1589" s="15"/>
      <c r="E1589" s="15"/>
      <c r="F1589" s="16"/>
      <c r="G1589" s="15"/>
    </row>
    <row r="1590" spans="1:7">
      <c r="A1590" s="211" t="s">
        <v>484</v>
      </c>
      <c r="B1590" s="216"/>
      <c r="C1590" s="17"/>
      <c r="D1590" s="195"/>
      <c r="E1590" s="18"/>
      <c r="F1590" s="19"/>
      <c r="G1590" s="20"/>
    </row>
    <row r="1591" spans="1:7">
      <c r="A1591" s="211" t="s">
        <v>485</v>
      </c>
      <c r="C1591" s="17"/>
      <c r="D1591" s="184"/>
      <c r="E1591" s="18"/>
      <c r="F1591" s="19"/>
      <c r="G1591" s="20"/>
    </row>
    <row r="1592" spans="1:7">
      <c r="A1592" s="211" t="s">
        <v>486</v>
      </c>
      <c r="C1592" s="17"/>
      <c r="D1592" s="184"/>
      <c r="E1592" s="18"/>
      <c r="F1592" s="19"/>
      <c r="G1592" s="20"/>
    </row>
    <row r="1593" spans="1:7">
      <c r="A1593" s="211" t="s">
        <v>487</v>
      </c>
      <c r="C1593" s="17"/>
      <c r="D1593" s="184"/>
      <c r="E1593" s="18"/>
      <c r="F1593" s="19"/>
      <c r="G1593" s="20"/>
    </row>
    <row r="1594" spans="1:7">
      <c r="A1594" s="211" t="s">
        <v>488</v>
      </c>
      <c r="C1594" s="17"/>
      <c r="D1594" s="184"/>
      <c r="E1594" s="18"/>
      <c r="F1594" s="19"/>
      <c r="G1594" s="20"/>
    </row>
    <row r="1595" spans="1:7">
      <c r="A1595" s="211" t="s">
        <v>489</v>
      </c>
      <c r="C1595" s="17"/>
      <c r="D1595" s="184"/>
      <c r="E1595" s="18"/>
      <c r="F1595" s="19"/>
      <c r="G1595" s="20"/>
    </row>
    <row r="1596" spans="1:7">
      <c r="A1596" s="211" t="s">
        <v>490</v>
      </c>
      <c r="C1596" s="17"/>
      <c r="D1596" s="184"/>
      <c r="E1596" s="18"/>
      <c r="F1596" s="19"/>
      <c r="G1596" s="20"/>
    </row>
    <row r="1597" spans="1:7">
      <c r="A1597" s="211" t="s">
        <v>491</v>
      </c>
      <c r="C1597" s="17"/>
      <c r="D1597" s="184"/>
      <c r="E1597" s="18"/>
      <c r="F1597" s="19"/>
      <c r="G1597" s="20"/>
    </row>
    <row r="1598" spans="1:7">
      <c r="A1598" s="211" t="s">
        <v>492</v>
      </c>
      <c r="C1598" s="17"/>
      <c r="D1598" s="184"/>
      <c r="E1598" s="18"/>
      <c r="F1598" s="19"/>
      <c r="G1598" s="20"/>
    </row>
    <row r="1599" spans="1:7">
      <c r="A1599" s="211" t="s">
        <v>493</v>
      </c>
      <c r="C1599" s="17"/>
      <c r="D1599" s="184"/>
      <c r="E1599" s="18"/>
      <c r="F1599" s="19"/>
      <c r="G1599" s="20"/>
    </row>
    <row r="1600" spans="1:7">
      <c r="A1600" s="211" t="s">
        <v>494</v>
      </c>
      <c r="C1600" s="17"/>
      <c r="D1600" s="184"/>
      <c r="E1600" s="18"/>
      <c r="F1600" s="19"/>
      <c r="G1600" s="20"/>
    </row>
    <row r="1601" spans="1:1">
      <c r="A1601" s="211" t="s">
        <v>495</v>
      </c>
    </row>
    <row r="1602" spans="1:1">
      <c r="A1602" s="211" t="s">
        <v>496</v>
      </c>
    </row>
    <row r="1603" spans="1:1">
      <c r="A1603" s="211" t="s">
        <v>497</v>
      </c>
    </row>
    <row r="1604" spans="1:1">
      <c r="A1604" s="211" t="s">
        <v>498</v>
      </c>
    </row>
    <row r="1605" spans="1:1">
      <c r="A1605" s="211" t="s">
        <v>499</v>
      </c>
    </row>
    <row r="1606" spans="1:1">
      <c r="A1606" s="211" t="s">
        <v>500</v>
      </c>
    </row>
    <row r="1607" spans="1:1">
      <c r="A1607" s="211" t="s">
        <v>501</v>
      </c>
    </row>
    <row r="1608" spans="1:1">
      <c r="A1608" s="211" t="s">
        <v>502</v>
      </c>
    </row>
    <row r="1609" spans="1:1">
      <c r="A1609" s="211" t="s">
        <v>503</v>
      </c>
    </row>
    <row r="1610" spans="1:1" ht="14.25" thickBot="1">
      <c r="A1610" s="211" t="s">
        <v>504</v>
      </c>
    </row>
    <row r="1611" spans="1:1" ht="16.5" customHeight="1" thickBot="1">
      <c r="A1611" s="211" t="s">
        <v>505</v>
      </c>
    </row>
    <row r="1612" spans="1:1" ht="28.5" customHeight="1" thickBot="1">
      <c r="A1612" s="211" t="s">
        <v>506</v>
      </c>
    </row>
    <row r="1613" spans="1:1" s="47" customFormat="1" ht="23.25" customHeight="1" thickBot="1">
      <c r="A1613" s="211" t="s">
        <v>507</v>
      </c>
    </row>
    <row r="1614" spans="1:1">
      <c r="A1614" s="211" t="s">
        <v>508</v>
      </c>
    </row>
    <row r="1615" spans="1:1">
      <c r="A1615" s="211" t="s">
        <v>509</v>
      </c>
    </row>
    <row r="1616" spans="1:1">
      <c r="A1616" s="211" t="s">
        <v>510</v>
      </c>
    </row>
    <row r="1617" spans="1:8">
      <c r="A1617" s="211" t="s">
        <v>511</v>
      </c>
      <c r="C1617" s="24"/>
      <c r="D1617" s="185"/>
      <c r="E1617" s="27"/>
      <c r="F1617" s="28"/>
      <c r="G1617" s="33"/>
    </row>
    <row r="1618" spans="1:8">
      <c r="A1618" s="211" t="s">
        <v>512</v>
      </c>
      <c r="C1618" s="24"/>
      <c r="D1618" s="185"/>
      <c r="E1618" s="29"/>
      <c r="F1618" s="28"/>
      <c r="G1618" s="33"/>
    </row>
    <row r="1619" spans="1:8" ht="14.25" thickBot="1">
      <c r="A1619" s="211" t="s">
        <v>513</v>
      </c>
      <c r="C1619" s="24"/>
      <c r="D1619" s="185"/>
      <c r="E1619" s="29"/>
      <c r="F1619" s="28"/>
      <c r="G1619" s="33"/>
    </row>
    <row r="1620" spans="1:8" ht="16.5" customHeight="1" thickBot="1">
      <c r="A1620" s="211" t="s">
        <v>514</v>
      </c>
      <c r="C1620" s="17"/>
      <c r="D1620" s="192"/>
      <c r="E1620" s="18"/>
      <c r="F1620" s="22"/>
      <c r="G1620" s="23"/>
    </row>
    <row r="1621" spans="1:8" ht="28.5" customHeight="1" thickBot="1">
      <c r="A1621" s="211" t="s">
        <v>515</v>
      </c>
      <c r="C1621" s="10"/>
      <c r="D1621" s="190"/>
      <c r="E1621" s="11"/>
      <c r="F1621" s="12"/>
      <c r="G1621" s="13"/>
    </row>
    <row r="1622" spans="1:8" s="47" customFormat="1" ht="23.25" customHeight="1" thickBot="1">
      <c r="A1622" s="211" t="s">
        <v>516</v>
      </c>
      <c r="B1622" s="216"/>
      <c r="C1622" s="14"/>
      <c r="D1622" s="15"/>
      <c r="E1622" s="15"/>
      <c r="F1622" s="16"/>
      <c r="G1622" s="15"/>
      <c r="H1622" s="215"/>
    </row>
    <row r="1623" spans="1:8">
      <c r="A1623" s="211" t="s">
        <v>517</v>
      </c>
      <c r="C1623" s="30"/>
      <c r="D1623" s="186"/>
      <c r="E1623" s="31"/>
      <c r="F1623" s="32"/>
      <c r="G1623" s="33"/>
    </row>
    <row r="1624" spans="1:8">
      <c r="A1624" s="211" t="s">
        <v>518</v>
      </c>
      <c r="C1624" s="34"/>
      <c r="D1624" s="187"/>
      <c r="E1624" s="29"/>
      <c r="F1624" s="28"/>
      <c r="G1624" s="33"/>
    </row>
    <row r="1625" spans="1:8" ht="14.25" thickBot="1">
      <c r="A1625" s="211" t="s">
        <v>519</v>
      </c>
      <c r="C1625" s="34"/>
      <c r="D1625" s="187"/>
      <c r="E1625" s="29"/>
      <c r="F1625" s="28"/>
      <c r="G1625" s="35"/>
    </row>
    <row r="1626" spans="1:8" ht="17.25" customHeight="1" thickBot="1">
      <c r="A1626" s="211" t="s">
        <v>520</v>
      </c>
      <c r="C1626" s="34"/>
      <c r="D1626" s="185"/>
      <c r="E1626" s="26"/>
      <c r="F1626" s="36"/>
      <c r="G1626" s="23"/>
    </row>
    <row r="1627" spans="1:8" ht="14.25" thickBot="1">
      <c r="A1627" s="211" t="s">
        <v>521</v>
      </c>
      <c r="C1627" s="37"/>
      <c r="E1627" s="38"/>
      <c r="F1627" s="22"/>
      <c r="G1627" s="39"/>
    </row>
    <row r="1628" spans="1:8" ht="23.25" customHeight="1" thickBot="1">
      <c r="A1628" s="211" t="s">
        <v>522</v>
      </c>
      <c r="C1628" s="40"/>
      <c r="D1628" s="193"/>
      <c r="E1628" s="41"/>
      <c r="F1628" s="42"/>
      <c r="G1628" s="43"/>
    </row>
    <row r="1629" spans="1:8" ht="21.75" thickBot="1">
      <c r="C1629" s="2"/>
      <c r="D1629" s="183"/>
      <c r="F1629" s="4"/>
      <c r="G1629" s="5"/>
    </row>
    <row r="1630" spans="1:8" s="45" customFormat="1" ht="34.5" customHeight="1">
      <c r="A1630" s="213"/>
      <c r="B1630" s="214">
        <v>38</v>
      </c>
      <c r="C1630" s="242" t="str">
        <f ca="1">_xlfn.XLOOKUP(B1630,Cantidades!$A$10:$A$314,Cantidades!$C$10:$C$314,,0,1)</f>
        <v>Suministro e instalación de salida luminaria lineal 20 W. Incluye caja de conexión, cable #12 AWG de cobre, tubería SCH 40 y demás accesorios para su correcta instalación,  fincionamiento y señalización.</v>
      </c>
      <c r="D1630" s="243"/>
      <c r="E1630" s="243"/>
      <c r="F1630" s="243"/>
      <c r="G1630" s="244"/>
      <c r="H1630" s="213"/>
    </row>
    <row r="1631" spans="1:8" s="47" customFormat="1" ht="24.95" customHeight="1" thickBot="1">
      <c r="A1631" s="215"/>
      <c r="B1631" s="216" t="s">
        <v>550</v>
      </c>
      <c r="C1631" s="177"/>
      <c r="D1631" s="189"/>
      <c r="E1631" s="178"/>
      <c r="F1631" s="179" t="s">
        <v>636</v>
      </c>
      <c r="G1631" s="209" t="str">
        <f ca="1">B1632</f>
        <v>1D88FCEF-</v>
      </c>
      <c r="H1631" s="215"/>
    </row>
    <row r="1632" spans="1:8" ht="28.5" customHeight="1" thickBot="1">
      <c r="B1632" s="212" t="str">
        <f ca="1">_xlfn.XLOOKUP(C1630,Cantidades!$C$1:$C$314,Cantidades!$B$1:$B$314,"",0,1)</f>
        <v>1D88FCEF-</v>
      </c>
      <c r="C1632" s="10" t="s">
        <v>0</v>
      </c>
      <c r="D1632" s="190"/>
      <c r="E1632" s="11"/>
      <c r="F1632" s="12"/>
      <c r="G1632" s="13"/>
    </row>
    <row r="1633" spans="1:8" s="47" customFormat="1" ht="23.25" customHeight="1" thickBot="1">
      <c r="A1633" s="215"/>
      <c r="B1633" s="216" t="s">
        <v>550</v>
      </c>
      <c r="C1633" s="14" t="s">
        <v>1</v>
      </c>
      <c r="D1633" s="15" t="s">
        <v>2</v>
      </c>
      <c r="E1633" s="15" t="s">
        <v>3</v>
      </c>
      <c r="F1633" s="16" t="s">
        <v>4</v>
      </c>
      <c r="G1633" s="15" t="s">
        <v>5</v>
      </c>
      <c r="H1633" s="215"/>
    </row>
    <row r="1634" spans="1:8" ht="15">
      <c r="A1634" s="211" t="s">
        <v>484</v>
      </c>
      <c r="B1634" s="216" t="str">
        <f ca="1">_xlfn.CONCAT(B1632,A1634)</f>
        <v>1D88FCEF-A</v>
      </c>
      <c r="C1634" s="17" t="str">
        <f>_xlfn.XLOOKUP(H1634,'Materiales unitario'!$A$1:$A$2500,'Materiales unitario'!B$1:B$2500,,0,1)</f>
        <v>Tubo Conduit PVC Sch40 1-2 Pulgadas</v>
      </c>
      <c r="D1634" s="184" t="str">
        <f>_xlfn.XLOOKUP(H1634,'Materiales unitario'!A$1:A$2500,'Materiales unitario'!C$1:C$2500,,0,1)</f>
        <v>ml</v>
      </c>
      <c r="E1634" s="197">
        <f>_xlfn.XLOOKUP(H1634,'Materiales unitario'!$A$1:$A$2500,'Materiales unitario'!D$1:D$2500,,0,1)</f>
        <v>2966.6666666666665</v>
      </c>
      <c r="F1634" s="19">
        <v>3.2</v>
      </c>
      <c r="G1634" s="20">
        <f>+E1634*F1634</f>
        <v>9493.3333333333339</v>
      </c>
      <c r="H1634" s="217" t="s">
        <v>601</v>
      </c>
    </row>
    <row r="1635" spans="1:8" ht="15">
      <c r="A1635" s="211" t="s">
        <v>485</v>
      </c>
      <c r="B1635" s="216" t="str">
        <f ca="1">_xlfn.CONCAT(B1632,A1635)</f>
        <v>1D88FCEF-B</v>
      </c>
      <c r="C1635" s="17" t="str">
        <f>_xlfn.XLOOKUP(H1635,'Materiales unitario'!$A$1:$A$2500,'Materiales unitario'!B$1:B$2500,,0,1)</f>
        <v>Tubo Conduit PVC SCH40 3-4 Pulgadas</v>
      </c>
      <c r="D1635" s="184" t="str">
        <f>_xlfn.XLOOKUP(H1635,'Materiales unitario'!A$1:A$2500,'Materiales unitario'!C$1:C$2500,,0,1)</f>
        <v>ml</v>
      </c>
      <c r="E1635" s="197">
        <f>_xlfn.XLOOKUP(H1635,'Materiales unitario'!$A$1:$A$2500,'Materiales unitario'!D$1:D$2500,,0,1)</f>
        <v>3966.6666666666665</v>
      </c>
      <c r="F1635" s="19">
        <v>0.8</v>
      </c>
      <c r="G1635" s="20">
        <f t="shared" ref="G1635:G1645" si="44">+E1635*F1635</f>
        <v>3173.3333333333335</v>
      </c>
      <c r="H1635" s="217" t="s">
        <v>602</v>
      </c>
    </row>
    <row r="1636" spans="1:8" ht="15">
      <c r="A1636" s="211" t="s">
        <v>486</v>
      </c>
      <c r="B1636" s="216" t="str">
        <f ca="1">_xlfn.CONCAT(B1632,A1636)</f>
        <v>1D88FCEF-C</v>
      </c>
      <c r="C1636" s="17" t="str">
        <f>_xlfn.XLOOKUP(H1636,'Materiales unitario'!$A$1:$A$2500,'Materiales unitario'!B$1:B$2500,,0,1)</f>
        <v>Adaptador terminal PVC ø1/2"</v>
      </c>
      <c r="D1636" s="184" t="str">
        <f>_xlfn.XLOOKUP(H1636,'Materiales unitario'!A$1:A$2500,'Materiales unitario'!C$1:C$2500,,0,1)</f>
        <v>un</v>
      </c>
      <c r="E1636" s="197">
        <f>_xlfn.XLOOKUP(H1636,'Materiales unitario'!$A$1:$A$2500,'Materiales unitario'!D$1:D$2500,,0,1)</f>
        <v>720</v>
      </c>
      <c r="F1636" s="19">
        <v>2</v>
      </c>
      <c r="G1636" s="20">
        <f t="shared" si="44"/>
        <v>1440</v>
      </c>
      <c r="H1636" s="217" t="s">
        <v>603</v>
      </c>
    </row>
    <row r="1637" spans="1:8" ht="15">
      <c r="A1637" s="211" t="s">
        <v>487</v>
      </c>
      <c r="B1637" s="216" t="str">
        <f ca="1">_xlfn.CONCAT(B1632,A1637)</f>
        <v>1D88FCEF-D</v>
      </c>
      <c r="C1637" s="17" t="str">
        <f>_xlfn.XLOOKUP(H1637,'Materiales unitario'!$A$1:$A$2500,'Materiales unitario'!B$1:B$2500,,0,1)</f>
        <v>Adaptador terminal PVC ø3/4"</v>
      </c>
      <c r="D1637" s="184" t="str">
        <f>_xlfn.XLOOKUP(H1637,'Materiales unitario'!A$1:A$2500,'Materiales unitario'!C$1:C$2500,,0,1)</f>
        <v>un</v>
      </c>
      <c r="E1637" s="197">
        <f>_xlfn.XLOOKUP(H1637,'Materiales unitario'!$A$1:$A$2500,'Materiales unitario'!D$1:D$2500,,0,1)</f>
        <v>920</v>
      </c>
      <c r="F1637" s="19">
        <v>0.3</v>
      </c>
      <c r="G1637" s="20">
        <f t="shared" si="44"/>
        <v>276</v>
      </c>
      <c r="H1637" s="217" t="s">
        <v>604</v>
      </c>
    </row>
    <row r="1638" spans="1:8" ht="15">
      <c r="A1638" s="211" t="s">
        <v>488</v>
      </c>
      <c r="B1638" s="216" t="str">
        <f ca="1">_xlfn.CONCAT(B1632,A1638)</f>
        <v>1D88FCEF-E</v>
      </c>
      <c r="C1638" s="17" t="str">
        <f>_xlfn.XLOOKUP(H1638,'Materiales unitario'!$A$1:$A$2500,'Materiales unitario'!B$1:B$2500,,0,1)</f>
        <v>Caja galvanizada ref. 2400 (Cal. 20)</v>
      </c>
      <c r="D1638" s="184" t="str">
        <f>_xlfn.XLOOKUP(H1638,'Materiales unitario'!A$1:A$2500,'Materiales unitario'!C$1:C$2500,,0,1)</f>
        <v>un</v>
      </c>
      <c r="E1638" s="197">
        <f>_xlfn.XLOOKUP(H1638,'Materiales unitario'!$A$1:$A$2500,'Materiales unitario'!D$1:D$2500,,0,1)</f>
        <v>3150</v>
      </c>
      <c r="F1638" s="19">
        <v>0.1</v>
      </c>
      <c r="G1638" s="20">
        <f t="shared" si="44"/>
        <v>315</v>
      </c>
      <c r="H1638" s="217" t="s">
        <v>605</v>
      </c>
    </row>
    <row r="1639" spans="1:8" ht="15">
      <c r="A1639" s="211" t="s">
        <v>489</v>
      </c>
      <c r="B1639" s="216" t="str">
        <f ca="1">_xlfn.CONCAT(B1632,A1639)</f>
        <v>1D88FCEF-F</v>
      </c>
      <c r="C1639" s="17" t="str">
        <f>_xlfn.XLOOKUP(H1639,'Materiales unitario'!$A$1:$A$2500,'Materiales unitario'!B$1:B$2500,,0,1)</f>
        <v>Caja galvanizada ref. 5800 (Cal. 20)</v>
      </c>
      <c r="D1639" s="184" t="str">
        <f>_xlfn.XLOOKUP(H1639,'Materiales unitario'!A$1:A$2500,'Materiales unitario'!C$1:C$2500,,0,1)</f>
        <v>un</v>
      </c>
      <c r="E1639" s="197">
        <f>_xlfn.XLOOKUP(H1639,'Materiales unitario'!$A$1:$A$2500,'Materiales unitario'!D$1:D$2500,,0,1)</f>
        <v>2900</v>
      </c>
      <c r="F1639" s="19">
        <v>0.1</v>
      </c>
      <c r="G1639" s="20">
        <f t="shared" si="44"/>
        <v>290</v>
      </c>
      <c r="H1639" s="217" t="s">
        <v>606</v>
      </c>
    </row>
    <row r="1640" spans="1:8" ht="15">
      <c r="A1640" s="211" t="s">
        <v>490</v>
      </c>
      <c r="B1640" s="216" t="str">
        <f ca="1">_xlfn.CONCAT(B1632,A1640)</f>
        <v>1D88FCEF-G</v>
      </c>
      <c r="C1640" s="17" t="str">
        <f>_xlfn.XLOOKUP(H1640,'Materiales unitario'!$A$1:$A$2500,'Materiales unitario'!B$1:B$2500,,0,1)</f>
        <v>Caja galvanizada octagonal (Cal. 20)</v>
      </c>
      <c r="D1640" s="184" t="str">
        <f>_xlfn.XLOOKUP(H1640,'Materiales unitario'!A$1:A$2500,'Materiales unitario'!C$1:C$2500,,0,1)</f>
        <v>un</v>
      </c>
      <c r="E1640" s="197">
        <f>_xlfn.XLOOKUP(H1640,'Materiales unitario'!$A$1:$A$2500,'Materiales unitario'!D$1:D$2500,,0,1)</f>
        <v>2900</v>
      </c>
      <c r="F1640" s="19">
        <v>0.9</v>
      </c>
      <c r="G1640" s="20">
        <f t="shared" si="44"/>
        <v>2610</v>
      </c>
      <c r="H1640" s="217" t="s">
        <v>607</v>
      </c>
    </row>
    <row r="1641" spans="1:8" ht="15">
      <c r="A1641" s="211" t="s">
        <v>491</v>
      </c>
      <c r="B1641" s="216" t="str">
        <f ca="1">_xlfn.CONCAT(B1632,A1641)</f>
        <v>1D88FCEF-H</v>
      </c>
      <c r="C1641" s="17" t="str">
        <f>_xlfn.XLOOKUP(H1641,'Materiales unitario'!$A$1:$A$2500,'Materiales unitario'!B$1:B$2500,,0,1)</f>
        <v xml:space="preserve">Tornillo lámina #14x1/2" goloso </v>
      </c>
      <c r="D1641" s="184" t="str">
        <f>_xlfn.XLOOKUP(H1641,'Materiales unitario'!A$1:A$2500,'Materiales unitario'!C$1:C$2500,,0,1)</f>
        <v>un</v>
      </c>
      <c r="E1641" s="197">
        <f>_xlfn.XLOOKUP(H1641,'Materiales unitario'!$A$1:$A$2500,'Materiales unitario'!D$1:D$2500,,0,1)</f>
        <v>200</v>
      </c>
      <c r="F1641" s="19">
        <v>2</v>
      </c>
      <c r="G1641" s="20">
        <f t="shared" si="44"/>
        <v>400</v>
      </c>
      <c r="H1641" s="217" t="s">
        <v>608</v>
      </c>
    </row>
    <row r="1642" spans="1:8" ht="15">
      <c r="A1642" s="211" t="s">
        <v>492</v>
      </c>
      <c r="B1642" s="216" t="str">
        <f ca="1">_xlfn.CONCAT(B1632,A1642)</f>
        <v>1D88FCEF-I</v>
      </c>
      <c r="C1642" s="17" t="str">
        <f>_xlfn.XLOOKUP(H1642,'Materiales unitario'!$A$1:$A$2500,'Materiales unitario'!B$1:B$2500,,0,1)</f>
        <v>Suplemento galvanizado de ø1/4" (Cal. 24)</v>
      </c>
      <c r="D1642" s="184" t="str">
        <f>_xlfn.XLOOKUP(H1642,'Materiales unitario'!A$1:A$2500,'Materiales unitario'!C$1:C$2500,,0,1)</f>
        <v>un</v>
      </c>
      <c r="E1642" s="197">
        <f>_xlfn.XLOOKUP(H1642,'Materiales unitario'!$A$1:$A$2500,'Materiales unitario'!D$1:D$2500,,0,1)</f>
        <v>1200</v>
      </c>
      <c r="F1642" s="19">
        <v>0.5</v>
      </c>
      <c r="G1642" s="20">
        <f t="shared" si="44"/>
        <v>600</v>
      </c>
      <c r="H1642" s="217" t="s">
        <v>609</v>
      </c>
    </row>
    <row r="1643" spans="1:8" ht="15">
      <c r="A1643" s="211" t="s">
        <v>493</v>
      </c>
      <c r="B1643" s="216" t="str">
        <f ca="1">_xlfn.CONCAT(B1632,A1643)</f>
        <v>1D88FCEF-J</v>
      </c>
      <c r="C1643" s="17" t="str">
        <f>_xlfn.XLOOKUP(H1643,'Materiales unitario'!$A$1:$A$2500,'Materiales unitario'!B$1:B$2500,,0,1)</f>
        <v>Conector de resorte rojo "R" 18-10 AWG</v>
      </c>
      <c r="D1643" s="184" t="str">
        <f>_xlfn.XLOOKUP(H1643,'Materiales unitario'!A$1:A$2500,'Materiales unitario'!C$1:C$2500,,0,1)</f>
        <v>un</v>
      </c>
      <c r="E1643" s="197">
        <f>_xlfn.XLOOKUP(H1643,'Materiales unitario'!$A$1:$A$2500,'Materiales unitario'!D$1:D$2500,,0,1)</f>
        <v>280</v>
      </c>
      <c r="F1643" s="19">
        <v>3</v>
      </c>
      <c r="G1643" s="20">
        <f t="shared" si="44"/>
        <v>840</v>
      </c>
      <c r="H1643" s="217" t="s">
        <v>302</v>
      </c>
    </row>
    <row r="1644" spans="1:8" ht="15">
      <c r="A1644" s="211" t="s">
        <v>494</v>
      </c>
      <c r="B1644" s="216" t="str">
        <f ca="1">_xlfn.CONCAT(B1632,A1644)</f>
        <v>1D88FCEF-K</v>
      </c>
      <c r="C1644" s="17" t="str">
        <f>_xlfn.XLOOKUP(H1644,'Materiales unitario'!$A$1:$A$2500,'Materiales unitario'!B$1:B$2500,,0,1)</f>
        <v>Soldadura liquida PVC 1/4 de galón</v>
      </c>
      <c r="D1644" s="184" t="str">
        <f>_xlfn.XLOOKUP(H1644,'Materiales unitario'!A$1:A$2500,'Materiales unitario'!C$1:C$2500,,0,1)</f>
        <v>un</v>
      </c>
      <c r="E1644" s="197">
        <f>_xlfn.XLOOKUP(H1644,'Materiales unitario'!$A$1:$A$2500,'Materiales unitario'!D$1:D$2500,,0,1)</f>
        <v>60900</v>
      </c>
      <c r="F1644" s="19">
        <v>1.2E-2</v>
      </c>
      <c r="G1644" s="20">
        <f t="shared" si="44"/>
        <v>730.80000000000007</v>
      </c>
      <c r="H1644" s="217" t="s">
        <v>530</v>
      </c>
    </row>
    <row r="1645" spans="1:8" ht="15">
      <c r="A1645" s="211" t="s">
        <v>495</v>
      </c>
      <c r="B1645" s="216" t="str">
        <f ca="1">_xlfn.CONCAT(B1632,A1645)</f>
        <v>1D88FCEF-L</v>
      </c>
      <c r="C1645" s="17" t="str">
        <f>_xlfn.XLOOKUP(H1645,'Materiales unitario'!$A$1:$A$2500,'Materiales unitario'!B$1:B$2500,,0,1)</f>
        <v>Cable de cobre aislado #12 AWG-THHN/THWN Color negro</v>
      </c>
      <c r="D1645" s="184" t="str">
        <f>_xlfn.XLOOKUP(H1645,'Materiales unitario'!A$1:A$2500,'Materiales unitario'!C$1:C$2500,,0,1)</f>
        <v>ml</v>
      </c>
      <c r="E1645" s="197">
        <f>_xlfn.XLOOKUP(H1645,'Materiales unitario'!$A$1:$A$2500,'Materiales unitario'!D$1:D$2500,,0,1)</f>
        <v>3020</v>
      </c>
      <c r="F1645" s="19">
        <v>15</v>
      </c>
      <c r="G1645" s="20">
        <f t="shared" si="44"/>
        <v>45300</v>
      </c>
      <c r="H1645" s="217" t="s">
        <v>267</v>
      </c>
    </row>
    <row r="1646" spans="1:8" ht="15">
      <c r="A1646" s="211" t="s">
        <v>496</v>
      </c>
      <c r="B1646" s="216" t="str">
        <f ca="1">_xlfn.CONCAT(B1632,A1646)</f>
        <v>1D88FCEF-M</v>
      </c>
      <c r="C1646" s="17"/>
      <c r="D1646" s="184"/>
      <c r="E1646" s="197"/>
      <c r="F1646" s="19"/>
      <c r="G1646" s="20"/>
      <c r="H1646" s="217"/>
    </row>
    <row r="1647" spans="1:8">
      <c r="A1647" s="211" t="s">
        <v>497</v>
      </c>
      <c r="B1647" s="216" t="str">
        <f ca="1">_xlfn.CONCAT(B1632,A1647)</f>
        <v>1D88FCEF-N</v>
      </c>
      <c r="C1647" s="17"/>
      <c r="D1647" s="184"/>
      <c r="E1647" s="197"/>
      <c r="F1647" s="19"/>
      <c r="G1647" s="20"/>
    </row>
    <row r="1648" spans="1:8">
      <c r="A1648" s="211" t="s">
        <v>498</v>
      </c>
      <c r="B1648" s="216" t="str">
        <f ca="1">_xlfn.CONCAT(B1632,A1648)</f>
        <v>1D88FCEF-O</v>
      </c>
      <c r="C1648" s="17"/>
      <c r="D1648" s="184"/>
      <c r="E1648" s="197"/>
      <c r="F1648" s="19"/>
      <c r="G1648" s="20"/>
    </row>
    <row r="1649" spans="1:8">
      <c r="A1649" s="211" t="s">
        <v>499</v>
      </c>
      <c r="B1649" s="216" t="str">
        <f ca="1">_xlfn.CONCAT(B1632,A1649)</f>
        <v>1D88FCEF-P</v>
      </c>
      <c r="C1649" s="17"/>
      <c r="D1649" s="184"/>
      <c r="E1649" s="197"/>
      <c r="F1649" s="19"/>
      <c r="G1649" s="20"/>
    </row>
    <row r="1650" spans="1:8">
      <c r="A1650" s="211" t="s">
        <v>500</v>
      </c>
      <c r="B1650" s="216" t="str">
        <f ca="1">_xlfn.CONCAT(B1632,A1650)</f>
        <v>1D88FCEF-Q</v>
      </c>
      <c r="C1650" s="17"/>
      <c r="D1650" s="184"/>
      <c r="E1650" s="197"/>
      <c r="F1650" s="19"/>
      <c r="G1650" s="20"/>
    </row>
    <row r="1651" spans="1:8">
      <c r="A1651" s="211" t="s">
        <v>501</v>
      </c>
      <c r="B1651" s="216" t="str">
        <f ca="1">_xlfn.CONCAT(B1632,A1651)</f>
        <v>1D88FCEF-R</v>
      </c>
      <c r="C1651" s="17"/>
      <c r="D1651" s="184"/>
      <c r="E1651" s="197"/>
      <c r="F1651" s="19"/>
      <c r="G1651" s="20"/>
    </row>
    <row r="1652" spans="1:8">
      <c r="A1652" s="211" t="s">
        <v>502</v>
      </c>
      <c r="B1652" s="216" t="str">
        <f ca="1">_xlfn.CONCAT(B1632,A1652)</f>
        <v>1D88FCEF-S</v>
      </c>
      <c r="C1652" s="17"/>
      <c r="D1652" s="184"/>
      <c r="E1652" s="197"/>
      <c r="F1652" s="19"/>
      <c r="G1652" s="20"/>
    </row>
    <row r="1653" spans="1:8">
      <c r="A1653" s="211" t="s">
        <v>503</v>
      </c>
      <c r="B1653" s="216" t="str">
        <f ca="1">_xlfn.CONCAT(B1632,A1653)</f>
        <v>1D88FCEF-T</v>
      </c>
      <c r="C1653" s="17"/>
      <c r="D1653" s="184"/>
      <c r="E1653" s="197"/>
      <c r="F1653" s="19"/>
      <c r="G1653" s="20"/>
    </row>
    <row r="1654" spans="1:8" ht="14.25" thickBot="1">
      <c r="A1654" s="211" t="s">
        <v>504</v>
      </c>
      <c r="B1654" s="216" t="str">
        <f ca="1">_xlfn.CONCAT(B1632,A1654)</f>
        <v>1D88FCEF-U</v>
      </c>
      <c r="C1654" s="17"/>
      <c r="D1654" s="184"/>
      <c r="E1654" s="197"/>
      <c r="F1654" s="19"/>
      <c r="G1654" s="20"/>
    </row>
    <row r="1655" spans="1:8" ht="16.5" customHeight="1" thickBot="1">
      <c r="A1655" s="211" t="s">
        <v>505</v>
      </c>
      <c r="B1655" s="216" t="str">
        <f ca="1">_xlfn.CONCAT(B1632,A1655)</f>
        <v>1D88FCEF-V</v>
      </c>
      <c r="C1655" s="17" t="s">
        <v>17</v>
      </c>
      <c r="D1655" s="192" t="s">
        <v>17</v>
      </c>
      <c r="E1655" s="18"/>
      <c r="F1655" s="22" t="s">
        <v>18</v>
      </c>
      <c r="G1655" s="23">
        <f>SUM(G1634:G1654)</f>
        <v>65468.466666666667</v>
      </c>
    </row>
    <row r="1656" spans="1:8" ht="28.5" customHeight="1" thickBot="1">
      <c r="A1656" s="211" t="s">
        <v>506</v>
      </c>
      <c r="B1656" s="216" t="str">
        <f ca="1">_xlfn.CONCAT(B1632,A1656)</f>
        <v>1D88FCEF-W</v>
      </c>
      <c r="C1656" s="10" t="s">
        <v>19</v>
      </c>
      <c r="D1656" s="190"/>
      <c r="E1656" s="11"/>
      <c r="F1656" s="12"/>
      <c r="G1656" s="13"/>
    </row>
    <row r="1657" spans="1:8" s="47" customFormat="1" ht="23.25" customHeight="1" thickBot="1">
      <c r="A1657" s="211" t="s">
        <v>507</v>
      </c>
      <c r="B1657" s="216" t="str">
        <f ca="1">_xlfn.CONCAT(B1632,A1657)</f>
        <v>1D88FCEF-X</v>
      </c>
      <c r="C1657" s="14" t="s">
        <v>1</v>
      </c>
      <c r="D1657" s="15"/>
      <c r="E1657" s="15" t="s">
        <v>20</v>
      </c>
      <c r="F1657" s="16" t="s">
        <v>21</v>
      </c>
      <c r="G1657" s="15" t="s">
        <v>5</v>
      </c>
      <c r="H1657" s="215"/>
    </row>
    <row r="1658" spans="1:8">
      <c r="A1658" s="211" t="s">
        <v>508</v>
      </c>
      <c r="B1658" s="216" t="str">
        <f ca="1">_xlfn.CONCAT(B1632,A1658)</f>
        <v>1D88FCEF-Y</v>
      </c>
      <c r="C1658" s="24" t="s">
        <v>22</v>
      </c>
      <c r="D1658" s="184"/>
      <c r="E1658" s="25">
        <f>_xlfn.XLOOKUP(C1658,'H-MO'!B$7:B$30,'H-MO'!D$7:D$30,,0,1)</f>
        <v>2436.5624999999995</v>
      </c>
      <c r="F1658" s="19">
        <v>0.3</v>
      </c>
      <c r="G1658" s="33">
        <f t="shared" ref="G1658:G1663" si="45">+E1658*F1658</f>
        <v>730.96874999999989</v>
      </c>
    </row>
    <row r="1659" spans="1:8">
      <c r="A1659" s="211" t="s">
        <v>509</v>
      </c>
      <c r="B1659" s="216" t="str">
        <f ca="1">_xlfn.CONCAT(B1632,A1659)</f>
        <v>1D88FCEF-Z</v>
      </c>
      <c r="C1659" s="24" t="s">
        <v>23</v>
      </c>
      <c r="D1659" s="184"/>
      <c r="E1659" s="25">
        <f>_xlfn.XLOOKUP(C1659,'H-MO'!B$7:B$30,'H-MO'!D$7:D$30,,0,1)</f>
        <v>1461.9374999999998</v>
      </c>
      <c r="F1659" s="19">
        <v>9.7711304347826086E-2</v>
      </c>
      <c r="G1659" s="33">
        <f t="shared" si="45"/>
        <v>142.84781999999998</v>
      </c>
    </row>
    <row r="1660" spans="1:8">
      <c r="A1660" s="211" t="s">
        <v>510</v>
      </c>
      <c r="B1660" s="216" t="str">
        <f ca="1">_xlfn.CONCAT(B1632,A1660)</f>
        <v>1D88FCEF-aa</v>
      </c>
      <c r="C1660" s="24" t="s">
        <v>24</v>
      </c>
      <c r="D1660" s="185"/>
      <c r="E1660" s="25">
        <f>_xlfn.XLOOKUP(C1660,'H-MO'!B$7:B$30,'H-MO'!D$7:D$30,,0,1)</f>
        <v>29238.749999999996</v>
      </c>
      <c r="F1660" s="28">
        <v>1.6285217391304348E-3</v>
      </c>
      <c r="G1660" s="33">
        <f t="shared" si="45"/>
        <v>47.615939999999995</v>
      </c>
    </row>
    <row r="1661" spans="1:8">
      <c r="A1661" s="211" t="s">
        <v>511</v>
      </c>
      <c r="B1661" s="216" t="str">
        <f ca="1">_xlfn.CONCAT(B1632,A1661)</f>
        <v>1D88FCEF-ab</v>
      </c>
      <c r="C1661" s="24" t="s">
        <v>25</v>
      </c>
      <c r="D1661" s="185"/>
      <c r="E1661" s="25">
        <f>_xlfn.XLOOKUP(C1661,'H-MO'!B$7:B$30,'H-MO'!D$7:D$30,,0,1)</f>
        <v>2761.4374999999995</v>
      </c>
      <c r="F1661" s="28">
        <v>0.3</v>
      </c>
      <c r="G1661" s="33">
        <f t="shared" si="45"/>
        <v>828.43124999999986</v>
      </c>
    </row>
    <row r="1662" spans="1:8">
      <c r="A1662" s="211" t="s">
        <v>512</v>
      </c>
      <c r="B1662" s="216" t="str">
        <f ca="1">_xlfn.CONCAT(B1632,A1662)</f>
        <v>1D88FCEF-ac</v>
      </c>
      <c r="C1662" s="24"/>
      <c r="D1662" s="185"/>
      <c r="E1662" s="29"/>
      <c r="F1662" s="28"/>
      <c r="G1662" s="33">
        <f t="shared" si="45"/>
        <v>0</v>
      </c>
    </row>
    <row r="1663" spans="1:8" ht="14.25" thickBot="1">
      <c r="A1663" s="211" t="s">
        <v>513</v>
      </c>
      <c r="B1663" s="216" t="str">
        <f ca="1">_xlfn.CONCAT(B1632,A1663)</f>
        <v>1D88FCEF-ad</v>
      </c>
      <c r="C1663" s="24"/>
      <c r="D1663" s="185"/>
      <c r="E1663" s="29"/>
      <c r="F1663" s="28"/>
      <c r="G1663" s="33">
        <f t="shared" si="45"/>
        <v>0</v>
      </c>
    </row>
    <row r="1664" spans="1:8" ht="16.5" customHeight="1" thickBot="1">
      <c r="A1664" s="211" t="s">
        <v>514</v>
      </c>
      <c r="B1664" s="216" t="str">
        <f ca="1">_xlfn.CONCAT(B1632,A1664)</f>
        <v>1D88FCEF-ae</v>
      </c>
      <c r="C1664" s="17"/>
      <c r="D1664" s="192"/>
      <c r="E1664" s="18"/>
      <c r="F1664" s="22" t="s">
        <v>26</v>
      </c>
      <c r="G1664" s="23">
        <f>SUM(G1658:G1663)</f>
        <v>1749.8637599999997</v>
      </c>
    </row>
    <row r="1665" spans="1:8" ht="28.5" customHeight="1" thickBot="1">
      <c r="A1665" s="211" t="s">
        <v>515</v>
      </c>
      <c r="B1665" s="216" t="str">
        <f ca="1">_xlfn.CONCAT(B1632,A1665)</f>
        <v>1D88FCEF-af</v>
      </c>
      <c r="C1665" s="10" t="s">
        <v>27</v>
      </c>
      <c r="D1665" s="190"/>
      <c r="E1665" s="11"/>
      <c r="F1665" s="12"/>
      <c r="G1665" s="13"/>
    </row>
    <row r="1666" spans="1:8" s="47" customFormat="1" ht="23.25" customHeight="1" thickBot="1">
      <c r="A1666" s="211" t="s">
        <v>516</v>
      </c>
      <c r="B1666" s="216" t="str">
        <f ca="1">_xlfn.CONCAT(B1632,A1666)</f>
        <v>1D88FCEF-ag</v>
      </c>
      <c r="C1666" s="14" t="s">
        <v>1</v>
      </c>
      <c r="D1666" s="15" t="s">
        <v>28</v>
      </c>
      <c r="E1666" s="15" t="s">
        <v>20</v>
      </c>
      <c r="F1666" s="16" t="s">
        <v>21</v>
      </c>
      <c r="G1666" s="15" t="s">
        <v>5</v>
      </c>
      <c r="H1666" s="215"/>
    </row>
    <row r="1667" spans="1:8">
      <c r="A1667" s="211" t="s">
        <v>517</v>
      </c>
      <c r="B1667" s="216" t="str">
        <f ca="1">_xlfn.CONCAT(B1632,A1667)</f>
        <v>1D88FCEF-ah</v>
      </c>
      <c r="C1667" s="30" t="s">
        <v>29</v>
      </c>
      <c r="D1667" s="186">
        <f>'H-MO'!$N$77</f>
        <v>725918.52892505517</v>
      </c>
      <c r="E1667" s="31">
        <f>+D1667/8</f>
        <v>90739.816115631897</v>
      </c>
      <c r="F1667" s="32">
        <v>0.3</v>
      </c>
      <c r="G1667" s="33">
        <f>+E1667*F1667</f>
        <v>27221.94483468957</v>
      </c>
    </row>
    <row r="1668" spans="1:8">
      <c r="A1668" s="211" t="s">
        <v>518</v>
      </c>
      <c r="B1668" s="216" t="str">
        <f ca="1">_xlfn.CONCAT(B1632,A1668)</f>
        <v>1D88FCEF-ai</v>
      </c>
      <c r="C1668" s="34" t="s">
        <v>30</v>
      </c>
      <c r="D1668" s="187">
        <f>'H-MO'!$N$86</f>
        <v>685561.39085756091</v>
      </c>
      <c r="E1668" s="29">
        <f>+D1668/8</f>
        <v>85695.173857195114</v>
      </c>
      <c r="F1668" s="28">
        <v>0.05</v>
      </c>
      <c r="G1668" s="33">
        <f>+E1668*F1668</f>
        <v>4284.7586928597557</v>
      </c>
    </row>
    <row r="1669" spans="1:8" ht="14.25" thickBot="1">
      <c r="A1669" s="211" t="s">
        <v>519</v>
      </c>
      <c r="B1669" s="216" t="str">
        <f ca="1">_xlfn.CONCAT(B1632,A1669)</f>
        <v>1D88FCEF-aj</v>
      </c>
      <c r="C1669" s="34"/>
      <c r="D1669" s="187"/>
      <c r="E1669" s="29"/>
      <c r="F1669" s="28"/>
      <c r="G1669" s="33">
        <f>+E1669*F1669</f>
        <v>0</v>
      </c>
    </row>
    <row r="1670" spans="1:8" ht="17.25" customHeight="1" thickBot="1">
      <c r="A1670" s="211" t="s">
        <v>520</v>
      </c>
      <c r="B1670" s="216" t="str">
        <f ca="1">_xlfn.CONCAT(B1632,A1670)</f>
        <v>1D88FCEF-ak</v>
      </c>
      <c r="C1670" s="34"/>
      <c r="D1670" s="185"/>
      <c r="E1670" s="26"/>
      <c r="F1670" s="36" t="s">
        <v>31</v>
      </c>
      <c r="G1670" s="23">
        <f>SUM(G1667:G1669)</f>
        <v>31506.703527549325</v>
      </c>
    </row>
    <row r="1671" spans="1:8" ht="14.25" thickBot="1">
      <c r="A1671" s="211" t="s">
        <v>521</v>
      </c>
      <c r="B1671" s="216" t="str">
        <f ca="1">_xlfn.CONCAT(B1632,A1671)</f>
        <v>1D88FCEF-al</v>
      </c>
      <c r="C1671" s="37"/>
      <c r="E1671" s="38"/>
      <c r="F1671" s="22"/>
      <c r="G1671" s="39"/>
    </row>
    <row r="1672" spans="1:8" ht="23.25" customHeight="1" thickBot="1">
      <c r="A1672" s="211" t="s">
        <v>522</v>
      </c>
      <c r="B1672" s="216" t="str">
        <f ca="1">_xlfn.CONCAT(B1632,A1672)</f>
        <v>1D88FCEF-am</v>
      </c>
      <c r="C1672" s="40"/>
      <c r="D1672" s="193"/>
      <c r="E1672" s="41"/>
      <c r="F1672" s="42"/>
      <c r="G1672" s="43">
        <f>+G1655+G1664+G1670</f>
        <v>98725.033954215993</v>
      </c>
    </row>
    <row r="1673" spans="1:8" ht="21.75" thickBot="1">
      <c r="B1673" s="212" t="s">
        <v>550</v>
      </c>
      <c r="C1673" s="2"/>
      <c r="D1673" s="183"/>
      <c r="F1673" s="4"/>
      <c r="G1673" s="5"/>
    </row>
    <row r="1674" spans="1:8" s="45" customFormat="1" ht="34.5" customHeight="1">
      <c r="A1674" s="213"/>
      <c r="B1674" s="214">
        <v>39</v>
      </c>
      <c r="C1674" s="242" t="str">
        <f ca="1">_xlfn.XLOOKUP(B1674,Cantidades!$A$10:$A$314,Cantidades!$C$10:$C$314,,0,1)</f>
        <v xml:space="preserve">Suministro e instalación de Salida aplique. Incluye caja de conexión, cable #12 AWG de cobre, tubería SCH 40 y demás accesorios para su correcta instalación,  fincionamiento y señalización. </v>
      </c>
      <c r="D1674" s="243"/>
      <c r="E1674" s="243"/>
      <c r="F1674" s="243"/>
      <c r="G1674" s="244"/>
      <c r="H1674" s="213"/>
    </row>
    <row r="1675" spans="1:8" s="47" customFormat="1" ht="24.95" customHeight="1" thickBot="1">
      <c r="A1675" s="215"/>
      <c r="B1675" s="216" t="s">
        <v>550</v>
      </c>
      <c r="C1675" s="177"/>
      <c r="D1675" s="189"/>
      <c r="E1675" s="178"/>
      <c r="F1675" s="179" t="s">
        <v>636</v>
      </c>
      <c r="G1675" s="209" t="str">
        <f ca="1">B1676</f>
        <v>C1D1F7D-</v>
      </c>
      <c r="H1675" s="215"/>
    </row>
    <row r="1676" spans="1:8" ht="28.5" customHeight="1" thickBot="1">
      <c r="B1676" s="212" t="str">
        <f ca="1">_xlfn.XLOOKUP(C1674,Cantidades!$C$1:$C$314,Cantidades!$B$1:$B$314,"",0,1)</f>
        <v>C1D1F7D-</v>
      </c>
      <c r="C1676" s="10" t="s">
        <v>0</v>
      </c>
      <c r="D1676" s="190"/>
      <c r="E1676" s="11"/>
      <c r="F1676" s="12"/>
      <c r="G1676" s="13"/>
    </row>
    <row r="1677" spans="1:8" s="47" customFormat="1" ht="23.25" customHeight="1" thickBot="1">
      <c r="A1677" s="215"/>
      <c r="B1677" s="216" t="s">
        <v>550</v>
      </c>
      <c r="C1677" s="14" t="s">
        <v>1</v>
      </c>
      <c r="D1677" s="15" t="s">
        <v>2</v>
      </c>
      <c r="E1677" s="15" t="s">
        <v>3</v>
      </c>
      <c r="F1677" s="16" t="s">
        <v>4</v>
      </c>
      <c r="G1677" s="15" t="s">
        <v>5</v>
      </c>
      <c r="H1677" s="215"/>
    </row>
    <row r="1678" spans="1:8" ht="15">
      <c r="A1678" s="211" t="s">
        <v>484</v>
      </c>
      <c r="B1678" s="216" t="str">
        <f ca="1">_xlfn.CONCAT(B1676,A1678)</f>
        <v>C1D1F7D-A</v>
      </c>
      <c r="C1678" s="17" t="str">
        <f>_xlfn.XLOOKUP(H1678,'Materiales unitario'!$A$1:$A$2500,'Materiales unitario'!B$1:B$2500,,0,1)</f>
        <v>Tubo Conduit PVC Sch40 1-2 Pulgadas</v>
      </c>
      <c r="D1678" s="184" t="str">
        <f>_xlfn.XLOOKUP(H1678,'Materiales unitario'!A$1:A$2500,'Materiales unitario'!C$1:C$2500,,0,1)</f>
        <v>ml</v>
      </c>
      <c r="E1678" s="197">
        <f>_xlfn.XLOOKUP(H1678,'Materiales unitario'!$A$1:$A$2500,'Materiales unitario'!D$1:D$2500,,0,1)</f>
        <v>2966.6666666666665</v>
      </c>
      <c r="F1678" s="19">
        <v>2.2000000000000002</v>
      </c>
      <c r="G1678" s="20">
        <f>+E1678*F1678</f>
        <v>6526.666666666667</v>
      </c>
      <c r="H1678" s="217" t="s">
        <v>601</v>
      </c>
    </row>
    <row r="1679" spans="1:8" ht="15">
      <c r="A1679" s="211" t="s">
        <v>485</v>
      </c>
      <c r="B1679" s="216" t="str">
        <f ca="1">_xlfn.CONCAT(B1676,A1679)</f>
        <v>C1D1F7D-B</v>
      </c>
      <c r="C1679" s="17" t="str">
        <f>_xlfn.XLOOKUP(H1679,'Materiales unitario'!$A$1:$A$2500,'Materiales unitario'!B$1:B$2500,,0,1)</f>
        <v>Tubo Conduit PVC SCH40 3-4 Pulgadas</v>
      </c>
      <c r="D1679" s="184" t="str">
        <f>_xlfn.XLOOKUP(H1679,'Materiales unitario'!A$1:A$2500,'Materiales unitario'!C$1:C$2500,,0,1)</f>
        <v>ml</v>
      </c>
      <c r="E1679" s="197">
        <f>_xlfn.XLOOKUP(H1679,'Materiales unitario'!$A$1:$A$2500,'Materiales unitario'!D$1:D$2500,,0,1)</f>
        <v>3966.6666666666665</v>
      </c>
      <c r="F1679" s="19">
        <v>0.8</v>
      </c>
      <c r="G1679" s="20">
        <f t="shared" ref="G1679:G1689" si="46">+E1679*F1679</f>
        <v>3173.3333333333335</v>
      </c>
      <c r="H1679" s="217" t="s">
        <v>602</v>
      </c>
    </row>
    <row r="1680" spans="1:8" ht="15">
      <c r="A1680" s="211" t="s">
        <v>486</v>
      </c>
      <c r="B1680" s="216" t="str">
        <f ca="1">_xlfn.CONCAT(B1676,A1680)</f>
        <v>C1D1F7D-C</v>
      </c>
      <c r="C1680" s="17" t="str">
        <f>_xlfn.XLOOKUP(H1680,'Materiales unitario'!$A$1:$A$2500,'Materiales unitario'!B$1:B$2500,,0,1)</f>
        <v>Adaptador terminal PVC ø1/2"</v>
      </c>
      <c r="D1680" s="184" t="str">
        <f>_xlfn.XLOOKUP(H1680,'Materiales unitario'!A$1:A$2500,'Materiales unitario'!C$1:C$2500,,0,1)</f>
        <v>un</v>
      </c>
      <c r="E1680" s="197">
        <f>_xlfn.XLOOKUP(H1680,'Materiales unitario'!$A$1:$A$2500,'Materiales unitario'!D$1:D$2500,,0,1)</f>
        <v>720</v>
      </c>
      <c r="F1680" s="19">
        <v>2</v>
      </c>
      <c r="G1680" s="20">
        <f t="shared" si="46"/>
        <v>1440</v>
      </c>
      <c r="H1680" s="217" t="s">
        <v>603</v>
      </c>
    </row>
    <row r="1681" spans="1:8" ht="15">
      <c r="A1681" s="211" t="s">
        <v>487</v>
      </c>
      <c r="B1681" s="216" t="str">
        <f ca="1">_xlfn.CONCAT(B1676,A1681)</f>
        <v>C1D1F7D-D</v>
      </c>
      <c r="C1681" s="17" t="str">
        <f>_xlfn.XLOOKUP(H1681,'Materiales unitario'!$A$1:$A$2500,'Materiales unitario'!B$1:B$2500,,0,1)</f>
        <v>Adaptador terminal PVC ø3/4"</v>
      </c>
      <c r="D1681" s="184" t="str">
        <f>_xlfn.XLOOKUP(H1681,'Materiales unitario'!A$1:A$2500,'Materiales unitario'!C$1:C$2500,,0,1)</f>
        <v>un</v>
      </c>
      <c r="E1681" s="197">
        <f>_xlfn.XLOOKUP(H1681,'Materiales unitario'!$A$1:$A$2500,'Materiales unitario'!D$1:D$2500,,0,1)</f>
        <v>920</v>
      </c>
      <c r="F1681" s="19">
        <v>0.3</v>
      </c>
      <c r="G1681" s="20">
        <f t="shared" si="46"/>
        <v>276</v>
      </c>
      <c r="H1681" s="217" t="s">
        <v>604</v>
      </c>
    </row>
    <row r="1682" spans="1:8" ht="15">
      <c r="A1682" s="211" t="s">
        <v>488</v>
      </c>
      <c r="B1682" s="216" t="str">
        <f ca="1">_xlfn.CONCAT(B1676,A1682)</f>
        <v>C1D1F7D-E</v>
      </c>
      <c r="C1682" s="17" t="str">
        <f>_xlfn.XLOOKUP(H1682,'Materiales unitario'!$A$1:$A$2500,'Materiales unitario'!B$1:B$2500,,0,1)</f>
        <v>Caja galvanizada ref. 2400 (Cal. 20)</v>
      </c>
      <c r="D1682" s="184" t="str">
        <f>_xlfn.XLOOKUP(H1682,'Materiales unitario'!A$1:A$2500,'Materiales unitario'!C$1:C$2500,,0,1)</f>
        <v>un</v>
      </c>
      <c r="E1682" s="197">
        <f>_xlfn.XLOOKUP(H1682,'Materiales unitario'!$A$1:$A$2500,'Materiales unitario'!D$1:D$2500,,0,1)</f>
        <v>3150</v>
      </c>
      <c r="F1682" s="19">
        <v>0.1</v>
      </c>
      <c r="G1682" s="20">
        <f t="shared" si="46"/>
        <v>315</v>
      </c>
      <c r="H1682" s="217" t="s">
        <v>605</v>
      </c>
    </row>
    <row r="1683" spans="1:8" ht="15">
      <c r="A1683" s="211" t="s">
        <v>489</v>
      </c>
      <c r="B1683" s="216" t="str">
        <f ca="1">_xlfn.CONCAT(B1676,A1683)</f>
        <v>C1D1F7D-F</v>
      </c>
      <c r="C1683" s="17" t="str">
        <f>_xlfn.XLOOKUP(H1683,'Materiales unitario'!$A$1:$A$2500,'Materiales unitario'!B$1:B$2500,,0,1)</f>
        <v>Caja galvanizada ref. 5800 (Cal. 20)</v>
      </c>
      <c r="D1683" s="184" t="str">
        <f>_xlfn.XLOOKUP(H1683,'Materiales unitario'!A$1:A$2500,'Materiales unitario'!C$1:C$2500,,0,1)</f>
        <v>un</v>
      </c>
      <c r="E1683" s="197">
        <f>_xlfn.XLOOKUP(H1683,'Materiales unitario'!$A$1:$A$2500,'Materiales unitario'!D$1:D$2500,,0,1)</f>
        <v>2900</v>
      </c>
      <c r="F1683" s="19">
        <v>0.1</v>
      </c>
      <c r="G1683" s="20">
        <f t="shared" si="46"/>
        <v>290</v>
      </c>
      <c r="H1683" s="217" t="s">
        <v>606</v>
      </c>
    </row>
    <row r="1684" spans="1:8" ht="15">
      <c r="A1684" s="211" t="s">
        <v>490</v>
      </c>
      <c r="B1684" s="216" t="str">
        <f ca="1">_xlfn.CONCAT(B1676,A1684)</f>
        <v>C1D1F7D-G</v>
      </c>
      <c r="C1684" s="17" t="str">
        <f>_xlfn.XLOOKUP(H1684,'Materiales unitario'!$A$1:$A$2500,'Materiales unitario'!B$1:B$2500,,0,1)</f>
        <v>Caja galvanizada octagonal (Cal. 20)</v>
      </c>
      <c r="D1684" s="184" t="str">
        <f>_xlfn.XLOOKUP(H1684,'Materiales unitario'!A$1:A$2500,'Materiales unitario'!C$1:C$2500,,0,1)</f>
        <v>un</v>
      </c>
      <c r="E1684" s="197">
        <f>_xlfn.XLOOKUP(H1684,'Materiales unitario'!$A$1:$A$2500,'Materiales unitario'!D$1:D$2500,,0,1)</f>
        <v>2900</v>
      </c>
      <c r="F1684" s="19">
        <v>0.9</v>
      </c>
      <c r="G1684" s="20">
        <f t="shared" si="46"/>
        <v>2610</v>
      </c>
      <c r="H1684" s="217" t="s">
        <v>607</v>
      </c>
    </row>
    <row r="1685" spans="1:8" ht="15">
      <c r="A1685" s="211" t="s">
        <v>491</v>
      </c>
      <c r="B1685" s="216" t="str">
        <f ca="1">_xlfn.CONCAT(B1676,A1685)</f>
        <v>C1D1F7D-H</v>
      </c>
      <c r="C1685" s="17" t="str">
        <f>_xlfn.XLOOKUP(H1685,'Materiales unitario'!$A$1:$A$2500,'Materiales unitario'!B$1:B$2500,,0,1)</f>
        <v xml:space="preserve">Tornillo lámina #14x1/2" goloso </v>
      </c>
      <c r="D1685" s="184" t="str">
        <f>_xlfn.XLOOKUP(H1685,'Materiales unitario'!A$1:A$2500,'Materiales unitario'!C$1:C$2500,,0,1)</f>
        <v>un</v>
      </c>
      <c r="E1685" s="197">
        <f>_xlfn.XLOOKUP(H1685,'Materiales unitario'!$A$1:$A$2500,'Materiales unitario'!D$1:D$2500,,0,1)</f>
        <v>200</v>
      </c>
      <c r="F1685" s="19">
        <v>2</v>
      </c>
      <c r="G1685" s="20">
        <f t="shared" si="46"/>
        <v>400</v>
      </c>
      <c r="H1685" s="217" t="s">
        <v>608</v>
      </c>
    </row>
    <row r="1686" spans="1:8" ht="15">
      <c r="A1686" s="211" t="s">
        <v>492</v>
      </c>
      <c r="B1686" s="216" t="str">
        <f ca="1">_xlfn.CONCAT(B1676,A1686)</f>
        <v>C1D1F7D-I</v>
      </c>
      <c r="C1686" s="17" t="str">
        <f>_xlfn.XLOOKUP(H1686,'Materiales unitario'!$A$1:$A$2500,'Materiales unitario'!B$1:B$2500,,0,1)</f>
        <v>Suplemento galvanizado de ø1/4" (Cal. 24)</v>
      </c>
      <c r="D1686" s="184" t="str">
        <f>_xlfn.XLOOKUP(H1686,'Materiales unitario'!A$1:A$2500,'Materiales unitario'!C$1:C$2500,,0,1)</f>
        <v>un</v>
      </c>
      <c r="E1686" s="197">
        <f>_xlfn.XLOOKUP(H1686,'Materiales unitario'!$A$1:$A$2500,'Materiales unitario'!D$1:D$2500,,0,1)</f>
        <v>1200</v>
      </c>
      <c r="F1686" s="19">
        <v>0.5</v>
      </c>
      <c r="G1686" s="20">
        <f t="shared" si="46"/>
        <v>600</v>
      </c>
      <c r="H1686" s="217" t="s">
        <v>609</v>
      </c>
    </row>
    <row r="1687" spans="1:8" ht="15">
      <c r="A1687" s="211" t="s">
        <v>493</v>
      </c>
      <c r="B1687" s="216" t="str">
        <f ca="1">_xlfn.CONCAT(B1676,A1687)</f>
        <v>C1D1F7D-J</v>
      </c>
      <c r="C1687" s="17" t="str">
        <f>_xlfn.XLOOKUP(H1687,'Materiales unitario'!$A$1:$A$2500,'Materiales unitario'!B$1:B$2500,,0,1)</f>
        <v>Conector de resorte rojo "R" 18-10 AWG</v>
      </c>
      <c r="D1687" s="184" t="str">
        <f>_xlfn.XLOOKUP(H1687,'Materiales unitario'!A$1:A$2500,'Materiales unitario'!C$1:C$2500,,0,1)</f>
        <v>un</v>
      </c>
      <c r="E1687" s="197">
        <f>_xlfn.XLOOKUP(H1687,'Materiales unitario'!$A$1:$A$2500,'Materiales unitario'!D$1:D$2500,,0,1)</f>
        <v>280</v>
      </c>
      <c r="F1687" s="19">
        <v>3</v>
      </c>
      <c r="G1687" s="20">
        <f t="shared" si="46"/>
        <v>840</v>
      </c>
      <c r="H1687" s="217" t="s">
        <v>302</v>
      </c>
    </row>
    <row r="1688" spans="1:8" ht="15">
      <c r="A1688" s="211" t="s">
        <v>494</v>
      </c>
      <c r="B1688" s="216" t="str">
        <f ca="1">_xlfn.CONCAT(B1676,A1688)</f>
        <v>C1D1F7D-K</v>
      </c>
      <c r="C1688" s="17" t="str">
        <f>_xlfn.XLOOKUP(H1688,'Materiales unitario'!$A$1:$A$2500,'Materiales unitario'!B$1:B$2500,,0,1)</f>
        <v>Soldadura liquida PVC 1/4 de galón</v>
      </c>
      <c r="D1688" s="184" t="str">
        <f>_xlfn.XLOOKUP(H1688,'Materiales unitario'!A$1:A$2500,'Materiales unitario'!C$1:C$2500,,0,1)</f>
        <v>un</v>
      </c>
      <c r="E1688" s="197">
        <f>_xlfn.XLOOKUP(H1688,'Materiales unitario'!$A$1:$A$2500,'Materiales unitario'!D$1:D$2500,,0,1)</f>
        <v>60900</v>
      </c>
      <c r="F1688" s="19">
        <v>1.2E-2</v>
      </c>
      <c r="G1688" s="20">
        <f t="shared" si="46"/>
        <v>730.80000000000007</v>
      </c>
      <c r="H1688" s="217" t="s">
        <v>530</v>
      </c>
    </row>
    <row r="1689" spans="1:8" ht="15">
      <c r="A1689" s="211" t="s">
        <v>495</v>
      </c>
      <c r="B1689" s="216" t="str">
        <f ca="1">_xlfn.CONCAT(B1676,A1689)</f>
        <v>C1D1F7D-L</v>
      </c>
      <c r="C1689" s="17" t="str">
        <f>_xlfn.XLOOKUP(H1689,'Materiales unitario'!$A$1:$A$2500,'Materiales unitario'!B$1:B$2500,,0,1)</f>
        <v>Cable de cobre aislado #12 AWG-THHN/THWN Color negro</v>
      </c>
      <c r="D1689" s="184" t="str">
        <f>_xlfn.XLOOKUP(H1689,'Materiales unitario'!A$1:A$2500,'Materiales unitario'!C$1:C$2500,,0,1)</f>
        <v>ml</v>
      </c>
      <c r="E1689" s="197">
        <f>_xlfn.XLOOKUP(H1689,'Materiales unitario'!$A$1:$A$2500,'Materiales unitario'!D$1:D$2500,,0,1)</f>
        <v>3020</v>
      </c>
      <c r="F1689" s="19">
        <v>15</v>
      </c>
      <c r="G1689" s="20">
        <f t="shared" si="46"/>
        <v>45300</v>
      </c>
      <c r="H1689" s="217" t="s">
        <v>267</v>
      </c>
    </row>
    <row r="1690" spans="1:8" ht="15">
      <c r="A1690" s="211" t="s">
        <v>496</v>
      </c>
      <c r="B1690" s="216" t="str">
        <f ca="1">_xlfn.CONCAT(B1676,A1690)</f>
        <v>C1D1F7D-M</v>
      </c>
      <c r="C1690" s="17"/>
      <c r="D1690" s="184"/>
      <c r="E1690" s="197"/>
      <c r="F1690" s="19"/>
      <c r="G1690" s="20"/>
      <c r="H1690" s="217"/>
    </row>
    <row r="1691" spans="1:8">
      <c r="A1691" s="211" t="s">
        <v>497</v>
      </c>
      <c r="B1691" s="216" t="str">
        <f ca="1">_xlfn.CONCAT(B1676,A1691)</f>
        <v>C1D1F7D-N</v>
      </c>
      <c r="C1691" s="17"/>
      <c r="D1691" s="184"/>
      <c r="E1691" s="197"/>
      <c r="F1691" s="19"/>
      <c r="G1691" s="20"/>
    </row>
    <row r="1692" spans="1:8">
      <c r="A1692" s="211" t="s">
        <v>498</v>
      </c>
      <c r="B1692" s="216" t="str">
        <f ca="1">_xlfn.CONCAT(B1676,A1692)</f>
        <v>C1D1F7D-O</v>
      </c>
      <c r="C1692" s="17"/>
      <c r="D1692" s="184"/>
      <c r="E1692" s="197"/>
      <c r="F1692" s="19"/>
      <c r="G1692" s="20"/>
    </row>
    <row r="1693" spans="1:8">
      <c r="A1693" s="211" t="s">
        <v>499</v>
      </c>
      <c r="B1693" s="216" t="str">
        <f ca="1">_xlfn.CONCAT(B1676,A1693)</f>
        <v>C1D1F7D-P</v>
      </c>
      <c r="C1693" s="17"/>
      <c r="D1693" s="184"/>
      <c r="E1693" s="197"/>
      <c r="F1693" s="19"/>
      <c r="G1693" s="20"/>
    </row>
    <row r="1694" spans="1:8">
      <c r="A1694" s="211" t="s">
        <v>500</v>
      </c>
      <c r="B1694" s="216" t="str">
        <f ca="1">_xlfn.CONCAT(B1676,A1694)</f>
        <v>C1D1F7D-Q</v>
      </c>
      <c r="C1694" s="17"/>
      <c r="D1694" s="184"/>
      <c r="E1694" s="197"/>
      <c r="F1694" s="19"/>
      <c r="G1694" s="20"/>
    </row>
    <row r="1695" spans="1:8">
      <c r="A1695" s="211" t="s">
        <v>501</v>
      </c>
      <c r="B1695" s="216" t="str">
        <f ca="1">_xlfn.CONCAT(B1676,A1695)</f>
        <v>C1D1F7D-R</v>
      </c>
      <c r="C1695" s="17"/>
      <c r="D1695" s="184"/>
      <c r="E1695" s="197"/>
      <c r="F1695" s="19"/>
      <c r="G1695" s="20"/>
    </row>
    <row r="1696" spans="1:8">
      <c r="A1696" s="211" t="s">
        <v>502</v>
      </c>
      <c r="B1696" s="216" t="str">
        <f ca="1">_xlfn.CONCAT(B1676,A1696)</f>
        <v>C1D1F7D-S</v>
      </c>
      <c r="C1696" s="17"/>
      <c r="D1696" s="184"/>
      <c r="E1696" s="197"/>
      <c r="F1696" s="19"/>
      <c r="G1696" s="20"/>
    </row>
    <row r="1697" spans="1:8">
      <c r="A1697" s="211" t="s">
        <v>503</v>
      </c>
      <c r="B1697" s="216" t="str">
        <f ca="1">_xlfn.CONCAT(B1676,A1697)</f>
        <v>C1D1F7D-T</v>
      </c>
      <c r="C1697" s="17"/>
      <c r="D1697" s="184"/>
      <c r="E1697" s="197"/>
      <c r="F1697" s="19"/>
      <c r="G1697" s="20"/>
    </row>
    <row r="1698" spans="1:8" ht="14.25" thickBot="1">
      <c r="A1698" s="211" t="s">
        <v>504</v>
      </c>
      <c r="B1698" s="216" t="str">
        <f ca="1">_xlfn.CONCAT(B1676,A1698)</f>
        <v>C1D1F7D-U</v>
      </c>
      <c r="C1698" s="17"/>
      <c r="D1698" s="184"/>
      <c r="E1698" s="197"/>
      <c r="F1698" s="19"/>
      <c r="G1698" s="20"/>
    </row>
    <row r="1699" spans="1:8" ht="16.5" customHeight="1" thickBot="1">
      <c r="A1699" s="211" t="s">
        <v>505</v>
      </c>
      <c r="B1699" s="216" t="str">
        <f ca="1">_xlfn.CONCAT(B1676,A1699)</f>
        <v>C1D1F7D-V</v>
      </c>
      <c r="C1699" s="17" t="s">
        <v>17</v>
      </c>
      <c r="D1699" s="192" t="s">
        <v>17</v>
      </c>
      <c r="E1699" s="18"/>
      <c r="F1699" s="22" t="s">
        <v>18</v>
      </c>
      <c r="G1699" s="23">
        <f>SUM(G1678:G1698)</f>
        <v>62501.8</v>
      </c>
    </row>
    <row r="1700" spans="1:8" ht="28.5" customHeight="1" thickBot="1">
      <c r="A1700" s="211" t="s">
        <v>506</v>
      </c>
      <c r="B1700" s="216" t="str">
        <f ca="1">_xlfn.CONCAT(B1676,A1700)</f>
        <v>C1D1F7D-W</v>
      </c>
      <c r="C1700" s="10" t="s">
        <v>19</v>
      </c>
      <c r="D1700" s="190"/>
      <c r="E1700" s="11"/>
      <c r="F1700" s="12"/>
      <c r="G1700" s="13"/>
    </row>
    <row r="1701" spans="1:8" s="47" customFormat="1" ht="23.25" customHeight="1" thickBot="1">
      <c r="A1701" s="211" t="s">
        <v>507</v>
      </c>
      <c r="B1701" s="216" t="str">
        <f ca="1">_xlfn.CONCAT(B1676,A1701)</f>
        <v>C1D1F7D-X</v>
      </c>
      <c r="C1701" s="14" t="s">
        <v>1</v>
      </c>
      <c r="D1701" s="15"/>
      <c r="E1701" s="15" t="s">
        <v>20</v>
      </c>
      <c r="F1701" s="16" t="s">
        <v>21</v>
      </c>
      <c r="G1701" s="15" t="s">
        <v>5</v>
      </c>
      <c r="H1701" s="215"/>
    </row>
    <row r="1702" spans="1:8">
      <c r="A1702" s="211" t="s">
        <v>508</v>
      </c>
      <c r="B1702" s="216" t="str">
        <f ca="1">_xlfn.CONCAT(B1676,A1702)</f>
        <v>C1D1F7D-Y</v>
      </c>
      <c r="C1702" s="24" t="s">
        <v>22</v>
      </c>
      <c r="D1702" s="184"/>
      <c r="E1702" s="25">
        <f>_xlfn.XLOOKUP(C1702,'H-MO'!B$7:B$30,'H-MO'!D$7:D$30,,0,1)</f>
        <v>2436.5624999999995</v>
      </c>
      <c r="F1702" s="19">
        <v>0.3</v>
      </c>
      <c r="G1702" s="33">
        <f t="shared" ref="G1702:G1707" si="47">+E1702*F1702</f>
        <v>730.96874999999989</v>
      </c>
    </row>
    <row r="1703" spans="1:8">
      <c r="A1703" s="211" t="s">
        <v>509</v>
      </c>
      <c r="B1703" s="216" t="str">
        <f ca="1">_xlfn.CONCAT(B1676,A1703)</f>
        <v>C1D1F7D-Z</v>
      </c>
      <c r="C1703" s="24" t="s">
        <v>23</v>
      </c>
      <c r="D1703" s="184"/>
      <c r="E1703" s="25">
        <f>_xlfn.XLOOKUP(C1703,'H-MO'!B$7:B$30,'H-MO'!D$7:D$30,,0,1)</f>
        <v>1461.9374999999998</v>
      </c>
      <c r="F1703" s="19">
        <v>9.7711304347826086E-2</v>
      </c>
      <c r="G1703" s="33">
        <f t="shared" si="47"/>
        <v>142.84781999999998</v>
      </c>
    </row>
    <row r="1704" spans="1:8">
      <c r="A1704" s="211" t="s">
        <v>510</v>
      </c>
      <c r="B1704" s="216" t="str">
        <f ca="1">_xlfn.CONCAT(B1676,A1704)</f>
        <v>C1D1F7D-aa</v>
      </c>
      <c r="C1704" s="24" t="s">
        <v>24</v>
      </c>
      <c r="D1704" s="185"/>
      <c r="E1704" s="25">
        <f>_xlfn.XLOOKUP(C1704,'H-MO'!B$7:B$30,'H-MO'!D$7:D$30,,0,1)</f>
        <v>29238.749999999996</v>
      </c>
      <c r="F1704" s="28">
        <v>1.6285217391304348E-3</v>
      </c>
      <c r="G1704" s="33">
        <f t="shared" si="47"/>
        <v>47.615939999999995</v>
      </c>
    </row>
    <row r="1705" spans="1:8">
      <c r="A1705" s="211" t="s">
        <v>511</v>
      </c>
      <c r="B1705" s="216" t="str">
        <f ca="1">_xlfn.CONCAT(B1676,A1705)</f>
        <v>C1D1F7D-ab</v>
      </c>
      <c r="C1705" s="24" t="s">
        <v>25</v>
      </c>
      <c r="D1705" s="185"/>
      <c r="E1705" s="25">
        <f>_xlfn.XLOOKUP(C1705,'H-MO'!B$7:B$30,'H-MO'!D$7:D$30,,0,1)</f>
        <v>2761.4374999999995</v>
      </c>
      <c r="F1705" s="28">
        <v>0.3</v>
      </c>
      <c r="G1705" s="33">
        <f t="shared" si="47"/>
        <v>828.43124999999986</v>
      </c>
    </row>
    <row r="1706" spans="1:8">
      <c r="A1706" s="211" t="s">
        <v>512</v>
      </c>
      <c r="B1706" s="216" t="str">
        <f ca="1">_xlfn.CONCAT(B1676,A1706)</f>
        <v>C1D1F7D-ac</v>
      </c>
      <c r="C1706" s="24"/>
      <c r="D1706" s="185"/>
      <c r="E1706" s="29"/>
      <c r="F1706" s="28"/>
      <c r="G1706" s="33">
        <f t="shared" si="47"/>
        <v>0</v>
      </c>
    </row>
    <row r="1707" spans="1:8" ht="14.25" thickBot="1">
      <c r="A1707" s="211" t="s">
        <v>513</v>
      </c>
      <c r="B1707" s="216" t="str">
        <f ca="1">_xlfn.CONCAT(B1676,A1707)</f>
        <v>C1D1F7D-ad</v>
      </c>
      <c r="C1707" s="24"/>
      <c r="D1707" s="185"/>
      <c r="E1707" s="29"/>
      <c r="F1707" s="28"/>
      <c r="G1707" s="33">
        <f t="shared" si="47"/>
        <v>0</v>
      </c>
    </row>
    <row r="1708" spans="1:8" ht="16.5" customHeight="1" thickBot="1">
      <c r="A1708" s="211" t="s">
        <v>514</v>
      </c>
      <c r="B1708" s="216" t="str">
        <f ca="1">_xlfn.CONCAT(B1676,A1708)</f>
        <v>C1D1F7D-ae</v>
      </c>
      <c r="C1708" s="17"/>
      <c r="D1708" s="192"/>
      <c r="E1708" s="18"/>
      <c r="F1708" s="22" t="s">
        <v>26</v>
      </c>
      <c r="G1708" s="23">
        <f>SUM(G1702:G1707)</f>
        <v>1749.8637599999997</v>
      </c>
    </row>
    <row r="1709" spans="1:8" ht="28.5" customHeight="1" thickBot="1">
      <c r="A1709" s="211" t="s">
        <v>515</v>
      </c>
      <c r="B1709" s="216" t="str">
        <f ca="1">_xlfn.CONCAT(B1676,A1709)</f>
        <v>C1D1F7D-af</v>
      </c>
      <c r="C1709" s="10" t="s">
        <v>27</v>
      </c>
      <c r="D1709" s="190"/>
      <c r="E1709" s="11"/>
      <c r="F1709" s="12"/>
      <c r="G1709" s="13"/>
    </row>
    <row r="1710" spans="1:8" s="47" customFormat="1" ht="23.25" customHeight="1" thickBot="1">
      <c r="A1710" s="211" t="s">
        <v>516</v>
      </c>
      <c r="B1710" s="216" t="str">
        <f ca="1">_xlfn.CONCAT(B1676,A1710)</f>
        <v>C1D1F7D-ag</v>
      </c>
      <c r="C1710" s="14" t="s">
        <v>1</v>
      </c>
      <c r="D1710" s="15" t="s">
        <v>28</v>
      </c>
      <c r="E1710" s="15" t="s">
        <v>20</v>
      </c>
      <c r="F1710" s="16" t="s">
        <v>21</v>
      </c>
      <c r="G1710" s="15" t="s">
        <v>5</v>
      </c>
      <c r="H1710" s="215"/>
    </row>
    <row r="1711" spans="1:8">
      <c r="A1711" s="211" t="s">
        <v>517</v>
      </c>
      <c r="B1711" s="216" t="str">
        <f ca="1">_xlfn.CONCAT(B1676,A1711)</f>
        <v>C1D1F7D-ah</v>
      </c>
      <c r="C1711" s="30" t="s">
        <v>29</v>
      </c>
      <c r="D1711" s="186">
        <f>'H-MO'!$N$77</f>
        <v>725918.52892505517</v>
      </c>
      <c r="E1711" s="31">
        <f>+D1711/8</f>
        <v>90739.816115631897</v>
      </c>
      <c r="F1711" s="32">
        <v>0.3</v>
      </c>
      <c r="G1711" s="33">
        <f>+E1711*F1711</f>
        <v>27221.94483468957</v>
      </c>
    </row>
    <row r="1712" spans="1:8">
      <c r="A1712" s="211" t="s">
        <v>518</v>
      </c>
      <c r="B1712" s="216" t="str">
        <f ca="1">_xlfn.CONCAT(B1676,A1712)</f>
        <v>C1D1F7D-ai</v>
      </c>
      <c r="C1712" s="34" t="s">
        <v>30</v>
      </c>
      <c r="D1712" s="187">
        <f>'H-MO'!$N$86</f>
        <v>685561.39085756091</v>
      </c>
      <c r="E1712" s="29">
        <f>+D1712/8</f>
        <v>85695.173857195114</v>
      </c>
      <c r="F1712" s="28">
        <v>0.05</v>
      </c>
      <c r="G1712" s="33">
        <f>+E1712*F1712</f>
        <v>4284.7586928597557</v>
      </c>
    </row>
    <row r="1713" spans="1:8" ht="14.25" thickBot="1">
      <c r="A1713" s="211" t="s">
        <v>519</v>
      </c>
      <c r="B1713" s="216" t="str">
        <f ca="1">_xlfn.CONCAT(B1676,A1713)</f>
        <v>C1D1F7D-aj</v>
      </c>
      <c r="C1713" s="34"/>
      <c r="D1713" s="187"/>
      <c r="E1713" s="29"/>
      <c r="F1713" s="28"/>
      <c r="G1713" s="33">
        <f>+E1713*F1713</f>
        <v>0</v>
      </c>
    </row>
    <row r="1714" spans="1:8" ht="17.25" customHeight="1" thickBot="1">
      <c r="A1714" s="211" t="s">
        <v>520</v>
      </c>
      <c r="B1714" s="216" t="str">
        <f ca="1">_xlfn.CONCAT(B1676,A1714)</f>
        <v>C1D1F7D-ak</v>
      </c>
      <c r="C1714" s="34"/>
      <c r="D1714" s="185"/>
      <c r="E1714" s="26"/>
      <c r="F1714" s="36" t="s">
        <v>31</v>
      </c>
      <c r="G1714" s="23">
        <f>SUM(G1711:G1713)</f>
        <v>31506.703527549325</v>
      </c>
    </row>
    <row r="1715" spans="1:8" ht="14.25" thickBot="1">
      <c r="A1715" s="211" t="s">
        <v>521</v>
      </c>
      <c r="B1715" s="216" t="str">
        <f ca="1">_xlfn.CONCAT(B1676,A1715)</f>
        <v>C1D1F7D-al</v>
      </c>
      <c r="C1715" s="37"/>
      <c r="E1715" s="38"/>
      <c r="F1715" s="22"/>
      <c r="G1715" s="39"/>
    </row>
    <row r="1716" spans="1:8" ht="23.25" customHeight="1" thickBot="1">
      <c r="A1716" s="211" t="s">
        <v>522</v>
      </c>
      <c r="B1716" s="216" t="str">
        <f ca="1">_xlfn.CONCAT(B1676,A1716)</f>
        <v>C1D1F7D-am</v>
      </c>
      <c r="C1716" s="40"/>
      <c r="D1716" s="193"/>
      <c r="E1716" s="41"/>
      <c r="F1716" s="42"/>
      <c r="G1716" s="43">
        <f>+G1699+G1708+G1714</f>
        <v>95758.367287549336</v>
      </c>
    </row>
    <row r="1717" spans="1:8" ht="21.75" thickBot="1">
      <c r="B1717" s="212" t="s">
        <v>550</v>
      </c>
      <c r="C1717" s="2"/>
      <c r="D1717" s="183"/>
      <c r="F1717" s="4"/>
      <c r="G1717" s="5"/>
    </row>
    <row r="1718" spans="1:8" s="45" customFormat="1" ht="34.5" customHeight="1">
      <c r="A1718" s="213"/>
      <c r="B1718" s="214">
        <v>40</v>
      </c>
      <c r="C1718" s="242" t="str">
        <f ca="1">_xlfn.XLOOKUP(B1718,Cantidades!$A$10:$A$314,Cantidades!$C$10:$C$314,,0,1)</f>
        <v>Suministro e instalación de salida luminaria hermética. Incluye caja de conexión, cable #12 AWG de cobre, tubería PVC tipo A y demás accesorios para su correcta instalación,  fincionamiento y señalización.</v>
      </c>
      <c r="D1718" s="243"/>
      <c r="E1718" s="243"/>
      <c r="F1718" s="243"/>
      <c r="G1718" s="244"/>
      <c r="H1718" s="213"/>
    </row>
    <row r="1719" spans="1:8" s="47" customFormat="1" ht="24.95" customHeight="1" thickBot="1">
      <c r="A1719" s="215"/>
      <c r="B1719" s="216" t="s">
        <v>550</v>
      </c>
      <c r="C1719" s="177"/>
      <c r="D1719" s="189"/>
      <c r="E1719" s="178"/>
      <c r="F1719" s="179" t="s">
        <v>636</v>
      </c>
      <c r="G1719" s="209" t="str">
        <f ca="1">B1720</f>
        <v>3033662F-</v>
      </c>
      <c r="H1719" s="215"/>
    </row>
    <row r="1720" spans="1:8" ht="28.5" customHeight="1" thickBot="1">
      <c r="B1720" s="212" t="str">
        <f ca="1">_xlfn.XLOOKUP(C1718,Cantidades!$C$1:$C$314,Cantidades!$B$1:$B$314,"",0,1)</f>
        <v>3033662F-</v>
      </c>
      <c r="C1720" s="10" t="s">
        <v>0</v>
      </c>
      <c r="D1720" s="190"/>
      <c r="E1720" s="11"/>
      <c r="F1720" s="12"/>
      <c r="G1720" s="13"/>
    </row>
    <row r="1721" spans="1:8" s="47" customFormat="1" ht="23.25" customHeight="1" thickBot="1">
      <c r="A1721" s="215"/>
      <c r="B1721" s="216" t="s">
        <v>550</v>
      </c>
      <c r="C1721" s="14" t="s">
        <v>1</v>
      </c>
      <c r="D1721" s="15" t="s">
        <v>2</v>
      </c>
      <c r="E1721" s="15" t="s">
        <v>3</v>
      </c>
      <c r="F1721" s="16" t="s">
        <v>4</v>
      </c>
      <c r="G1721" s="15" t="s">
        <v>5</v>
      </c>
      <c r="H1721" s="215"/>
    </row>
    <row r="1722" spans="1:8" ht="15">
      <c r="A1722" s="211" t="s">
        <v>484</v>
      </c>
      <c r="B1722" s="216" t="str">
        <f ca="1">_xlfn.CONCAT(B1720,A1722)</f>
        <v>3033662F-A</v>
      </c>
      <c r="C1722" s="17" t="str">
        <f>_xlfn.XLOOKUP(H1722,'Materiales unitario'!$A$1:$A$2500,'Materiales unitario'!B$1:B$2500,,0,1)</f>
        <v>Tubo Conduit PVC 1-2 Pulgadas</v>
      </c>
      <c r="D1722" s="184" t="str">
        <f>_xlfn.XLOOKUP(H1722,'Materiales unitario'!A$1:A$2500,'Materiales unitario'!C$1:C$2500,,0,1)</f>
        <v>ml</v>
      </c>
      <c r="E1722" s="197">
        <f>_xlfn.XLOOKUP(H1722,'Materiales unitario'!$A$1:$A$2500,'Materiales unitario'!D$1:D$2500,,0,1)</f>
        <v>1600</v>
      </c>
      <c r="F1722" s="19">
        <v>3.8</v>
      </c>
      <c r="G1722" s="20">
        <f>+E1722*F1722</f>
        <v>6080</v>
      </c>
      <c r="H1722" s="217" t="s">
        <v>613</v>
      </c>
    </row>
    <row r="1723" spans="1:8" ht="15">
      <c r="A1723" s="211" t="s">
        <v>485</v>
      </c>
      <c r="B1723" s="216" t="str">
        <f ca="1">_xlfn.CONCAT(B1720,A1723)</f>
        <v>3033662F-B</v>
      </c>
      <c r="C1723" s="17" t="str">
        <f>_xlfn.XLOOKUP(H1723,'Materiales unitario'!$A$1:$A$2500,'Materiales unitario'!B$1:B$2500,,0,1)</f>
        <v>Tubo Conduit PVC 3-4 Pulgadas</v>
      </c>
      <c r="D1723" s="184" t="str">
        <f>_xlfn.XLOOKUP(H1723,'Materiales unitario'!A$1:A$2500,'Materiales unitario'!C$1:C$2500,,0,1)</f>
        <v>ml</v>
      </c>
      <c r="E1723" s="197">
        <f>_xlfn.XLOOKUP(H1723,'Materiales unitario'!$A$1:$A$2500,'Materiales unitario'!D$1:D$2500,,0,1)</f>
        <v>2066.6666666666665</v>
      </c>
      <c r="F1723" s="19">
        <v>1.2</v>
      </c>
      <c r="G1723" s="20">
        <f t="shared" ref="G1723:G1733" si="48">+E1723*F1723</f>
        <v>2479.9999999999995</v>
      </c>
      <c r="H1723" s="217" t="s">
        <v>614</v>
      </c>
    </row>
    <row r="1724" spans="1:8" ht="15">
      <c r="A1724" s="211" t="s">
        <v>486</v>
      </c>
      <c r="B1724" s="216" t="str">
        <f ca="1">_xlfn.CONCAT(B1720,A1724)</f>
        <v>3033662F-C</v>
      </c>
      <c r="C1724" s="17" t="str">
        <f>_xlfn.XLOOKUP(H1724,'Materiales unitario'!$A$1:$A$2500,'Materiales unitario'!B$1:B$2500,,0,1)</f>
        <v>Adaptador terminal PVC ø1/2"</v>
      </c>
      <c r="D1724" s="184" t="str">
        <f>_xlfn.XLOOKUP(H1724,'Materiales unitario'!A$1:A$2500,'Materiales unitario'!C$1:C$2500,,0,1)</f>
        <v>un</v>
      </c>
      <c r="E1724" s="197">
        <f>_xlfn.XLOOKUP(H1724,'Materiales unitario'!$A$1:$A$2500,'Materiales unitario'!D$1:D$2500,,0,1)</f>
        <v>720</v>
      </c>
      <c r="F1724" s="19">
        <v>2</v>
      </c>
      <c r="G1724" s="20">
        <f t="shared" si="48"/>
        <v>1440</v>
      </c>
      <c r="H1724" s="217" t="s">
        <v>603</v>
      </c>
    </row>
    <row r="1725" spans="1:8" ht="15">
      <c r="A1725" s="211" t="s">
        <v>487</v>
      </c>
      <c r="B1725" s="216" t="str">
        <f ca="1">_xlfn.CONCAT(B1720,A1725)</f>
        <v>3033662F-D</v>
      </c>
      <c r="C1725" s="17" t="str">
        <f>_xlfn.XLOOKUP(H1725,'Materiales unitario'!$A$1:$A$2500,'Materiales unitario'!B$1:B$2500,,0,1)</f>
        <v>Adaptador terminal PVC ø3/4"</v>
      </c>
      <c r="D1725" s="184" t="str">
        <f>_xlfn.XLOOKUP(H1725,'Materiales unitario'!A$1:A$2500,'Materiales unitario'!C$1:C$2500,,0,1)</f>
        <v>un</v>
      </c>
      <c r="E1725" s="197">
        <f>_xlfn.XLOOKUP(H1725,'Materiales unitario'!$A$1:$A$2500,'Materiales unitario'!D$1:D$2500,,0,1)</f>
        <v>920</v>
      </c>
      <c r="F1725" s="19">
        <v>0.3</v>
      </c>
      <c r="G1725" s="20">
        <f t="shared" si="48"/>
        <v>276</v>
      </c>
      <c r="H1725" s="217" t="s">
        <v>604</v>
      </c>
    </row>
    <row r="1726" spans="1:8" ht="15">
      <c r="A1726" s="211" t="s">
        <v>488</v>
      </c>
      <c r="B1726" s="216" t="str">
        <f ca="1">_xlfn.CONCAT(B1720,A1726)</f>
        <v>3033662F-E</v>
      </c>
      <c r="C1726" s="17" t="str">
        <f>_xlfn.XLOOKUP(H1726,'Materiales unitario'!$A$1:$A$2500,'Materiales unitario'!B$1:B$2500,,0,1)</f>
        <v>Caja galvanizada ref. 2400 (Cal. 20)</v>
      </c>
      <c r="D1726" s="184" t="str">
        <f>_xlfn.XLOOKUP(H1726,'Materiales unitario'!A$1:A$2500,'Materiales unitario'!C$1:C$2500,,0,1)</f>
        <v>un</v>
      </c>
      <c r="E1726" s="197">
        <f>_xlfn.XLOOKUP(H1726,'Materiales unitario'!$A$1:$A$2500,'Materiales unitario'!D$1:D$2500,,0,1)</f>
        <v>3150</v>
      </c>
      <c r="F1726" s="19">
        <v>0.1</v>
      </c>
      <c r="G1726" s="20">
        <f t="shared" si="48"/>
        <v>315</v>
      </c>
      <c r="H1726" s="217" t="s">
        <v>605</v>
      </c>
    </row>
    <row r="1727" spans="1:8" ht="15">
      <c r="A1727" s="211" t="s">
        <v>489</v>
      </c>
      <c r="B1727" s="216" t="str">
        <f ca="1">_xlfn.CONCAT(B1720,A1727)</f>
        <v>3033662F-F</v>
      </c>
      <c r="C1727" s="17" t="str">
        <f>_xlfn.XLOOKUP(H1727,'Materiales unitario'!$A$1:$A$2500,'Materiales unitario'!B$1:B$2500,,0,1)</f>
        <v>Caja galvanizada ref. 5800 (Cal. 20)</v>
      </c>
      <c r="D1727" s="184" t="str">
        <f>_xlfn.XLOOKUP(H1727,'Materiales unitario'!A$1:A$2500,'Materiales unitario'!C$1:C$2500,,0,1)</f>
        <v>un</v>
      </c>
      <c r="E1727" s="197">
        <f>_xlfn.XLOOKUP(H1727,'Materiales unitario'!$A$1:$A$2500,'Materiales unitario'!D$1:D$2500,,0,1)</f>
        <v>2900</v>
      </c>
      <c r="F1727" s="19">
        <v>0.1</v>
      </c>
      <c r="G1727" s="20">
        <f t="shared" si="48"/>
        <v>290</v>
      </c>
      <c r="H1727" s="217" t="s">
        <v>606</v>
      </c>
    </row>
    <row r="1728" spans="1:8" ht="15">
      <c r="A1728" s="211" t="s">
        <v>490</v>
      </c>
      <c r="B1728" s="216" t="str">
        <f ca="1">_xlfn.CONCAT(B1720,A1728)</f>
        <v>3033662F-G</v>
      </c>
      <c r="C1728" s="17" t="str">
        <f>_xlfn.XLOOKUP(H1728,'Materiales unitario'!$A$1:$A$2500,'Materiales unitario'!B$1:B$2500,,0,1)</f>
        <v>Caja galvanizada octagonal (Cal. 20)</v>
      </c>
      <c r="D1728" s="184" t="str">
        <f>_xlfn.XLOOKUP(H1728,'Materiales unitario'!A$1:A$2500,'Materiales unitario'!C$1:C$2500,,0,1)</f>
        <v>un</v>
      </c>
      <c r="E1728" s="197">
        <f>_xlfn.XLOOKUP(H1728,'Materiales unitario'!$A$1:$A$2500,'Materiales unitario'!D$1:D$2500,,0,1)</f>
        <v>2900</v>
      </c>
      <c r="F1728" s="19">
        <v>1</v>
      </c>
      <c r="G1728" s="20">
        <f t="shared" si="48"/>
        <v>2900</v>
      </c>
      <c r="H1728" s="217" t="s">
        <v>607</v>
      </c>
    </row>
    <row r="1729" spans="1:8" ht="15">
      <c r="A1729" s="211" t="s">
        <v>491</v>
      </c>
      <c r="B1729" s="216" t="str">
        <f ca="1">_xlfn.CONCAT(B1720,A1729)</f>
        <v>3033662F-H</v>
      </c>
      <c r="C1729" s="17" t="str">
        <f>_xlfn.XLOOKUP(H1729,'Materiales unitario'!$A$1:$A$2500,'Materiales unitario'!B$1:B$2500,,0,1)</f>
        <v xml:space="preserve">Tornillo lámina #14x1/2" goloso </v>
      </c>
      <c r="D1729" s="184" t="str">
        <f>_xlfn.XLOOKUP(H1729,'Materiales unitario'!A$1:A$2500,'Materiales unitario'!C$1:C$2500,,0,1)</f>
        <v>un</v>
      </c>
      <c r="E1729" s="197">
        <f>_xlfn.XLOOKUP(H1729,'Materiales unitario'!$A$1:$A$2500,'Materiales unitario'!D$1:D$2500,,0,1)</f>
        <v>200</v>
      </c>
      <c r="F1729" s="19">
        <v>2</v>
      </c>
      <c r="G1729" s="20">
        <f t="shared" si="48"/>
        <v>400</v>
      </c>
      <c r="H1729" s="217" t="s">
        <v>608</v>
      </c>
    </row>
    <row r="1730" spans="1:8" ht="15">
      <c r="A1730" s="211" t="s">
        <v>492</v>
      </c>
      <c r="B1730" s="216" t="str">
        <f ca="1">_xlfn.CONCAT(B1720,A1730)</f>
        <v>3033662F-I</v>
      </c>
      <c r="C1730" s="17" t="str">
        <f>_xlfn.XLOOKUP(H1730,'Materiales unitario'!$A$1:$A$2500,'Materiales unitario'!B$1:B$2500,,0,1)</f>
        <v>Suplemento galvanizado de ø1/4" (Cal. 24)</v>
      </c>
      <c r="D1730" s="184" t="str">
        <f>_xlfn.XLOOKUP(H1730,'Materiales unitario'!A$1:A$2500,'Materiales unitario'!C$1:C$2500,,0,1)</f>
        <v>un</v>
      </c>
      <c r="E1730" s="197">
        <f>_xlfn.XLOOKUP(H1730,'Materiales unitario'!$A$1:$A$2500,'Materiales unitario'!D$1:D$2500,,0,1)</f>
        <v>1200</v>
      </c>
      <c r="F1730" s="19">
        <v>0.5</v>
      </c>
      <c r="G1730" s="20">
        <f t="shared" si="48"/>
        <v>600</v>
      </c>
      <c r="H1730" s="217" t="s">
        <v>609</v>
      </c>
    </row>
    <row r="1731" spans="1:8" ht="15">
      <c r="A1731" s="211" t="s">
        <v>493</v>
      </c>
      <c r="B1731" s="216" t="str">
        <f ca="1">_xlfn.CONCAT(B1720,A1731)</f>
        <v>3033662F-J</v>
      </c>
      <c r="C1731" s="17" t="str">
        <f>_xlfn.XLOOKUP(H1731,'Materiales unitario'!$A$1:$A$2500,'Materiales unitario'!B$1:B$2500,,0,1)</f>
        <v>Conector de resorte rojo "R" 18-10 AWG</v>
      </c>
      <c r="D1731" s="184" t="str">
        <f>_xlfn.XLOOKUP(H1731,'Materiales unitario'!A$1:A$2500,'Materiales unitario'!C$1:C$2500,,0,1)</f>
        <v>un</v>
      </c>
      <c r="E1731" s="197">
        <f>_xlfn.XLOOKUP(H1731,'Materiales unitario'!$A$1:$A$2500,'Materiales unitario'!D$1:D$2500,,0,1)</f>
        <v>280</v>
      </c>
      <c r="F1731" s="19">
        <v>3</v>
      </c>
      <c r="G1731" s="20">
        <f t="shared" si="48"/>
        <v>840</v>
      </c>
      <c r="H1731" s="217" t="s">
        <v>302</v>
      </c>
    </row>
    <row r="1732" spans="1:8" ht="15">
      <c r="A1732" s="211" t="s">
        <v>494</v>
      </c>
      <c r="B1732" s="216" t="str">
        <f ca="1">_xlfn.CONCAT(B1720,A1732)</f>
        <v>3033662F-K</v>
      </c>
      <c r="C1732" s="17" t="str">
        <f>_xlfn.XLOOKUP(H1732,'Materiales unitario'!$A$1:$A$2500,'Materiales unitario'!B$1:B$2500,,0,1)</f>
        <v>Soldadura liquida PVC 1/4 de galón</v>
      </c>
      <c r="D1732" s="184" t="str">
        <f>_xlfn.XLOOKUP(H1732,'Materiales unitario'!A$1:A$2500,'Materiales unitario'!C$1:C$2500,,0,1)</f>
        <v>un</v>
      </c>
      <c r="E1732" s="197">
        <f>_xlfn.XLOOKUP(H1732,'Materiales unitario'!$A$1:$A$2500,'Materiales unitario'!D$1:D$2500,,0,1)</f>
        <v>60900</v>
      </c>
      <c r="F1732" s="19">
        <v>1.2E-2</v>
      </c>
      <c r="G1732" s="20">
        <f t="shared" si="48"/>
        <v>730.80000000000007</v>
      </c>
      <c r="H1732" s="217" t="s">
        <v>530</v>
      </c>
    </row>
    <row r="1733" spans="1:8" ht="15">
      <c r="A1733" s="211" t="s">
        <v>495</v>
      </c>
      <c r="B1733" s="216" t="str">
        <f ca="1">_xlfn.CONCAT(B1720,A1733)</f>
        <v>3033662F-L</v>
      </c>
      <c r="C1733" s="17" t="str">
        <f>_xlfn.XLOOKUP(H1733,'Materiales unitario'!$A$1:$A$2500,'Materiales unitario'!B$1:B$2500,,0,1)</f>
        <v>Cable de cobre aislado #12 AWG-THHN/THWN Color negro</v>
      </c>
      <c r="D1733" s="184" t="str">
        <f>_xlfn.XLOOKUP(H1733,'Materiales unitario'!A$1:A$2500,'Materiales unitario'!C$1:C$2500,,0,1)</f>
        <v>ml</v>
      </c>
      <c r="E1733" s="197">
        <f>_xlfn.XLOOKUP(H1733,'Materiales unitario'!$A$1:$A$2500,'Materiales unitario'!D$1:D$2500,,0,1)</f>
        <v>3020</v>
      </c>
      <c r="F1733" s="19">
        <v>18</v>
      </c>
      <c r="G1733" s="20">
        <f t="shared" si="48"/>
        <v>54360</v>
      </c>
      <c r="H1733" s="217" t="s">
        <v>267</v>
      </c>
    </row>
    <row r="1734" spans="1:8" ht="15">
      <c r="A1734" s="211" t="s">
        <v>496</v>
      </c>
      <c r="B1734" s="216" t="str">
        <f ca="1">_xlfn.CONCAT(B1720,A1734)</f>
        <v>3033662F-M</v>
      </c>
      <c r="C1734" s="17"/>
      <c r="D1734" s="184"/>
      <c r="E1734" s="197"/>
      <c r="F1734" s="19"/>
      <c r="G1734" s="20"/>
      <c r="H1734" s="217"/>
    </row>
    <row r="1735" spans="1:8">
      <c r="A1735" s="211" t="s">
        <v>497</v>
      </c>
      <c r="B1735" s="216" t="str">
        <f ca="1">_xlfn.CONCAT(B1720,A1735)</f>
        <v>3033662F-N</v>
      </c>
      <c r="C1735" s="17"/>
      <c r="D1735" s="184"/>
      <c r="E1735" s="197"/>
      <c r="F1735" s="19"/>
      <c r="G1735" s="20"/>
    </row>
    <row r="1736" spans="1:8">
      <c r="A1736" s="211" t="s">
        <v>498</v>
      </c>
      <c r="B1736" s="216" t="str">
        <f ca="1">_xlfn.CONCAT(B1720,A1736)</f>
        <v>3033662F-O</v>
      </c>
      <c r="C1736" s="17"/>
      <c r="D1736" s="184"/>
      <c r="E1736" s="197"/>
      <c r="F1736" s="19"/>
      <c r="G1736" s="20"/>
    </row>
    <row r="1737" spans="1:8">
      <c r="A1737" s="211" t="s">
        <v>499</v>
      </c>
      <c r="B1737" s="216" t="str">
        <f ca="1">_xlfn.CONCAT(B1720,A1737)</f>
        <v>3033662F-P</v>
      </c>
      <c r="C1737" s="17"/>
      <c r="D1737" s="184"/>
      <c r="E1737" s="197"/>
      <c r="F1737" s="19"/>
      <c r="G1737" s="20"/>
    </row>
    <row r="1738" spans="1:8">
      <c r="A1738" s="211" t="s">
        <v>500</v>
      </c>
      <c r="B1738" s="216" t="str">
        <f ca="1">_xlfn.CONCAT(B1720,A1738)</f>
        <v>3033662F-Q</v>
      </c>
      <c r="C1738" s="17"/>
      <c r="D1738" s="184"/>
      <c r="E1738" s="197"/>
      <c r="F1738" s="19"/>
      <c r="G1738" s="20"/>
    </row>
    <row r="1739" spans="1:8">
      <c r="A1739" s="211" t="s">
        <v>501</v>
      </c>
      <c r="B1739" s="216" t="str">
        <f ca="1">_xlfn.CONCAT(B1720,A1739)</f>
        <v>3033662F-R</v>
      </c>
      <c r="C1739" s="17"/>
      <c r="D1739" s="184"/>
      <c r="E1739" s="197"/>
      <c r="F1739" s="19"/>
      <c r="G1739" s="20"/>
    </row>
    <row r="1740" spans="1:8">
      <c r="A1740" s="211" t="s">
        <v>502</v>
      </c>
      <c r="B1740" s="216" t="str">
        <f ca="1">_xlfn.CONCAT(B1720,A1740)</f>
        <v>3033662F-S</v>
      </c>
      <c r="C1740" s="17"/>
      <c r="D1740" s="184"/>
      <c r="E1740" s="197"/>
      <c r="F1740" s="19"/>
      <c r="G1740" s="20"/>
    </row>
    <row r="1741" spans="1:8">
      <c r="A1741" s="211" t="s">
        <v>503</v>
      </c>
      <c r="B1741" s="216" t="str">
        <f ca="1">_xlfn.CONCAT(B1720,A1741)</f>
        <v>3033662F-T</v>
      </c>
      <c r="C1741" s="17"/>
      <c r="D1741" s="184"/>
      <c r="E1741" s="197"/>
      <c r="F1741" s="19"/>
      <c r="G1741" s="20"/>
    </row>
    <row r="1742" spans="1:8" ht="14.25" thickBot="1">
      <c r="A1742" s="211" t="s">
        <v>504</v>
      </c>
      <c r="B1742" s="216" t="str">
        <f ca="1">_xlfn.CONCAT(B1720,A1742)</f>
        <v>3033662F-U</v>
      </c>
      <c r="C1742" s="17"/>
      <c r="D1742" s="184"/>
      <c r="E1742" s="197"/>
      <c r="F1742" s="19"/>
      <c r="G1742" s="20"/>
    </row>
    <row r="1743" spans="1:8" ht="16.5" customHeight="1" thickBot="1">
      <c r="A1743" s="211" t="s">
        <v>505</v>
      </c>
      <c r="B1743" s="216" t="str">
        <f ca="1">_xlfn.CONCAT(B1720,A1743)</f>
        <v>3033662F-V</v>
      </c>
      <c r="C1743" s="17" t="s">
        <v>17</v>
      </c>
      <c r="D1743" s="192" t="s">
        <v>17</v>
      </c>
      <c r="E1743" s="18"/>
      <c r="F1743" s="22" t="s">
        <v>18</v>
      </c>
      <c r="G1743" s="23">
        <f>SUM(G1722:G1742)</f>
        <v>70711.8</v>
      </c>
    </row>
    <row r="1744" spans="1:8" ht="28.5" customHeight="1" thickBot="1">
      <c r="A1744" s="211" t="s">
        <v>506</v>
      </c>
      <c r="B1744" s="216" t="str">
        <f ca="1">_xlfn.CONCAT(B1720,A1744)</f>
        <v>3033662F-W</v>
      </c>
      <c r="C1744" s="10" t="s">
        <v>19</v>
      </c>
      <c r="D1744" s="190"/>
      <c r="E1744" s="11"/>
      <c r="F1744" s="12"/>
      <c r="G1744" s="13"/>
    </row>
    <row r="1745" spans="1:8" s="47" customFormat="1" ht="23.25" customHeight="1" thickBot="1">
      <c r="A1745" s="211" t="s">
        <v>507</v>
      </c>
      <c r="B1745" s="216" t="str">
        <f ca="1">_xlfn.CONCAT(B1720,A1745)</f>
        <v>3033662F-X</v>
      </c>
      <c r="C1745" s="14" t="s">
        <v>1</v>
      </c>
      <c r="D1745" s="15"/>
      <c r="E1745" s="15" t="s">
        <v>20</v>
      </c>
      <c r="F1745" s="16" t="s">
        <v>21</v>
      </c>
      <c r="G1745" s="15" t="s">
        <v>5</v>
      </c>
      <c r="H1745" s="215"/>
    </row>
    <row r="1746" spans="1:8">
      <c r="A1746" s="211" t="s">
        <v>508</v>
      </c>
      <c r="B1746" s="216" t="str">
        <f ca="1">_xlfn.CONCAT(B1720,A1746)</f>
        <v>3033662F-Y</v>
      </c>
      <c r="C1746" s="24" t="s">
        <v>22</v>
      </c>
      <c r="D1746" s="184"/>
      <c r="E1746" s="25">
        <f>_xlfn.XLOOKUP(C1746,'H-MO'!B$7:B$30,'H-MO'!D$7:D$30,,0,1)</f>
        <v>2436.5624999999995</v>
      </c>
      <c r="F1746" s="19">
        <v>0.3</v>
      </c>
      <c r="G1746" s="33">
        <f t="shared" ref="G1746:G1751" si="49">+E1746*F1746</f>
        <v>730.96874999999989</v>
      </c>
    </row>
    <row r="1747" spans="1:8">
      <c r="A1747" s="211" t="s">
        <v>509</v>
      </c>
      <c r="B1747" s="216" t="str">
        <f ca="1">_xlfn.CONCAT(B1720,A1747)</f>
        <v>3033662F-Z</v>
      </c>
      <c r="C1747" s="24" t="s">
        <v>23</v>
      </c>
      <c r="D1747" s="184"/>
      <c r="E1747" s="25">
        <f>_xlfn.XLOOKUP(C1747,'H-MO'!B$7:B$30,'H-MO'!D$7:D$30,,0,1)</f>
        <v>1461.9374999999998</v>
      </c>
      <c r="F1747" s="19">
        <v>9.7711304347826086E-2</v>
      </c>
      <c r="G1747" s="33">
        <f t="shared" si="49"/>
        <v>142.84781999999998</v>
      </c>
    </row>
    <row r="1748" spans="1:8">
      <c r="A1748" s="211" t="s">
        <v>510</v>
      </c>
      <c r="B1748" s="216" t="str">
        <f ca="1">_xlfn.CONCAT(B1720,A1748)</f>
        <v>3033662F-aa</v>
      </c>
      <c r="C1748" s="24" t="s">
        <v>24</v>
      </c>
      <c r="D1748" s="185"/>
      <c r="E1748" s="25">
        <f>_xlfn.XLOOKUP(C1748,'H-MO'!B$7:B$30,'H-MO'!D$7:D$30,,0,1)</f>
        <v>29238.749999999996</v>
      </c>
      <c r="F1748" s="28">
        <v>1.6285217391304348E-3</v>
      </c>
      <c r="G1748" s="33">
        <f t="shared" si="49"/>
        <v>47.615939999999995</v>
      </c>
    </row>
    <row r="1749" spans="1:8">
      <c r="A1749" s="211" t="s">
        <v>511</v>
      </c>
      <c r="B1749" s="216" t="str">
        <f ca="1">_xlfn.CONCAT(B1720,A1749)</f>
        <v>3033662F-ab</v>
      </c>
      <c r="C1749" s="24" t="s">
        <v>25</v>
      </c>
      <c r="D1749" s="185"/>
      <c r="E1749" s="25">
        <f>_xlfn.XLOOKUP(C1749,'H-MO'!B$7:B$30,'H-MO'!D$7:D$30,,0,1)</f>
        <v>2761.4374999999995</v>
      </c>
      <c r="F1749" s="28">
        <v>0.3</v>
      </c>
      <c r="G1749" s="33">
        <f t="shared" si="49"/>
        <v>828.43124999999986</v>
      </c>
    </row>
    <row r="1750" spans="1:8">
      <c r="A1750" s="211" t="s">
        <v>512</v>
      </c>
      <c r="B1750" s="216" t="str">
        <f ca="1">_xlfn.CONCAT(B1720,A1750)</f>
        <v>3033662F-ac</v>
      </c>
      <c r="C1750" s="24"/>
      <c r="D1750" s="185"/>
      <c r="E1750" s="29"/>
      <c r="F1750" s="28"/>
      <c r="G1750" s="33">
        <f t="shared" si="49"/>
        <v>0</v>
      </c>
    </row>
    <row r="1751" spans="1:8" ht="14.25" thickBot="1">
      <c r="A1751" s="211" t="s">
        <v>513</v>
      </c>
      <c r="B1751" s="216" t="str">
        <f ca="1">_xlfn.CONCAT(B1720,A1751)</f>
        <v>3033662F-ad</v>
      </c>
      <c r="C1751" s="24"/>
      <c r="D1751" s="185"/>
      <c r="E1751" s="29"/>
      <c r="F1751" s="28"/>
      <c r="G1751" s="33">
        <f t="shared" si="49"/>
        <v>0</v>
      </c>
    </row>
    <row r="1752" spans="1:8" ht="16.5" customHeight="1" thickBot="1">
      <c r="A1752" s="211" t="s">
        <v>514</v>
      </c>
      <c r="B1752" s="216" t="str">
        <f ca="1">_xlfn.CONCAT(B1720,A1752)</f>
        <v>3033662F-ae</v>
      </c>
      <c r="C1752" s="17"/>
      <c r="D1752" s="192"/>
      <c r="E1752" s="18"/>
      <c r="F1752" s="22" t="s">
        <v>26</v>
      </c>
      <c r="G1752" s="23">
        <f>SUM(G1746:G1751)</f>
        <v>1749.8637599999997</v>
      </c>
    </row>
    <row r="1753" spans="1:8" ht="28.5" customHeight="1" thickBot="1">
      <c r="A1753" s="211" t="s">
        <v>515</v>
      </c>
      <c r="B1753" s="216" t="str">
        <f ca="1">_xlfn.CONCAT(B1720,A1753)</f>
        <v>3033662F-af</v>
      </c>
      <c r="C1753" s="10" t="s">
        <v>27</v>
      </c>
      <c r="D1753" s="190"/>
      <c r="E1753" s="11"/>
      <c r="F1753" s="12"/>
      <c r="G1753" s="13"/>
    </row>
    <row r="1754" spans="1:8" s="47" customFormat="1" ht="23.25" customHeight="1" thickBot="1">
      <c r="A1754" s="211" t="s">
        <v>516</v>
      </c>
      <c r="B1754" s="216" t="str">
        <f ca="1">_xlfn.CONCAT(B1720,A1754)</f>
        <v>3033662F-ag</v>
      </c>
      <c r="C1754" s="14" t="s">
        <v>1</v>
      </c>
      <c r="D1754" s="15" t="s">
        <v>28</v>
      </c>
      <c r="E1754" s="15" t="s">
        <v>20</v>
      </c>
      <c r="F1754" s="16" t="s">
        <v>21</v>
      </c>
      <c r="G1754" s="15" t="s">
        <v>5</v>
      </c>
      <c r="H1754" s="215"/>
    </row>
    <row r="1755" spans="1:8">
      <c r="A1755" s="211" t="s">
        <v>517</v>
      </c>
      <c r="B1755" s="216" t="str">
        <f ca="1">_xlfn.CONCAT(B1720,A1755)</f>
        <v>3033662F-ah</v>
      </c>
      <c r="C1755" s="30" t="s">
        <v>29</v>
      </c>
      <c r="D1755" s="186">
        <f>'H-MO'!$N$77</f>
        <v>725918.52892505517</v>
      </c>
      <c r="E1755" s="31">
        <f>+D1755/8</f>
        <v>90739.816115631897</v>
      </c>
      <c r="F1755" s="32">
        <v>0.35</v>
      </c>
      <c r="G1755" s="33">
        <f>+E1755*F1755</f>
        <v>31758.935640471162</v>
      </c>
    </row>
    <row r="1756" spans="1:8">
      <c r="A1756" s="211" t="s">
        <v>518</v>
      </c>
      <c r="B1756" s="216" t="str">
        <f ca="1">_xlfn.CONCAT(B1720,A1756)</f>
        <v>3033662F-ai</v>
      </c>
      <c r="C1756" s="34" t="s">
        <v>30</v>
      </c>
      <c r="D1756" s="187">
        <f>'H-MO'!$N$86</f>
        <v>685561.39085756091</v>
      </c>
      <c r="E1756" s="29">
        <f>+D1756/8</f>
        <v>85695.173857195114</v>
      </c>
      <c r="F1756" s="28">
        <v>0.05</v>
      </c>
      <c r="G1756" s="33">
        <f>+E1756*F1756</f>
        <v>4284.7586928597557</v>
      </c>
    </row>
    <row r="1757" spans="1:8" ht="14.25" thickBot="1">
      <c r="A1757" s="211" t="s">
        <v>519</v>
      </c>
      <c r="B1757" s="216" t="str">
        <f ca="1">_xlfn.CONCAT(B1720,A1757)</f>
        <v>3033662F-aj</v>
      </c>
      <c r="C1757" s="34"/>
      <c r="D1757" s="187"/>
      <c r="E1757" s="29"/>
      <c r="F1757" s="28"/>
      <c r="G1757" s="33">
        <f>+E1757*F1757</f>
        <v>0</v>
      </c>
    </row>
    <row r="1758" spans="1:8" ht="17.25" customHeight="1" thickBot="1">
      <c r="A1758" s="211" t="s">
        <v>520</v>
      </c>
      <c r="B1758" s="216" t="str">
        <f ca="1">_xlfn.CONCAT(B1720,A1758)</f>
        <v>3033662F-ak</v>
      </c>
      <c r="C1758" s="34"/>
      <c r="D1758" s="185"/>
      <c r="E1758" s="26"/>
      <c r="F1758" s="36" t="s">
        <v>31</v>
      </c>
      <c r="G1758" s="23">
        <f>SUM(G1755:G1757)</f>
        <v>36043.694333330917</v>
      </c>
    </row>
    <row r="1759" spans="1:8" ht="14.25" thickBot="1">
      <c r="A1759" s="211" t="s">
        <v>521</v>
      </c>
      <c r="B1759" s="216" t="str">
        <f ca="1">_xlfn.CONCAT(B1720,A1759)</f>
        <v>3033662F-al</v>
      </c>
      <c r="C1759" s="37"/>
      <c r="E1759" s="38"/>
      <c r="F1759" s="22"/>
      <c r="G1759" s="39"/>
    </row>
    <row r="1760" spans="1:8" ht="23.25" customHeight="1" thickBot="1">
      <c r="A1760" s="211" t="s">
        <v>522</v>
      </c>
      <c r="B1760" s="216" t="str">
        <f ca="1">_xlfn.CONCAT(B1720,A1760)</f>
        <v>3033662F-am</v>
      </c>
      <c r="C1760" s="40"/>
      <c r="D1760" s="193"/>
      <c r="E1760" s="41"/>
      <c r="F1760" s="42"/>
      <c r="G1760" s="43">
        <f>+G1743+G1752+G1758</f>
        <v>108505.35809333091</v>
      </c>
    </row>
    <row r="1761" spans="1:8" ht="21.75" thickBot="1">
      <c r="B1761" s="212" t="s">
        <v>550</v>
      </c>
      <c r="C1761" s="2"/>
      <c r="D1761" s="183"/>
      <c r="F1761" s="4"/>
      <c r="G1761" s="5"/>
    </row>
    <row r="1762" spans="1:8" s="45" customFormat="1" ht="34.5" customHeight="1">
      <c r="A1762" s="213"/>
      <c r="B1762" s="214">
        <v>41</v>
      </c>
      <c r="C1762" s="242" t="str">
        <f ca="1">_xlfn.XLOOKUP(B1762,Cantidades!$A$10:$A$314,Cantidades!$C$10:$C$314,,0,1)</f>
        <v>Suministro e instalación de salida luminaria hermética. Incluye caja de conexión, cable #12 AWG de cobre, tubería SCH 40 y demás accesorios para su correcta instalación,  fincionamiento y señalización.</v>
      </c>
      <c r="D1762" s="243"/>
      <c r="E1762" s="243"/>
      <c r="F1762" s="243"/>
      <c r="G1762" s="244"/>
      <c r="H1762" s="213"/>
    </row>
    <row r="1763" spans="1:8" s="47" customFormat="1" ht="24.95" customHeight="1" thickBot="1">
      <c r="A1763" s="215"/>
      <c r="B1763" s="216" t="s">
        <v>550</v>
      </c>
      <c r="C1763" s="177"/>
      <c r="D1763" s="189"/>
      <c r="E1763" s="178"/>
      <c r="F1763" s="179" t="s">
        <v>636</v>
      </c>
      <c r="G1763" s="209" t="str">
        <f ca="1">B1764</f>
        <v>14D86AED-</v>
      </c>
      <c r="H1763" s="215"/>
    </row>
    <row r="1764" spans="1:8" ht="28.5" customHeight="1" thickBot="1">
      <c r="B1764" s="212" t="str">
        <f ca="1">_xlfn.XLOOKUP(C1762,Cantidades!$C$1:$C$314,Cantidades!$B$1:$B$314,"",0,1)</f>
        <v>14D86AED-</v>
      </c>
      <c r="C1764" s="10" t="s">
        <v>0</v>
      </c>
      <c r="D1764" s="190"/>
      <c r="E1764" s="11"/>
      <c r="F1764" s="12"/>
      <c r="G1764" s="13"/>
    </row>
    <row r="1765" spans="1:8" s="47" customFormat="1" ht="23.25" customHeight="1" thickBot="1">
      <c r="A1765" s="215"/>
      <c r="B1765" s="216" t="s">
        <v>550</v>
      </c>
      <c r="C1765" s="14" t="s">
        <v>1</v>
      </c>
      <c r="D1765" s="15" t="s">
        <v>2</v>
      </c>
      <c r="E1765" s="15" t="s">
        <v>3</v>
      </c>
      <c r="F1765" s="16" t="s">
        <v>4</v>
      </c>
      <c r="G1765" s="15" t="s">
        <v>5</v>
      </c>
      <c r="H1765" s="215"/>
    </row>
    <row r="1766" spans="1:8" ht="15">
      <c r="A1766" s="211" t="s">
        <v>484</v>
      </c>
      <c r="B1766" s="216" t="str">
        <f ca="1">_xlfn.CONCAT(B1764,A1766)</f>
        <v>14D86AED-A</v>
      </c>
      <c r="C1766" s="17" t="str">
        <f>_xlfn.XLOOKUP(H1766,'Materiales unitario'!$A$1:$A$2500,'Materiales unitario'!B$1:B$2500,,0,1)</f>
        <v>Tubo Conduit PVC Sch40 1-2 Pulgadas</v>
      </c>
      <c r="D1766" s="184" t="str">
        <f>_xlfn.XLOOKUP(H1766,'Materiales unitario'!A$1:A$2500,'Materiales unitario'!C$1:C$2500,,0,1)</f>
        <v>ml</v>
      </c>
      <c r="E1766" s="197">
        <f>_xlfn.XLOOKUP(H1766,'Materiales unitario'!$A$1:$A$2500,'Materiales unitario'!D$1:D$2500,,0,1)</f>
        <v>2966.6666666666665</v>
      </c>
      <c r="F1766" s="19">
        <v>3.8</v>
      </c>
      <c r="G1766" s="20">
        <f>+E1766*F1766</f>
        <v>11273.333333333332</v>
      </c>
      <c r="H1766" s="217" t="s">
        <v>601</v>
      </c>
    </row>
    <row r="1767" spans="1:8" ht="15">
      <c r="A1767" s="211" t="s">
        <v>485</v>
      </c>
      <c r="B1767" s="216" t="str">
        <f ca="1">_xlfn.CONCAT(B1764,A1767)</f>
        <v>14D86AED-B</v>
      </c>
      <c r="C1767" s="17" t="str">
        <f>_xlfn.XLOOKUP(H1767,'Materiales unitario'!$A$1:$A$2500,'Materiales unitario'!B$1:B$2500,,0,1)</f>
        <v>Tubo Conduit PVC SCH40 3-4 Pulgadas</v>
      </c>
      <c r="D1767" s="184" t="str">
        <f>_xlfn.XLOOKUP(H1767,'Materiales unitario'!A$1:A$2500,'Materiales unitario'!C$1:C$2500,,0,1)</f>
        <v>ml</v>
      </c>
      <c r="E1767" s="197">
        <f>_xlfn.XLOOKUP(H1767,'Materiales unitario'!$A$1:$A$2500,'Materiales unitario'!D$1:D$2500,,0,1)</f>
        <v>3966.6666666666665</v>
      </c>
      <c r="F1767" s="19">
        <v>1.2</v>
      </c>
      <c r="G1767" s="20">
        <f t="shared" ref="G1767:G1777" si="50">+E1767*F1767</f>
        <v>4760</v>
      </c>
      <c r="H1767" s="217" t="s">
        <v>602</v>
      </c>
    </row>
    <row r="1768" spans="1:8" ht="15">
      <c r="A1768" s="211" t="s">
        <v>486</v>
      </c>
      <c r="B1768" s="216" t="str">
        <f ca="1">_xlfn.CONCAT(B1764,A1768)</f>
        <v>14D86AED-C</v>
      </c>
      <c r="C1768" s="17" t="str">
        <f>_xlfn.XLOOKUP(H1768,'Materiales unitario'!$A$1:$A$2500,'Materiales unitario'!B$1:B$2500,,0,1)</f>
        <v>Adaptador terminal PVC ø1/2"</v>
      </c>
      <c r="D1768" s="184" t="str">
        <f>_xlfn.XLOOKUP(H1768,'Materiales unitario'!A$1:A$2500,'Materiales unitario'!C$1:C$2500,,0,1)</f>
        <v>un</v>
      </c>
      <c r="E1768" s="197">
        <f>_xlfn.XLOOKUP(H1768,'Materiales unitario'!$A$1:$A$2500,'Materiales unitario'!D$1:D$2500,,0,1)</f>
        <v>720</v>
      </c>
      <c r="F1768" s="19">
        <v>2</v>
      </c>
      <c r="G1768" s="20">
        <f t="shared" si="50"/>
        <v>1440</v>
      </c>
      <c r="H1768" s="217" t="s">
        <v>603</v>
      </c>
    </row>
    <row r="1769" spans="1:8" ht="15">
      <c r="A1769" s="211" t="s">
        <v>487</v>
      </c>
      <c r="B1769" s="216" t="str">
        <f ca="1">_xlfn.CONCAT(B1764,A1769)</f>
        <v>14D86AED-D</v>
      </c>
      <c r="C1769" s="17" t="str">
        <f>_xlfn.XLOOKUP(H1769,'Materiales unitario'!$A$1:$A$2500,'Materiales unitario'!B$1:B$2500,,0,1)</f>
        <v>Adaptador terminal PVC ø3/4"</v>
      </c>
      <c r="D1769" s="184" t="str">
        <f>_xlfn.XLOOKUP(H1769,'Materiales unitario'!A$1:A$2500,'Materiales unitario'!C$1:C$2500,,0,1)</f>
        <v>un</v>
      </c>
      <c r="E1769" s="197">
        <f>_xlfn.XLOOKUP(H1769,'Materiales unitario'!$A$1:$A$2500,'Materiales unitario'!D$1:D$2500,,0,1)</f>
        <v>920</v>
      </c>
      <c r="F1769" s="19">
        <v>0.3</v>
      </c>
      <c r="G1769" s="20">
        <f t="shared" si="50"/>
        <v>276</v>
      </c>
      <c r="H1769" s="217" t="s">
        <v>604</v>
      </c>
    </row>
    <row r="1770" spans="1:8" ht="15">
      <c r="A1770" s="211" t="s">
        <v>488</v>
      </c>
      <c r="B1770" s="216" t="str">
        <f ca="1">_xlfn.CONCAT(B1764,A1770)</f>
        <v>14D86AED-E</v>
      </c>
      <c r="C1770" s="17" t="str">
        <f>_xlfn.XLOOKUP(H1770,'Materiales unitario'!$A$1:$A$2500,'Materiales unitario'!B$1:B$2500,,0,1)</f>
        <v>Caja galvanizada ref. 2400 (Cal. 20)</v>
      </c>
      <c r="D1770" s="184" t="str">
        <f>_xlfn.XLOOKUP(H1770,'Materiales unitario'!A$1:A$2500,'Materiales unitario'!C$1:C$2500,,0,1)</f>
        <v>un</v>
      </c>
      <c r="E1770" s="197">
        <f>_xlfn.XLOOKUP(H1770,'Materiales unitario'!$A$1:$A$2500,'Materiales unitario'!D$1:D$2500,,0,1)</f>
        <v>3150</v>
      </c>
      <c r="F1770" s="19">
        <v>0.1</v>
      </c>
      <c r="G1770" s="20">
        <f t="shared" si="50"/>
        <v>315</v>
      </c>
      <c r="H1770" s="217" t="s">
        <v>605</v>
      </c>
    </row>
    <row r="1771" spans="1:8" ht="15">
      <c r="A1771" s="211" t="s">
        <v>489</v>
      </c>
      <c r="B1771" s="216" t="str">
        <f ca="1">_xlfn.CONCAT(B1764,A1771)</f>
        <v>14D86AED-F</v>
      </c>
      <c r="C1771" s="17" t="str">
        <f>_xlfn.XLOOKUP(H1771,'Materiales unitario'!$A$1:$A$2500,'Materiales unitario'!B$1:B$2500,,0,1)</f>
        <v>Caja galvanizada ref. 5800 (Cal. 20)</v>
      </c>
      <c r="D1771" s="184" t="str">
        <f>_xlfn.XLOOKUP(H1771,'Materiales unitario'!A$1:A$2500,'Materiales unitario'!C$1:C$2500,,0,1)</f>
        <v>un</v>
      </c>
      <c r="E1771" s="197">
        <f>_xlfn.XLOOKUP(H1771,'Materiales unitario'!$A$1:$A$2500,'Materiales unitario'!D$1:D$2500,,0,1)</f>
        <v>2900</v>
      </c>
      <c r="F1771" s="19">
        <v>0.1</v>
      </c>
      <c r="G1771" s="20">
        <f t="shared" si="50"/>
        <v>290</v>
      </c>
      <c r="H1771" s="217" t="s">
        <v>606</v>
      </c>
    </row>
    <row r="1772" spans="1:8" ht="15">
      <c r="A1772" s="211" t="s">
        <v>490</v>
      </c>
      <c r="B1772" s="216" t="str">
        <f ca="1">_xlfn.CONCAT(B1764,A1772)</f>
        <v>14D86AED-G</v>
      </c>
      <c r="C1772" s="17" t="str">
        <f>_xlfn.XLOOKUP(H1772,'Materiales unitario'!$A$1:$A$2500,'Materiales unitario'!B$1:B$2500,,0,1)</f>
        <v>Caja galvanizada octagonal (Cal. 20)</v>
      </c>
      <c r="D1772" s="184" t="str">
        <f>_xlfn.XLOOKUP(H1772,'Materiales unitario'!A$1:A$2500,'Materiales unitario'!C$1:C$2500,,0,1)</f>
        <v>un</v>
      </c>
      <c r="E1772" s="197">
        <f>_xlfn.XLOOKUP(H1772,'Materiales unitario'!$A$1:$A$2500,'Materiales unitario'!D$1:D$2500,,0,1)</f>
        <v>2900</v>
      </c>
      <c r="F1772" s="19">
        <v>1</v>
      </c>
      <c r="G1772" s="20">
        <f t="shared" si="50"/>
        <v>2900</v>
      </c>
      <c r="H1772" s="217" t="s">
        <v>607</v>
      </c>
    </row>
    <row r="1773" spans="1:8" ht="15">
      <c r="A1773" s="211" t="s">
        <v>491</v>
      </c>
      <c r="B1773" s="216" t="str">
        <f ca="1">_xlfn.CONCAT(B1764,A1773)</f>
        <v>14D86AED-H</v>
      </c>
      <c r="C1773" s="17" t="str">
        <f>_xlfn.XLOOKUP(H1773,'Materiales unitario'!$A$1:$A$2500,'Materiales unitario'!B$1:B$2500,,0,1)</f>
        <v xml:space="preserve">Tornillo lámina #14x1/2" goloso </v>
      </c>
      <c r="D1773" s="184" t="str">
        <f>_xlfn.XLOOKUP(H1773,'Materiales unitario'!A$1:A$2500,'Materiales unitario'!C$1:C$2500,,0,1)</f>
        <v>un</v>
      </c>
      <c r="E1773" s="197">
        <f>_xlfn.XLOOKUP(H1773,'Materiales unitario'!$A$1:$A$2500,'Materiales unitario'!D$1:D$2500,,0,1)</f>
        <v>200</v>
      </c>
      <c r="F1773" s="19">
        <v>2</v>
      </c>
      <c r="G1773" s="20">
        <f t="shared" si="50"/>
        <v>400</v>
      </c>
      <c r="H1773" s="217" t="s">
        <v>608</v>
      </c>
    </row>
    <row r="1774" spans="1:8" ht="15">
      <c r="A1774" s="211" t="s">
        <v>492</v>
      </c>
      <c r="B1774" s="216" t="str">
        <f ca="1">_xlfn.CONCAT(B1764,A1774)</f>
        <v>14D86AED-I</v>
      </c>
      <c r="C1774" s="17" t="str">
        <f>_xlfn.XLOOKUP(H1774,'Materiales unitario'!$A$1:$A$2500,'Materiales unitario'!B$1:B$2500,,0,1)</f>
        <v>Suplemento galvanizado de ø1/4" (Cal. 24)</v>
      </c>
      <c r="D1774" s="184" t="str">
        <f>_xlfn.XLOOKUP(H1774,'Materiales unitario'!A$1:A$2500,'Materiales unitario'!C$1:C$2500,,0,1)</f>
        <v>un</v>
      </c>
      <c r="E1774" s="197">
        <f>_xlfn.XLOOKUP(H1774,'Materiales unitario'!$A$1:$A$2500,'Materiales unitario'!D$1:D$2500,,0,1)</f>
        <v>1200</v>
      </c>
      <c r="F1774" s="19">
        <v>0.5</v>
      </c>
      <c r="G1774" s="20">
        <f t="shared" si="50"/>
        <v>600</v>
      </c>
      <c r="H1774" s="217" t="s">
        <v>609</v>
      </c>
    </row>
    <row r="1775" spans="1:8" ht="15">
      <c r="A1775" s="211" t="s">
        <v>493</v>
      </c>
      <c r="B1775" s="216" t="str">
        <f ca="1">_xlfn.CONCAT(B1764,A1775)</f>
        <v>14D86AED-J</v>
      </c>
      <c r="C1775" s="17" t="str">
        <f>_xlfn.XLOOKUP(H1775,'Materiales unitario'!$A$1:$A$2500,'Materiales unitario'!B$1:B$2500,,0,1)</f>
        <v>Conector de resorte rojo "R" 18-10 AWG</v>
      </c>
      <c r="D1775" s="184" t="str">
        <f>_xlfn.XLOOKUP(H1775,'Materiales unitario'!A$1:A$2500,'Materiales unitario'!C$1:C$2500,,0,1)</f>
        <v>un</v>
      </c>
      <c r="E1775" s="197">
        <f>_xlfn.XLOOKUP(H1775,'Materiales unitario'!$A$1:$A$2500,'Materiales unitario'!D$1:D$2500,,0,1)</f>
        <v>280</v>
      </c>
      <c r="F1775" s="19">
        <v>3</v>
      </c>
      <c r="G1775" s="20">
        <f t="shared" si="50"/>
        <v>840</v>
      </c>
      <c r="H1775" s="217" t="s">
        <v>302</v>
      </c>
    </row>
    <row r="1776" spans="1:8" ht="15">
      <c r="A1776" s="211" t="s">
        <v>494</v>
      </c>
      <c r="B1776" s="216" t="str">
        <f ca="1">_xlfn.CONCAT(B1764,A1776)</f>
        <v>14D86AED-K</v>
      </c>
      <c r="C1776" s="17" t="str">
        <f>_xlfn.XLOOKUP(H1776,'Materiales unitario'!$A$1:$A$2500,'Materiales unitario'!B$1:B$2500,,0,1)</f>
        <v>Soldadura liquida PVC 1/4 de galón</v>
      </c>
      <c r="D1776" s="184" t="str">
        <f>_xlfn.XLOOKUP(H1776,'Materiales unitario'!A$1:A$2500,'Materiales unitario'!C$1:C$2500,,0,1)</f>
        <v>un</v>
      </c>
      <c r="E1776" s="197">
        <f>_xlfn.XLOOKUP(H1776,'Materiales unitario'!$A$1:$A$2500,'Materiales unitario'!D$1:D$2500,,0,1)</f>
        <v>60900</v>
      </c>
      <c r="F1776" s="19">
        <v>1.2E-2</v>
      </c>
      <c r="G1776" s="20">
        <f t="shared" si="50"/>
        <v>730.80000000000007</v>
      </c>
      <c r="H1776" s="217" t="s">
        <v>530</v>
      </c>
    </row>
    <row r="1777" spans="1:8" ht="15">
      <c r="A1777" s="211" t="s">
        <v>495</v>
      </c>
      <c r="B1777" s="216" t="str">
        <f ca="1">_xlfn.CONCAT(B1764,A1777)</f>
        <v>14D86AED-L</v>
      </c>
      <c r="C1777" s="17" t="str">
        <f>_xlfn.XLOOKUP(H1777,'Materiales unitario'!$A$1:$A$2500,'Materiales unitario'!B$1:B$2500,,0,1)</f>
        <v>Cable de cobre aislado #12 AWG-THHN/THWN Color negro</v>
      </c>
      <c r="D1777" s="184" t="str">
        <f>_xlfn.XLOOKUP(H1777,'Materiales unitario'!A$1:A$2500,'Materiales unitario'!C$1:C$2500,,0,1)</f>
        <v>ml</v>
      </c>
      <c r="E1777" s="197">
        <f>_xlfn.XLOOKUP(H1777,'Materiales unitario'!$A$1:$A$2500,'Materiales unitario'!D$1:D$2500,,0,1)</f>
        <v>3020</v>
      </c>
      <c r="F1777" s="19">
        <v>18</v>
      </c>
      <c r="G1777" s="20">
        <f t="shared" si="50"/>
        <v>54360</v>
      </c>
      <c r="H1777" s="217" t="s">
        <v>267</v>
      </c>
    </row>
    <row r="1778" spans="1:8" ht="15">
      <c r="A1778" s="211" t="s">
        <v>496</v>
      </c>
      <c r="B1778" s="216" t="str">
        <f ca="1">_xlfn.CONCAT(B1764,A1778)</f>
        <v>14D86AED-M</v>
      </c>
      <c r="C1778" s="17"/>
      <c r="D1778" s="184"/>
      <c r="E1778" s="197"/>
      <c r="F1778" s="19"/>
      <c r="G1778" s="20"/>
      <c r="H1778" s="217"/>
    </row>
    <row r="1779" spans="1:8">
      <c r="A1779" s="211" t="s">
        <v>497</v>
      </c>
      <c r="B1779" s="216" t="str">
        <f ca="1">_xlfn.CONCAT(B1764,A1779)</f>
        <v>14D86AED-N</v>
      </c>
      <c r="C1779" s="17"/>
      <c r="D1779" s="184"/>
      <c r="E1779" s="197"/>
      <c r="F1779" s="19"/>
      <c r="G1779" s="20"/>
    </row>
    <row r="1780" spans="1:8">
      <c r="A1780" s="211" t="s">
        <v>498</v>
      </c>
      <c r="B1780" s="216" t="str">
        <f ca="1">_xlfn.CONCAT(B1764,A1780)</f>
        <v>14D86AED-O</v>
      </c>
      <c r="C1780" s="17"/>
      <c r="D1780" s="184"/>
      <c r="E1780" s="197"/>
      <c r="F1780" s="19"/>
      <c r="G1780" s="20"/>
    </row>
    <row r="1781" spans="1:8">
      <c r="A1781" s="211" t="s">
        <v>499</v>
      </c>
      <c r="B1781" s="216" t="str">
        <f ca="1">_xlfn.CONCAT(B1764,A1781)</f>
        <v>14D86AED-P</v>
      </c>
      <c r="C1781" s="17"/>
      <c r="D1781" s="184"/>
      <c r="E1781" s="197"/>
      <c r="F1781" s="19"/>
      <c r="G1781" s="20"/>
    </row>
    <row r="1782" spans="1:8">
      <c r="A1782" s="211" t="s">
        <v>500</v>
      </c>
      <c r="B1782" s="216" t="str">
        <f ca="1">_xlfn.CONCAT(B1764,A1782)</f>
        <v>14D86AED-Q</v>
      </c>
      <c r="C1782" s="17"/>
      <c r="D1782" s="184"/>
      <c r="E1782" s="197"/>
      <c r="F1782" s="19"/>
      <c r="G1782" s="20"/>
    </row>
    <row r="1783" spans="1:8">
      <c r="A1783" s="211" t="s">
        <v>501</v>
      </c>
      <c r="B1783" s="216" t="str">
        <f ca="1">_xlfn.CONCAT(B1764,A1783)</f>
        <v>14D86AED-R</v>
      </c>
      <c r="C1783" s="17"/>
      <c r="D1783" s="184"/>
      <c r="E1783" s="197"/>
      <c r="F1783" s="19"/>
      <c r="G1783" s="20"/>
    </row>
    <row r="1784" spans="1:8">
      <c r="A1784" s="211" t="s">
        <v>502</v>
      </c>
      <c r="B1784" s="216" t="str">
        <f ca="1">_xlfn.CONCAT(B1764,A1784)</f>
        <v>14D86AED-S</v>
      </c>
      <c r="C1784" s="17"/>
      <c r="D1784" s="184"/>
      <c r="E1784" s="197"/>
      <c r="F1784" s="19"/>
      <c r="G1784" s="20"/>
    </row>
    <row r="1785" spans="1:8">
      <c r="A1785" s="211" t="s">
        <v>503</v>
      </c>
      <c r="B1785" s="216" t="str">
        <f ca="1">_xlfn.CONCAT(B1764,A1785)</f>
        <v>14D86AED-T</v>
      </c>
      <c r="C1785" s="17"/>
      <c r="D1785" s="184"/>
      <c r="E1785" s="197"/>
      <c r="F1785" s="19"/>
      <c r="G1785" s="20"/>
    </row>
    <row r="1786" spans="1:8" ht="14.25" thickBot="1">
      <c r="A1786" s="211" t="s">
        <v>504</v>
      </c>
      <c r="B1786" s="216" t="str">
        <f ca="1">_xlfn.CONCAT(B1764,A1786)</f>
        <v>14D86AED-U</v>
      </c>
      <c r="C1786" s="17"/>
      <c r="D1786" s="184"/>
      <c r="E1786" s="197"/>
      <c r="F1786" s="19"/>
      <c r="G1786" s="20"/>
    </row>
    <row r="1787" spans="1:8" ht="16.5" customHeight="1" thickBot="1">
      <c r="A1787" s="211" t="s">
        <v>505</v>
      </c>
      <c r="B1787" s="216" t="str">
        <f ca="1">_xlfn.CONCAT(B1764,A1787)</f>
        <v>14D86AED-V</v>
      </c>
      <c r="C1787" s="17" t="s">
        <v>17</v>
      </c>
      <c r="D1787" s="192" t="s">
        <v>17</v>
      </c>
      <c r="E1787" s="18"/>
      <c r="F1787" s="22" t="s">
        <v>18</v>
      </c>
      <c r="G1787" s="23">
        <f>SUM(G1766:G1786)</f>
        <v>78185.133333333331</v>
      </c>
    </row>
    <row r="1788" spans="1:8" ht="28.5" customHeight="1" thickBot="1">
      <c r="A1788" s="211" t="s">
        <v>506</v>
      </c>
      <c r="B1788" s="216" t="str">
        <f ca="1">_xlfn.CONCAT(B1764,A1788)</f>
        <v>14D86AED-W</v>
      </c>
      <c r="C1788" s="10" t="s">
        <v>19</v>
      </c>
      <c r="D1788" s="190"/>
      <c r="E1788" s="11"/>
      <c r="F1788" s="12"/>
      <c r="G1788" s="13"/>
    </row>
    <row r="1789" spans="1:8" s="47" customFormat="1" ht="23.25" customHeight="1" thickBot="1">
      <c r="A1789" s="211" t="s">
        <v>507</v>
      </c>
      <c r="B1789" s="216" t="str">
        <f ca="1">_xlfn.CONCAT(B1764,A1789)</f>
        <v>14D86AED-X</v>
      </c>
      <c r="C1789" s="14" t="s">
        <v>1</v>
      </c>
      <c r="D1789" s="15"/>
      <c r="E1789" s="15" t="s">
        <v>20</v>
      </c>
      <c r="F1789" s="16" t="s">
        <v>21</v>
      </c>
      <c r="G1789" s="15" t="s">
        <v>5</v>
      </c>
      <c r="H1789" s="215"/>
    </row>
    <row r="1790" spans="1:8">
      <c r="A1790" s="211" t="s">
        <v>508</v>
      </c>
      <c r="B1790" s="216" t="str">
        <f ca="1">_xlfn.CONCAT(B1764,A1790)</f>
        <v>14D86AED-Y</v>
      </c>
      <c r="C1790" s="24" t="s">
        <v>22</v>
      </c>
      <c r="D1790" s="184"/>
      <c r="E1790" s="25">
        <f>_xlfn.XLOOKUP(C1790,'H-MO'!B$7:B$30,'H-MO'!D$7:D$30,,0,1)</f>
        <v>2436.5624999999995</v>
      </c>
      <c r="F1790" s="19">
        <v>0.3</v>
      </c>
      <c r="G1790" s="33">
        <f t="shared" ref="G1790:G1795" si="51">+E1790*F1790</f>
        <v>730.96874999999989</v>
      </c>
    </row>
    <row r="1791" spans="1:8">
      <c r="A1791" s="211" t="s">
        <v>509</v>
      </c>
      <c r="B1791" s="216" t="str">
        <f ca="1">_xlfn.CONCAT(B1764,A1791)</f>
        <v>14D86AED-Z</v>
      </c>
      <c r="C1791" s="24" t="s">
        <v>23</v>
      </c>
      <c r="D1791" s="184"/>
      <c r="E1791" s="25">
        <f>_xlfn.XLOOKUP(C1791,'H-MO'!B$7:B$30,'H-MO'!D$7:D$30,,0,1)</f>
        <v>1461.9374999999998</v>
      </c>
      <c r="F1791" s="19">
        <v>9.7711304347826086E-2</v>
      </c>
      <c r="G1791" s="33">
        <f t="shared" si="51"/>
        <v>142.84781999999998</v>
      </c>
    </row>
    <row r="1792" spans="1:8">
      <c r="A1792" s="211" t="s">
        <v>510</v>
      </c>
      <c r="B1792" s="216" t="str">
        <f ca="1">_xlfn.CONCAT(B1764,A1792)</f>
        <v>14D86AED-aa</v>
      </c>
      <c r="C1792" s="24" t="s">
        <v>24</v>
      </c>
      <c r="D1792" s="185"/>
      <c r="E1792" s="25">
        <f>_xlfn.XLOOKUP(C1792,'H-MO'!B$7:B$30,'H-MO'!D$7:D$30,,0,1)</f>
        <v>29238.749999999996</v>
      </c>
      <c r="F1792" s="28">
        <v>1.6285217391304348E-3</v>
      </c>
      <c r="G1792" s="33">
        <f t="shared" si="51"/>
        <v>47.615939999999995</v>
      </c>
    </row>
    <row r="1793" spans="1:8">
      <c r="A1793" s="211" t="s">
        <v>511</v>
      </c>
      <c r="B1793" s="216" t="str">
        <f ca="1">_xlfn.CONCAT(B1764,A1793)</f>
        <v>14D86AED-ab</v>
      </c>
      <c r="C1793" s="24" t="s">
        <v>25</v>
      </c>
      <c r="D1793" s="185"/>
      <c r="E1793" s="25">
        <f>_xlfn.XLOOKUP(C1793,'H-MO'!B$7:B$30,'H-MO'!D$7:D$30,,0,1)</f>
        <v>2761.4374999999995</v>
      </c>
      <c r="F1793" s="28">
        <v>0.3</v>
      </c>
      <c r="G1793" s="33">
        <f t="shared" si="51"/>
        <v>828.43124999999986</v>
      </c>
    </row>
    <row r="1794" spans="1:8">
      <c r="A1794" s="211" t="s">
        <v>512</v>
      </c>
      <c r="B1794" s="216" t="str">
        <f ca="1">_xlfn.CONCAT(B1764,A1794)</f>
        <v>14D86AED-ac</v>
      </c>
      <c r="C1794" s="24"/>
      <c r="D1794" s="185"/>
      <c r="E1794" s="29"/>
      <c r="F1794" s="28"/>
      <c r="G1794" s="33">
        <f t="shared" si="51"/>
        <v>0</v>
      </c>
    </row>
    <row r="1795" spans="1:8" ht="14.25" thickBot="1">
      <c r="A1795" s="211" t="s">
        <v>513</v>
      </c>
      <c r="B1795" s="216" t="str">
        <f ca="1">_xlfn.CONCAT(B1764,A1795)</f>
        <v>14D86AED-ad</v>
      </c>
      <c r="C1795" s="24"/>
      <c r="D1795" s="185"/>
      <c r="E1795" s="29"/>
      <c r="F1795" s="28"/>
      <c r="G1795" s="33">
        <f t="shared" si="51"/>
        <v>0</v>
      </c>
    </row>
    <row r="1796" spans="1:8" ht="16.5" customHeight="1" thickBot="1">
      <c r="A1796" s="211" t="s">
        <v>514</v>
      </c>
      <c r="B1796" s="216" t="str">
        <f ca="1">_xlfn.CONCAT(B1764,A1796)</f>
        <v>14D86AED-ae</v>
      </c>
      <c r="C1796" s="17"/>
      <c r="D1796" s="192"/>
      <c r="E1796" s="18"/>
      <c r="F1796" s="22" t="s">
        <v>26</v>
      </c>
      <c r="G1796" s="23">
        <f>SUM(G1790:G1795)</f>
        <v>1749.8637599999997</v>
      </c>
    </row>
    <row r="1797" spans="1:8" ht="28.5" customHeight="1" thickBot="1">
      <c r="A1797" s="211" t="s">
        <v>515</v>
      </c>
      <c r="B1797" s="216" t="str">
        <f ca="1">_xlfn.CONCAT(B1764,A1797)</f>
        <v>14D86AED-af</v>
      </c>
      <c r="C1797" s="10" t="s">
        <v>27</v>
      </c>
      <c r="D1797" s="190"/>
      <c r="E1797" s="11"/>
      <c r="F1797" s="12"/>
      <c r="G1797" s="13"/>
    </row>
    <row r="1798" spans="1:8" s="47" customFormat="1" ht="23.25" customHeight="1" thickBot="1">
      <c r="A1798" s="211" t="s">
        <v>516</v>
      </c>
      <c r="B1798" s="216" t="str">
        <f ca="1">_xlfn.CONCAT(B1764,A1798)</f>
        <v>14D86AED-ag</v>
      </c>
      <c r="C1798" s="14" t="s">
        <v>1</v>
      </c>
      <c r="D1798" s="15" t="s">
        <v>28</v>
      </c>
      <c r="E1798" s="15" t="s">
        <v>20</v>
      </c>
      <c r="F1798" s="16" t="s">
        <v>21</v>
      </c>
      <c r="G1798" s="15" t="s">
        <v>5</v>
      </c>
      <c r="H1798" s="215"/>
    </row>
    <row r="1799" spans="1:8">
      <c r="A1799" s="211" t="s">
        <v>517</v>
      </c>
      <c r="B1799" s="216" t="str">
        <f ca="1">_xlfn.CONCAT(B1764,A1799)</f>
        <v>14D86AED-ah</v>
      </c>
      <c r="C1799" s="30" t="s">
        <v>29</v>
      </c>
      <c r="D1799" s="186">
        <f>'H-MO'!$N$77</f>
        <v>725918.52892505517</v>
      </c>
      <c r="E1799" s="31">
        <f>+D1799/8</f>
        <v>90739.816115631897</v>
      </c>
      <c r="F1799" s="32">
        <v>0.35</v>
      </c>
      <c r="G1799" s="33">
        <f>+E1799*F1799</f>
        <v>31758.935640471162</v>
      </c>
    </row>
    <row r="1800" spans="1:8">
      <c r="A1800" s="211" t="s">
        <v>518</v>
      </c>
      <c r="B1800" s="216" t="str">
        <f ca="1">_xlfn.CONCAT(B1764,A1800)</f>
        <v>14D86AED-ai</v>
      </c>
      <c r="C1800" s="34" t="s">
        <v>30</v>
      </c>
      <c r="D1800" s="187">
        <f>'H-MO'!$N$86</f>
        <v>685561.39085756091</v>
      </c>
      <c r="E1800" s="29">
        <f>+D1800/8</f>
        <v>85695.173857195114</v>
      </c>
      <c r="F1800" s="28">
        <v>0.05</v>
      </c>
      <c r="G1800" s="33">
        <f>+E1800*F1800</f>
        <v>4284.7586928597557</v>
      </c>
    </row>
    <row r="1801" spans="1:8" ht="14.25" thickBot="1">
      <c r="A1801" s="211" t="s">
        <v>519</v>
      </c>
      <c r="B1801" s="216" t="str">
        <f ca="1">_xlfn.CONCAT(B1764,A1801)</f>
        <v>14D86AED-aj</v>
      </c>
      <c r="C1801" s="34"/>
      <c r="D1801" s="187"/>
      <c r="E1801" s="29"/>
      <c r="F1801" s="28"/>
      <c r="G1801" s="33">
        <f>+E1801*F1801</f>
        <v>0</v>
      </c>
    </row>
    <row r="1802" spans="1:8" ht="17.25" customHeight="1" thickBot="1">
      <c r="A1802" s="211" t="s">
        <v>520</v>
      </c>
      <c r="B1802" s="216" t="str">
        <f ca="1">_xlfn.CONCAT(B1764,A1802)</f>
        <v>14D86AED-ak</v>
      </c>
      <c r="C1802" s="34"/>
      <c r="D1802" s="185"/>
      <c r="E1802" s="26"/>
      <c r="F1802" s="36" t="s">
        <v>31</v>
      </c>
      <c r="G1802" s="23">
        <f>SUM(G1799:G1801)</f>
        <v>36043.694333330917</v>
      </c>
    </row>
    <row r="1803" spans="1:8" ht="14.25" thickBot="1">
      <c r="A1803" s="211" t="s">
        <v>521</v>
      </c>
      <c r="B1803" s="216" t="str">
        <f ca="1">_xlfn.CONCAT(B1764,A1803)</f>
        <v>14D86AED-al</v>
      </c>
      <c r="C1803" s="37"/>
      <c r="E1803" s="38"/>
      <c r="F1803" s="22"/>
      <c r="G1803" s="39"/>
    </row>
    <row r="1804" spans="1:8" ht="23.25" customHeight="1" thickBot="1">
      <c r="A1804" s="211" t="s">
        <v>522</v>
      </c>
      <c r="B1804" s="216" t="str">
        <f ca="1">_xlfn.CONCAT(B1764,A1804)</f>
        <v>14D86AED-am</v>
      </c>
      <c r="C1804" s="40"/>
      <c r="D1804" s="193"/>
      <c r="E1804" s="41"/>
      <c r="F1804" s="42"/>
      <c r="G1804" s="43">
        <f>+G1787+G1796+G1802</f>
        <v>115978.69142666424</v>
      </c>
    </row>
    <row r="1805" spans="1:8" ht="21.75" thickBot="1">
      <c r="B1805" s="212" t="s">
        <v>550</v>
      </c>
      <c r="C1805" s="2"/>
      <c r="D1805" s="183"/>
      <c r="F1805" s="4"/>
      <c r="G1805" s="5"/>
    </row>
    <row r="1806" spans="1:8" s="45" customFormat="1" ht="34.5" customHeight="1">
      <c r="A1806" s="213"/>
      <c r="B1806" s="214">
        <v>42</v>
      </c>
      <c r="C1806" s="242" t="str">
        <f ca="1">_xlfn.XLOOKUP(B1806,Cantidades!$A$10:$A$314,Cantidades!$C$10:$C$314,,0,1)</f>
        <v>Suministro e instalación de salida luminaria panel led en techo. Incluye caja de conexión, cable #12 AWG de cobre, tubería PVC tipo A y demás accesorios para su correcta instalación,  fincionamiento y señalización.</v>
      </c>
      <c r="D1806" s="243"/>
      <c r="E1806" s="243"/>
      <c r="F1806" s="243"/>
      <c r="G1806" s="244"/>
      <c r="H1806" s="213"/>
    </row>
    <row r="1807" spans="1:8" s="47" customFormat="1" ht="24.95" customHeight="1" thickBot="1">
      <c r="A1807" s="215"/>
      <c r="B1807" s="216" t="s">
        <v>550</v>
      </c>
      <c r="C1807" s="177"/>
      <c r="D1807" s="189"/>
      <c r="E1807" s="178"/>
      <c r="F1807" s="179" t="s">
        <v>636</v>
      </c>
      <c r="G1807" s="209" t="str">
        <f ca="1">B1808</f>
        <v>23A642FA-</v>
      </c>
      <c r="H1807" s="215"/>
    </row>
    <row r="1808" spans="1:8" ht="28.5" customHeight="1" thickBot="1">
      <c r="B1808" s="212" t="str">
        <f ca="1">_xlfn.XLOOKUP(C1806,Cantidades!$C$1:$C$314,Cantidades!$B$1:$B$314,"",0,1)</f>
        <v>23A642FA-</v>
      </c>
      <c r="C1808" s="10" t="s">
        <v>0</v>
      </c>
      <c r="D1808" s="190"/>
      <c r="E1808" s="11"/>
      <c r="F1808" s="12"/>
      <c r="G1808" s="13"/>
    </row>
    <row r="1809" spans="1:8" s="47" customFormat="1" ht="23.25" customHeight="1" thickBot="1">
      <c r="A1809" s="215"/>
      <c r="B1809" s="216" t="s">
        <v>550</v>
      </c>
      <c r="C1809" s="14" t="s">
        <v>1</v>
      </c>
      <c r="D1809" s="15" t="s">
        <v>2</v>
      </c>
      <c r="E1809" s="15" t="s">
        <v>3</v>
      </c>
      <c r="F1809" s="16" t="s">
        <v>4</v>
      </c>
      <c r="G1809" s="15" t="s">
        <v>5</v>
      </c>
      <c r="H1809" s="215"/>
    </row>
    <row r="1810" spans="1:8" ht="15">
      <c r="A1810" s="211" t="s">
        <v>484</v>
      </c>
      <c r="B1810" s="216" t="str">
        <f ca="1">_xlfn.CONCAT(B1808,A1810)</f>
        <v>23A642FA-A</v>
      </c>
      <c r="C1810" s="17" t="str">
        <f>_xlfn.XLOOKUP(H1810,'Materiales unitario'!$A$1:$A$2500,'Materiales unitario'!B$1:B$2500,,0,1)</f>
        <v>Tubo Conduit PVC 1-2 Pulgadas</v>
      </c>
      <c r="D1810" s="184" t="str">
        <f>_xlfn.XLOOKUP(H1810,'Materiales unitario'!A$1:A$2500,'Materiales unitario'!C$1:C$2500,,0,1)</f>
        <v>ml</v>
      </c>
      <c r="E1810" s="197">
        <f>_xlfn.XLOOKUP(H1810,'Materiales unitario'!$A$1:$A$2500,'Materiales unitario'!D$1:D$2500,,0,1)</f>
        <v>1600</v>
      </c>
      <c r="F1810" s="19">
        <v>3.2</v>
      </c>
      <c r="G1810" s="20">
        <f>+E1810*F1810</f>
        <v>5120</v>
      </c>
      <c r="H1810" s="217" t="s">
        <v>613</v>
      </c>
    </row>
    <row r="1811" spans="1:8" ht="15">
      <c r="A1811" s="211" t="s">
        <v>485</v>
      </c>
      <c r="B1811" s="216" t="str">
        <f ca="1">_xlfn.CONCAT(B1808,A1811)</f>
        <v>23A642FA-B</v>
      </c>
      <c r="C1811" s="17" t="str">
        <f>_xlfn.XLOOKUP(H1811,'Materiales unitario'!$A$1:$A$2500,'Materiales unitario'!B$1:B$2500,,0,1)</f>
        <v>Tubo Conduit PVC 3-4 Pulgadas</v>
      </c>
      <c r="D1811" s="184" t="str">
        <f>_xlfn.XLOOKUP(H1811,'Materiales unitario'!A$1:A$2500,'Materiales unitario'!C$1:C$2500,,0,1)</f>
        <v>ml</v>
      </c>
      <c r="E1811" s="197">
        <f>_xlfn.XLOOKUP(H1811,'Materiales unitario'!$A$1:$A$2500,'Materiales unitario'!D$1:D$2500,,0,1)</f>
        <v>2066.6666666666665</v>
      </c>
      <c r="F1811" s="19">
        <v>0.8</v>
      </c>
      <c r="G1811" s="20">
        <f t="shared" ref="G1811:G1821" si="52">+E1811*F1811</f>
        <v>1653.3333333333333</v>
      </c>
      <c r="H1811" s="217" t="s">
        <v>614</v>
      </c>
    </row>
    <row r="1812" spans="1:8" ht="15">
      <c r="A1812" s="211" t="s">
        <v>486</v>
      </c>
      <c r="B1812" s="216" t="str">
        <f ca="1">_xlfn.CONCAT(B1808,A1812)</f>
        <v>23A642FA-C</v>
      </c>
      <c r="C1812" s="17" t="str">
        <f>_xlfn.XLOOKUP(H1812,'Materiales unitario'!$A$1:$A$2500,'Materiales unitario'!B$1:B$2500,,0,1)</f>
        <v>Adaptador terminal PVC ø1/2"</v>
      </c>
      <c r="D1812" s="184" t="str">
        <f>_xlfn.XLOOKUP(H1812,'Materiales unitario'!A$1:A$2500,'Materiales unitario'!C$1:C$2500,,0,1)</f>
        <v>un</v>
      </c>
      <c r="E1812" s="197">
        <f>_xlfn.XLOOKUP(H1812,'Materiales unitario'!$A$1:$A$2500,'Materiales unitario'!D$1:D$2500,,0,1)</f>
        <v>720</v>
      </c>
      <c r="F1812" s="19">
        <v>2</v>
      </c>
      <c r="G1812" s="20">
        <f t="shared" si="52"/>
        <v>1440</v>
      </c>
      <c r="H1812" s="217" t="s">
        <v>603</v>
      </c>
    </row>
    <row r="1813" spans="1:8" ht="15">
      <c r="A1813" s="211" t="s">
        <v>487</v>
      </c>
      <c r="B1813" s="216" t="str">
        <f ca="1">_xlfn.CONCAT(B1808,A1813)</f>
        <v>23A642FA-D</v>
      </c>
      <c r="C1813" s="17" t="str">
        <f>_xlfn.XLOOKUP(H1813,'Materiales unitario'!$A$1:$A$2500,'Materiales unitario'!B$1:B$2500,,0,1)</f>
        <v>Adaptador terminal PVC ø3/4"</v>
      </c>
      <c r="D1813" s="184" t="str">
        <f>_xlfn.XLOOKUP(H1813,'Materiales unitario'!A$1:A$2500,'Materiales unitario'!C$1:C$2500,,0,1)</f>
        <v>un</v>
      </c>
      <c r="E1813" s="197">
        <f>_xlfn.XLOOKUP(H1813,'Materiales unitario'!$A$1:$A$2500,'Materiales unitario'!D$1:D$2500,,0,1)</f>
        <v>920</v>
      </c>
      <c r="F1813" s="19">
        <v>0.3</v>
      </c>
      <c r="G1813" s="20">
        <f t="shared" si="52"/>
        <v>276</v>
      </c>
      <c r="H1813" s="217" t="s">
        <v>604</v>
      </c>
    </row>
    <row r="1814" spans="1:8" ht="15">
      <c r="A1814" s="211" t="s">
        <v>488</v>
      </c>
      <c r="B1814" s="216" t="str">
        <f ca="1">_xlfn.CONCAT(B1808,A1814)</f>
        <v>23A642FA-E</v>
      </c>
      <c r="C1814" s="17" t="str">
        <f>_xlfn.XLOOKUP(H1814,'Materiales unitario'!$A$1:$A$2500,'Materiales unitario'!B$1:B$2500,,0,1)</f>
        <v>Caja galvanizada ref. 2400 (Cal. 20)</v>
      </c>
      <c r="D1814" s="184" t="str">
        <f>_xlfn.XLOOKUP(H1814,'Materiales unitario'!A$1:A$2500,'Materiales unitario'!C$1:C$2500,,0,1)</f>
        <v>un</v>
      </c>
      <c r="E1814" s="197">
        <f>_xlfn.XLOOKUP(H1814,'Materiales unitario'!$A$1:$A$2500,'Materiales unitario'!D$1:D$2500,,0,1)</f>
        <v>3150</v>
      </c>
      <c r="F1814" s="19">
        <v>0.1</v>
      </c>
      <c r="G1814" s="20">
        <f t="shared" si="52"/>
        <v>315</v>
      </c>
      <c r="H1814" s="217" t="s">
        <v>605</v>
      </c>
    </row>
    <row r="1815" spans="1:8" ht="15">
      <c r="A1815" s="211" t="s">
        <v>489</v>
      </c>
      <c r="B1815" s="216" t="str">
        <f ca="1">_xlfn.CONCAT(B1808,A1815)</f>
        <v>23A642FA-F</v>
      </c>
      <c r="C1815" s="17" t="str">
        <f>_xlfn.XLOOKUP(H1815,'Materiales unitario'!$A$1:$A$2500,'Materiales unitario'!B$1:B$2500,,0,1)</f>
        <v>Caja galvanizada ref. 5800 (Cal. 20)</v>
      </c>
      <c r="D1815" s="184" t="str">
        <f>_xlfn.XLOOKUP(H1815,'Materiales unitario'!A$1:A$2500,'Materiales unitario'!C$1:C$2500,,0,1)</f>
        <v>un</v>
      </c>
      <c r="E1815" s="197">
        <f>_xlfn.XLOOKUP(H1815,'Materiales unitario'!$A$1:$A$2500,'Materiales unitario'!D$1:D$2500,,0,1)</f>
        <v>2900</v>
      </c>
      <c r="F1815" s="19">
        <v>0.1</v>
      </c>
      <c r="G1815" s="20">
        <f t="shared" si="52"/>
        <v>290</v>
      </c>
      <c r="H1815" s="217" t="s">
        <v>606</v>
      </c>
    </row>
    <row r="1816" spans="1:8" ht="15">
      <c r="A1816" s="211" t="s">
        <v>490</v>
      </c>
      <c r="B1816" s="216" t="str">
        <f ca="1">_xlfn.CONCAT(B1808,A1816)</f>
        <v>23A642FA-G</v>
      </c>
      <c r="C1816" s="17" t="str">
        <f>_xlfn.XLOOKUP(H1816,'Materiales unitario'!$A$1:$A$2500,'Materiales unitario'!B$1:B$2500,,0,1)</f>
        <v>Caja galvanizada octagonal (Cal. 20)</v>
      </c>
      <c r="D1816" s="184" t="str">
        <f>_xlfn.XLOOKUP(H1816,'Materiales unitario'!A$1:A$2500,'Materiales unitario'!C$1:C$2500,,0,1)</f>
        <v>un</v>
      </c>
      <c r="E1816" s="197">
        <f>_xlfn.XLOOKUP(H1816,'Materiales unitario'!$A$1:$A$2500,'Materiales unitario'!D$1:D$2500,,0,1)</f>
        <v>2900</v>
      </c>
      <c r="F1816" s="19">
        <v>1</v>
      </c>
      <c r="G1816" s="20">
        <f t="shared" si="52"/>
        <v>2900</v>
      </c>
      <c r="H1816" s="217" t="s">
        <v>607</v>
      </c>
    </row>
    <row r="1817" spans="1:8" ht="15">
      <c r="A1817" s="211" t="s">
        <v>491</v>
      </c>
      <c r="B1817" s="216" t="str">
        <f ca="1">_xlfn.CONCAT(B1808,A1817)</f>
        <v>23A642FA-H</v>
      </c>
      <c r="C1817" s="17" t="str">
        <f>_xlfn.XLOOKUP(H1817,'Materiales unitario'!$A$1:$A$2500,'Materiales unitario'!B$1:B$2500,,0,1)</f>
        <v xml:space="preserve">Tornillo lámina #14x1/2" goloso </v>
      </c>
      <c r="D1817" s="184" t="str">
        <f>_xlfn.XLOOKUP(H1817,'Materiales unitario'!A$1:A$2500,'Materiales unitario'!C$1:C$2500,,0,1)</f>
        <v>un</v>
      </c>
      <c r="E1817" s="197">
        <f>_xlfn.XLOOKUP(H1817,'Materiales unitario'!$A$1:$A$2500,'Materiales unitario'!D$1:D$2500,,0,1)</f>
        <v>200</v>
      </c>
      <c r="F1817" s="19">
        <v>2</v>
      </c>
      <c r="G1817" s="20">
        <f t="shared" si="52"/>
        <v>400</v>
      </c>
      <c r="H1817" s="217" t="s">
        <v>608</v>
      </c>
    </row>
    <row r="1818" spans="1:8" ht="15">
      <c r="A1818" s="211" t="s">
        <v>492</v>
      </c>
      <c r="B1818" s="216" t="str">
        <f ca="1">_xlfn.CONCAT(B1808,A1818)</f>
        <v>23A642FA-I</v>
      </c>
      <c r="C1818" s="17" t="str">
        <f>_xlfn.XLOOKUP(H1818,'Materiales unitario'!$A$1:$A$2500,'Materiales unitario'!B$1:B$2500,,0,1)</f>
        <v>Suplemento galvanizado de ø1/4" (Cal. 24)</v>
      </c>
      <c r="D1818" s="184" t="str">
        <f>_xlfn.XLOOKUP(H1818,'Materiales unitario'!A$1:A$2500,'Materiales unitario'!C$1:C$2500,,0,1)</f>
        <v>un</v>
      </c>
      <c r="E1818" s="197">
        <f>_xlfn.XLOOKUP(H1818,'Materiales unitario'!$A$1:$A$2500,'Materiales unitario'!D$1:D$2500,,0,1)</f>
        <v>1200</v>
      </c>
      <c r="F1818" s="19">
        <v>0.5</v>
      </c>
      <c r="G1818" s="20">
        <f t="shared" si="52"/>
        <v>600</v>
      </c>
      <c r="H1818" s="217" t="s">
        <v>609</v>
      </c>
    </row>
    <row r="1819" spans="1:8" ht="15">
      <c r="A1819" s="211" t="s">
        <v>493</v>
      </c>
      <c r="B1819" s="216" t="str">
        <f ca="1">_xlfn.CONCAT(B1808,A1819)</f>
        <v>23A642FA-J</v>
      </c>
      <c r="C1819" s="17" t="str">
        <f>_xlfn.XLOOKUP(H1819,'Materiales unitario'!$A$1:$A$2500,'Materiales unitario'!B$1:B$2500,,0,1)</f>
        <v>Conector de resorte rojo "R" 18-10 AWG</v>
      </c>
      <c r="D1819" s="184" t="str">
        <f>_xlfn.XLOOKUP(H1819,'Materiales unitario'!A$1:A$2500,'Materiales unitario'!C$1:C$2500,,0,1)</f>
        <v>un</v>
      </c>
      <c r="E1819" s="197">
        <f>_xlfn.XLOOKUP(H1819,'Materiales unitario'!$A$1:$A$2500,'Materiales unitario'!D$1:D$2500,,0,1)</f>
        <v>280</v>
      </c>
      <c r="F1819" s="19">
        <v>3</v>
      </c>
      <c r="G1819" s="20">
        <f t="shared" si="52"/>
        <v>840</v>
      </c>
      <c r="H1819" s="217" t="s">
        <v>302</v>
      </c>
    </row>
    <row r="1820" spans="1:8" ht="15">
      <c r="A1820" s="211" t="s">
        <v>494</v>
      </c>
      <c r="B1820" s="216" t="str">
        <f ca="1">_xlfn.CONCAT(B1808,A1820)</f>
        <v>23A642FA-K</v>
      </c>
      <c r="C1820" s="17" t="str">
        <f>_xlfn.XLOOKUP(H1820,'Materiales unitario'!$A$1:$A$2500,'Materiales unitario'!B$1:B$2500,,0,1)</f>
        <v>Soldadura liquida PVC 1/4 de galón</v>
      </c>
      <c r="D1820" s="184" t="str">
        <f>_xlfn.XLOOKUP(H1820,'Materiales unitario'!A$1:A$2500,'Materiales unitario'!C$1:C$2500,,0,1)</f>
        <v>un</v>
      </c>
      <c r="E1820" s="197">
        <f>_xlfn.XLOOKUP(H1820,'Materiales unitario'!$A$1:$A$2500,'Materiales unitario'!D$1:D$2500,,0,1)</f>
        <v>60900</v>
      </c>
      <c r="F1820" s="19">
        <v>1.2E-2</v>
      </c>
      <c r="G1820" s="20">
        <f t="shared" si="52"/>
        <v>730.80000000000007</v>
      </c>
      <c r="H1820" s="217" t="s">
        <v>530</v>
      </c>
    </row>
    <row r="1821" spans="1:8" ht="15">
      <c r="A1821" s="211" t="s">
        <v>495</v>
      </c>
      <c r="B1821" s="216" t="str">
        <f ca="1">_xlfn.CONCAT(B1808,A1821)</f>
        <v>23A642FA-L</v>
      </c>
      <c r="C1821" s="17" t="str">
        <f>_xlfn.XLOOKUP(H1821,'Materiales unitario'!$A$1:$A$2500,'Materiales unitario'!B$1:B$2500,,0,1)</f>
        <v>Cable de cobre aislado #12 AWG-THHN/THWN Color negro</v>
      </c>
      <c r="D1821" s="184" t="str">
        <f>_xlfn.XLOOKUP(H1821,'Materiales unitario'!A$1:A$2500,'Materiales unitario'!C$1:C$2500,,0,1)</f>
        <v>ml</v>
      </c>
      <c r="E1821" s="197">
        <f>_xlfn.XLOOKUP(H1821,'Materiales unitario'!$A$1:$A$2500,'Materiales unitario'!D$1:D$2500,,0,1)</f>
        <v>3020</v>
      </c>
      <c r="F1821" s="19">
        <v>18</v>
      </c>
      <c r="G1821" s="20">
        <f t="shared" si="52"/>
        <v>54360</v>
      </c>
      <c r="H1821" s="217" t="s">
        <v>267</v>
      </c>
    </row>
    <row r="1822" spans="1:8" ht="15">
      <c r="A1822" s="211" t="s">
        <v>496</v>
      </c>
      <c r="B1822" s="216" t="str">
        <f ca="1">_xlfn.CONCAT(B1808,A1822)</f>
        <v>23A642FA-M</v>
      </c>
      <c r="C1822" s="17"/>
      <c r="D1822" s="184"/>
      <c r="E1822" s="197"/>
      <c r="F1822" s="19"/>
      <c r="G1822" s="20"/>
      <c r="H1822" s="217"/>
    </row>
    <row r="1823" spans="1:8">
      <c r="A1823" s="211" t="s">
        <v>497</v>
      </c>
      <c r="B1823" s="216" t="str">
        <f ca="1">_xlfn.CONCAT(B1808,A1823)</f>
        <v>23A642FA-N</v>
      </c>
      <c r="C1823" s="17"/>
      <c r="D1823" s="184"/>
      <c r="E1823" s="197"/>
      <c r="F1823" s="19"/>
      <c r="G1823" s="20"/>
    </row>
    <row r="1824" spans="1:8">
      <c r="A1824" s="211" t="s">
        <v>498</v>
      </c>
      <c r="B1824" s="216" t="str">
        <f ca="1">_xlfn.CONCAT(B1808,A1824)</f>
        <v>23A642FA-O</v>
      </c>
      <c r="C1824" s="17"/>
      <c r="D1824" s="184"/>
      <c r="E1824" s="197"/>
      <c r="F1824" s="19"/>
      <c r="G1824" s="20"/>
    </row>
    <row r="1825" spans="1:8">
      <c r="A1825" s="211" t="s">
        <v>499</v>
      </c>
      <c r="B1825" s="216" t="str">
        <f ca="1">_xlfn.CONCAT(B1808,A1825)</f>
        <v>23A642FA-P</v>
      </c>
      <c r="C1825" s="17"/>
      <c r="D1825" s="184"/>
      <c r="E1825" s="197"/>
      <c r="F1825" s="19"/>
      <c r="G1825" s="20"/>
    </row>
    <row r="1826" spans="1:8">
      <c r="A1826" s="211" t="s">
        <v>500</v>
      </c>
      <c r="B1826" s="216" t="str">
        <f ca="1">_xlfn.CONCAT(B1808,A1826)</f>
        <v>23A642FA-Q</v>
      </c>
      <c r="C1826" s="17"/>
      <c r="D1826" s="184"/>
      <c r="E1826" s="197"/>
      <c r="F1826" s="19"/>
      <c r="G1826" s="20"/>
    </row>
    <row r="1827" spans="1:8">
      <c r="A1827" s="211" t="s">
        <v>501</v>
      </c>
      <c r="B1827" s="216" t="str">
        <f ca="1">_xlfn.CONCAT(B1808,A1827)</f>
        <v>23A642FA-R</v>
      </c>
      <c r="C1827" s="17"/>
      <c r="D1827" s="184"/>
      <c r="E1827" s="197"/>
      <c r="F1827" s="19"/>
      <c r="G1827" s="20"/>
    </row>
    <row r="1828" spans="1:8">
      <c r="A1828" s="211" t="s">
        <v>502</v>
      </c>
      <c r="B1828" s="216" t="str">
        <f ca="1">_xlfn.CONCAT(B1808,A1828)</f>
        <v>23A642FA-S</v>
      </c>
      <c r="C1828" s="17"/>
      <c r="D1828" s="184"/>
      <c r="E1828" s="197"/>
      <c r="F1828" s="19"/>
      <c r="G1828" s="20"/>
    </row>
    <row r="1829" spans="1:8">
      <c r="A1829" s="211" t="s">
        <v>503</v>
      </c>
      <c r="B1829" s="216" t="str">
        <f ca="1">_xlfn.CONCAT(B1808,A1829)</f>
        <v>23A642FA-T</v>
      </c>
      <c r="C1829" s="17"/>
      <c r="D1829" s="184"/>
      <c r="E1829" s="197"/>
      <c r="F1829" s="19"/>
      <c r="G1829" s="20"/>
    </row>
    <row r="1830" spans="1:8" ht="14.25" thickBot="1">
      <c r="A1830" s="211" t="s">
        <v>504</v>
      </c>
      <c r="B1830" s="216" t="str">
        <f ca="1">_xlfn.CONCAT(B1808,A1830)</f>
        <v>23A642FA-U</v>
      </c>
      <c r="C1830" s="17"/>
      <c r="D1830" s="184"/>
      <c r="E1830" s="197"/>
      <c r="F1830" s="19"/>
      <c r="G1830" s="20"/>
    </row>
    <row r="1831" spans="1:8" ht="16.5" customHeight="1" thickBot="1">
      <c r="A1831" s="211" t="s">
        <v>505</v>
      </c>
      <c r="B1831" s="216" t="str">
        <f ca="1">_xlfn.CONCAT(B1808,A1831)</f>
        <v>23A642FA-V</v>
      </c>
      <c r="C1831" s="17" t="s">
        <v>17</v>
      </c>
      <c r="D1831" s="192" t="s">
        <v>17</v>
      </c>
      <c r="E1831" s="18"/>
      <c r="F1831" s="22" t="s">
        <v>18</v>
      </c>
      <c r="G1831" s="23">
        <f>SUM(G1810:G1830)</f>
        <v>68925.133333333331</v>
      </c>
    </row>
    <row r="1832" spans="1:8" ht="28.5" customHeight="1" thickBot="1">
      <c r="A1832" s="211" t="s">
        <v>506</v>
      </c>
      <c r="B1832" s="216" t="str">
        <f ca="1">_xlfn.CONCAT(B1808,A1832)</f>
        <v>23A642FA-W</v>
      </c>
      <c r="C1832" s="10" t="s">
        <v>19</v>
      </c>
      <c r="D1832" s="190"/>
      <c r="E1832" s="11"/>
      <c r="F1832" s="12"/>
      <c r="G1832" s="13"/>
    </row>
    <row r="1833" spans="1:8" s="47" customFormat="1" ht="23.25" customHeight="1" thickBot="1">
      <c r="A1833" s="211" t="s">
        <v>507</v>
      </c>
      <c r="B1833" s="216" t="str">
        <f ca="1">_xlfn.CONCAT(B1808,A1833)</f>
        <v>23A642FA-X</v>
      </c>
      <c r="C1833" s="14" t="s">
        <v>1</v>
      </c>
      <c r="D1833" s="15"/>
      <c r="E1833" s="15" t="s">
        <v>20</v>
      </c>
      <c r="F1833" s="16" t="s">
        <v>21</v>
      </c>
      <c r="G1833" s="15" t="s">
        <v>5</v>
      </c>
      <c r="H1833" s="215"/>
    </row>
    <row r="1834" spans="1:8">
      <c r="A1834" s="211" t="s">
        <v>508</v>
      </c>
      <c r="B1834" s="216" t="str">
        <f ca="1">_xlfn.CONCAT(B1808,A1834)</f>
        <v>23A642FA-Y</v>
      </c>
      <c r="C1834" s="24" t="s">
        <v>22</v>
      </c>
      <c r="D1834" s="184"/>
      <c r="E1834" s="25">
        <f>_xlfn.XLOOKUP(C1834,'H-MO'!B$7:B$30,'H-MO'!D$7:D$30,,0,1)</f>
        <v>2436.5624999999995</v>
      </c>
      <c r="F1834" s="19">
        <v>0.3</v>
      </c>
      <c r="G1834" s="33">
        <f t="shared" ref="G1834:G1839" si="53">+E1834*F1834</f>
        <v>730.96874999999989</v>
      </c>
    </row>
    <row r="1835" spans="1:8">
      <c r="A1835" s="211" t="s">
        <v>509</v>
      </c>
      <c r="B1835" s="216" t="str">
        <f ca="1">_xlfn.CONCAT(B1808,A1835)</f>
        <v>23A642FA-Z</v>
      </c>
      <c r="C1835" s="24" t="s">
        <v>23</v>
      </c>
      <c r="D1835" s="184"/>
      <c r="E1835" s="25">
        <f>_xlfn.XLOOKUP(C1835,'H-MO'!B$7:B$30,'H-MO'!D$7:D$30,,0,1)</f>
        <v>1461.9374999999998</v>
      </c>
      <c r="F1835" s="19">
        <v>9.7711304347826086E-2</v>
      </c>
      <c r="G1835" s="33">
        <f t="shared" si="53"/>
        <v>142.84781999999998</v>
      </c>
    </row>
    <row r="1836" spans="1:8">
      <c r="A1836" s="211" t="s">
        <v>510</v>
      </c>
      <c r="B1836" s="216" t="str">
        <f ca="1">_xlfn.CONCAT(B1808,A1836)</f>
        <v>23A642FA-aa</v>
      </c>
      <c r="C1836" s="24" t="s">
        <v>24</v>
      </c>
      <c r="D1836" s="185"/>
      <c r="E1836" s="25">
        <f>_xlfn.XLOOKUP(C1836,'H-MO'!B$7:B$30,'H-MO'!D$7:D$30,,0,1)</f>
        <v>29238.749999999996</v>
      </c>
      <c r="F1836" s="28">
        <v>1.6285217391304348E-3</v>
      </c>
      <c r="G1836" s="33">
        <f t="shared" si="53"/>
        <v>47.615939999999995</v>
      </c>
    </row>
    <row r="1837" spans="1:8">
      <c r="A1837" s="211" t="s">
        <v>511</v>
      </c>
      <c r="B1837" s="216" t="str">
        <f ca="1">_xlfn.CONCAT(B1808,A1837)</f>
        <v>23A642FA-ab</v>
      </c>
      <c r="C1837" s="24" t="s">
        <v>25</v>
      </c>
      <c r="D1837" s="185"/>
      <c r="E1837" s="25">
        <f>_xlfn.XLOOKUP(C1837,'H-MO'!B$7:B$30,'H-MO'!D$7:D$30,,0,1)</f>
        <v>2761.4374999999995</v>
      </c>
      <c r="F1837" s="28">
        <v>0.3</v>
      </c>
      <c r="G1837" s="33">
        <f t="shared" si="53"/>
        <v>828.43124999999986</v>
      </c>
    </row>
    <row r="1838" spans="1:8">
      <c r="A1838" s="211" t="s">
        <v>512</v>
      </c>
      <c r="B1838" s="216" t="str">
        <f ca="1">_xlfn.CONCAT(B1808,A1838)</f>
        <v>23A642FA-ac</v>
      </c>
      <c r="C1838" s="24"/>
      <c r="D1838" s="185"/>
      <c r="E1838" s="29"/>
      <c r="F1838" s="28"/>
      <c r="G1838" s="33">
        <f t="shared" si="53"/>
        <v>0</v>
      </c>
    </row>
    <row r="1839" spans="1:8" ht="14.25" thickBot="1">
      <c r="A1839" s="211" t="s">
        <v>513</v>
      </c>
      <c r="B1839" s="216" t="str">
        <f ca="1">_xlfn.CONCAT(B1808,A1839)</f>
        <v>23A642FA-ad</v>
      </c>
      <c r="C1839" s="24"/>
      <c r="D1839" s="185"/>
      <c r="E1839" s="29"/>
      <c r="F1839" s="28"/>
      <c r="G1839" s="33">
        <f t="shared" si="53"/>
        <v>0</v>
      </c>
    </row>
    <row r="1840" spans="1:8" ht="16.5" customHeight="1" thickBot="1">
      <c r="A1840" s="211" t="s">
        <v>514</v>
      </c>
      <c r="B1840" s="216" t="str">
        <f ca="1">_xlfn.CONCAT(B1808,A1840)</f>
        <v>23A642FA-ae</v>
      </c>
      <c r="C1840" s="17"/>
      <c r="D1840" s="192"/>
      <c r="E1840" s="18"/>
      <c r="F1840" s="22" t="s">
        <v>26</v>
      </c>
      <c r="G1840" s="23">
        <f>SUM(G1834:G1839)</f>
        <v>1749.8637599999997</v>
      </c>
    </row>
    <row r="1841" spans="1:8" ht="28.5" customHeight="1" thickBot="1">
      <c r="A1841" s="211" t="s">
        <v>515</v>
      </c>
      <c r="B1841" s="216" t="str">
        <f ca="1">_xlfn.CONCAT(B1808,A1841)</f>
        <v>23A642FA-af</v>
      </c>
      <c r="C1841" s="10" t="s">
        <v>27</v>
      </c>
      <c r="D1841" s="190"/>
      <c r="E1841" s="11"/>
      <c r="F1841" s="12"/>
      <c r="G1841" s="13"/>
    </row>
    <row r="1842" spans="1:8" s="47" customFormat="1" ht="23.25" customHeight="1" thickBot="1">
      <c r="A1842" s="211" t="s">
        <v>516</v>
      </c>
      <c r="B1842" s="216" t="str">
        <f ca="1">_xlfn.CONCAT(B1808,A1842)</f>
        <v>23A642FA-ag</v>
      </c>
      <c r="C1842" s="14" t="s">
        <v>1</v>
      </c>
      <c r="D1842" s="15" t="s">
        <v>28</v>
      </c>
      <c r="E1842" s="15" t="s">
        <v>20</v>
      </c>
      <c r="F1842" s="16" t="s">
        <v>21</v>
      </c>
      <c r="G1842" s="15" t="s">
        <v>5</v>
      </c>
      <c r="H1842" s="215"/>
    </row>
    <row r="1843" spans="1:8">
      <c r="A1843" s="211" t="s">
        <v>517</v>
      </c>
      <c r="B1843" s="216" t="str">
        <f ca="1">_xlfn.CONCAT(B1808,A1843)</f>
        <v>23A642FA-ah</v>
      </c>
      <c r="C1843" s="30" t="s">
        <v>29</v>
      </c>
      <c r="D1843" s="186">
        <f>'H-MO'!$N$77</f>
        <v>725918.52892505517</v>
      </c>
      <c r="E1843" s="31">
        <f>+D1843/8</f>
        <v>90739.816115631897</v>
      </c>
      <c r="F1843" s="32">
        <v>0.35</v>
      </c>
      <c r="G1843" s="33">
        <f>+E1843*F1843</f>
        <v>31758.935640471162</v>
      </c>
    </row>
    <row r="1844" spans="1:8">
      <c r="A1844" s="211" t="s">
        <v>518</v>
      </c>
      <c r="B1844" s="216" t="str">
        <f ca="1">_xlfn.CONCAT(B1808,A1844)</f>
        <v>23A642FA-ai</v>
      </c>
      <c r="C1844" s="34" t="s">
        <v>30</v>
      </c>
      <c r="D1844" s="187">
        <f>'H-MO'!$N$86</f>
        <v>685561.39085756091</v>
      </c>
      <c r="E1844" s="29">
        <f>+D1844/8</f>
        <v>85695.173857195114</v>
      </c>
      <c r="F1844" s="28">
        <v>0.05</v>
      </c>
      <c r="G1844" s="33">
        <f>+E1844*F1844</f>
        <v>4284.7586928597557</v>
      </c>
    </row>
    <row r="1845" spans="1:8" ht="14.25" thickBot="1">
      <c r="A1845" s="211" t="s">
        <v>519</v>
      </c>
      <c r="B1845" s="216" t="str">
        <f ca="1">_xlfn.CONCAT(B1808,A1845)</f>
        <v>23A642FA-aj</v>
      </c>
      <c r="C1845" s="34"/>
      <c r="D1845" s="187"/>
      <c r="E1845" s="29"/>
      <c r="F1845" s="28"/>
      <c r="G1845" s="33">
        <f>+E1845*F1845</f>
        <v>0</v>
      </c>
    </row>
    <row r="1846" spans="1:8" ht="17.25" customHeight="1" thickBot="1">
      <c r="A1846" s="211" t="s">
        <v>520</v>
      </c>
      <c r="B1846" s="216" t="str">
        <f ca="1">_xlfn.CONCAT(B1808,A1846)</f>
        <v>23A642FA-ak</v>
      </c>
      <c r="C1846" s="34"/>
      <c r="D1846" s="185"/>
      <c r="E1846" s="26"/>
      <c r="F1846" s="36" t="s">
        <v>31</v>
      </c>
      <c r="G1846" s="23">
        <f>SUM(G1843:G1845)</f>
        <v>36043.694333330917</v>
      </c>
    </row>
    <row r="1847" spans="1:8" ht="14.25" thickBot="1">
      <c r="A1847" s="211" t="s">
        <v>521</v>
      </c>
      <c r="B1847" s="216" t="str">
        <f ca="1">_xlfn.CONCAT(B1808,A1847)</f>
        <v>23A642FA-al</v>
      </c>
      <c r="C1847" s="37"/>
      <c r="E1847" s="38"/>
      <c r="F1847" s="22"/>
      <c r="G1847" s="39"/>
    </row>
    <row r="1848" spans="1:8" ht="23.25" customHeight="1" thickBot="1">
      <c r="A1848" s="211" t="s">
        <v>522</v>
      </c>
      <c r="B1848" s="216" t="str">
        <f ca="1">_xlfn.CONCAT(B1808,A1848)</f>
        <v>23A642FA-am</v>
      </c>
      <c r="C1848" s="40"/>
      <c r="D1848" s="193"/>
      <c r="E1848" s="41"/>
      <c r="F1848" s="42"/>
      <c r="G1848" s="43">
        <f>+G1831+G1840+G1846</f>
        <v>106718.69142666424</v>
      </c>
    </row>
    <row r="1849" spans="1:8" s="49" customFormat="1" ht="21.75" thickBot="1">
      <c r="A1849" s="211"/>
      <c r="B1849" s="212" t="s">
        <v>550</v>
      </c>
      <c r="C1849" s="2"/>
      <c r="D1849" s="183"/>
      <c r="E1849" s="3"/>
      <c r="F1849" s="4"/>
      <c r="G1849" s="5"/>
      <c r="H1849" s="211"/>
    </row>
    <row r="1850" spans="1:8" s="45" customFormat="1" ht="34.5" customHeight="1">
      <c r="A1850" s="213"/>
      <c r="B1850" s="214">
        <v>43</v>
      </c>
      <c r="C1850" s="242" t="str">
        <f ca="1">_xlfn.XLOOKUP(B1850,Cantidades!$A$10:$A$314,Cantidades!$C$10:$C$314,,0,1)</f>
        <v>Suministro e instalación de salida luminaria panel led en techo. Incluye caja de conexión, cable #12 AWG de cobre, tubería SCH 40 y demás accesorios para su correcta instalación,  fincionamiento y señalización.</v>
      </c>
      <c r="D1850" s="243"/>
      <c r="E1850" s="243"/>
      <c r="F1850" s="243"/>
      <c r="G1850" s="244"/>
      <c r="H1850" s="213"/>
    </row>
    <row r="1851" spans="1:8" s="47" customFormat="1" ht="24.95" customHeight="1" thickBot="1">
      <c r="A1851" s="215"/>
      <c r="B1851" s="216" t="s">
        <v>550</v>
      </c>
      <c r="C1851" s="177"/>
      <c r="D1851" s="189"/>
      <c r="E1851" s="178"/>
      <c r="F1851" s="179" t="s">
        <v>636</v>
      </c>
      <c r="G1851" s="209" t="str">
        <f ca="1">B1852</f>
        <v>229CF12D-</v>
      </c>
      <c r="H1851" s="215"/>
    </row>
    <row r="1852" spans="1:8" ht="28.5" customHeight="1" thickBot="1">
      <c r="B1852" s="212" t="str">
        <f ca="1">_xlfn.XLOOKUP(C1850,Cantidades!$C$1:$C$314,Cantidades!$B$1:$B$314,"",0,1)</f>
        <v>229CF12D-</v>
      </c>
      <c r="C1852" s="10" t="s">
        <v>0</v>
      </c>
      <c r="D1852" s="190"/>
      <c r="E1852" s="11"/>
      <c r="F1852" s="12"/>
      <c r="G1852" s="13"/>
    </row>
    <row r="1853" spans="1:8" s="47" customFormat="1" ht="23.25" customHeight="1" thickBot="1">
      <c r="A1853" s="215"/>
      <c r="B1853" s="216" t="s">
        <v>550</v>
      </c>
      <c r="C1853" s="14" t="s">
        <v>1</v>
      </c>
      <c r="D1853" s="15" t="s">
        <v>2</v>
      </c>
      <c r="E1853" s="15" t="s">
        <v>3</v>
      </c>
      <c r="F1853" s="16" t="s">
        <v>4</v>
      </c>
      <c r="G1853" s="15" t="s">
        <v>5</v>
      </c>
      <c r="H1853" s="215"/>
    </row>
    <row r="1854" spans="1:8" ht="15">
      <c r="A1854" s="211" t="s">
        <v>484</v>
      </c>
      <c r="B1854" s="216" t="str">
        <f ca="1">_xlfn.CONCAT(B1852,A1854)</f>
        <v>229CF12D-A</v>
      </c>
      <c r="C1854" s="17" t="str">
        <f>_xlfn.XLOOKUP(H1854,'Materiales unitario'!$A$1:$A$2500,'Materiales unitario'!B$1:B$2500,,0,1)</f>
        <v>Tubo Conduit PVC Sch40 1-2 Pulgadas</v>
      </c>
      <c r="D1854" s="184" t="str">
        <f>_xlfn.XLOOKUP(H1854,'Materiales unitario'!A$1:A$2500,'Materiales unitario'!C$1:C$2500,,0,1)</f>
        <v>ml</v>
      </c>
      <c r="E1854" s="197">
        <f>_xlfn.XLOOKUP(H1854,'Materiales unitario'!$A$1:$A$2500,'Materiales unitario'!D$1:D$2500,,0,1)</f>
        <v>2966.6666666666665</v>
      </c>
      <c r="F1854" s="19">
        <v>3.2</v>
      </c>
      <c r="G1854" s="20">
        <f>+E1854*F1854</f>
        <v>9493.3333333333339</v>
      </c>
      <c r="H1854" s="217" t="s">
        <v>601</v>
      </c>
    </row>
    <row r="1855" spans="1:8" ht="15">
      <c r="A1855" s="211" t="s">
        <v>485</v>
      </c>
      <c r="B1855" s="216" t="str">
        <f ca="1">_xlfn.CONCAT(B1852,A1855)</f>
        <v>229CF12D-B</v>
      </c>
      <c r="C1855" s="17" t="str">
        <f>_xlfn.XLOOKUP(H1855,'Materiales unitario'!$A$1:$A$2500,'Materiales unitario'!B$1:B$2500,,0,1)</f>
        <v>Tubo Conduit PVC SCH40 3-4 Pulgadas</v>
      </c>
      <c r="D1855" s="184" t="str">
        <f>_xlfn.XLOOKUP(H1855,'Materiales unitario'!A$1:A$2500,'Materiales unitario'!C$1:C$2500,,0,1)</f>
        <v>ml</v>
      </c>
      <c r="E1855" s="197">
        <f>_xlfn.XLOOKUP(H1855,'Materiales unitario'!$A$1:$A$2500,'Materiales unitario'!D$1:D$2500,,0,1)</f>
        <v>3966.6666666666665</v>
      </c>
      <c r="F1855" s="19">
        <v>0.8</v>
      </c>
      <c r="G1855" s="20">
        <f t="shared" ref="G1855:G1865" si="54">+E1855*F1855</f>
        <v>3173.3333333333335</v>
      </c>
      <c r="H1855" s="217" t="s">
        <v>602</v>
      </c>
    </row>
    <row r="1856" spans="1:8" ht="15">
      <c r="A1856" s="211" t="s">
        <v>486</v>
      </c>
      <c r="B1856" s="216" t="str">
        <f ca="1">_xlfn.CONCAT(B1852,A1856)</f>
        <v>229CF12D-C</v>
      </c>
      <c r="C1856" s="17" t="str">
        <f>_xlfn.XLOOKUP(H1856,'Materiales unitario'!$A$1:$A$2500,'Materiales unitario'!B$1:B$2500,,0,1)</f>
        <v>Adaptador terminal PVC ø1/2"</v>
      </c>
      <c r="D1856" s="184" t="str">
        <f>_xlfn.XLOOKUP(H1856,'Materiales unitario'!A$1:A$2500,'Materiales unitario'!C$1:C$2500,,0,1)</f>
        <v>un</v>
      </c>
      <c r="E1856" s="197">
        <f>_xlfn.XLOOKUP(H1856,'Materiales unitario'!$A$1:$A$2500,'Materiales unitario'!D$1:D$2500,,0,1)</f>
        <v>720</v>
      </c>
      <c r="F1856" s="19">
        <v>2</v>
      </c>
      <c r="G1856" s="20">
        <f t="shared" si="54"/>
        <v>1440</v>
      </c>
      <c r="H1856" s="217" t="s">
        <v>603</v>
      </c>
    </row>
    <row r="1857" spans="1:8" ht="15">
      <c r="A1857" s="211" t="s">
        <v>487</v>
      </c>
      <c r="B1857" s="216" t="str">
        <f ca="1">_xlfn.CONCAT(B1852,A1857)</f>
        <v>229CF12D-D</v>
      </c>
      <c r="C1857" s="17" t="str">
        <f>_xlfn.XLOOKUP(H1857,'Materiales unitario'!$A$1:$A$2500,'Materiales unitario'!B$1:B$2500,,0,1)</f>
        <v>Adaptador terminal PVC ø3/4"</v>
      </c>
      <c r="D1857" s="184" t="str">
        <f>_xlfn.XLOOKUP(H1857,'Materiales unitario'!A$1:A$2500,'Materiales unitario'!C$1:C$2500,,0,1)</f>
        <v>un</v>
      </c>
      <c r="E1857" s="197">
        <f>_xlfn.XLOOKUP(H1857,'Materiales unitario'!$A$1:$A$2500,'Materiales unitario'!D$1:D$2500,,0,1)</f>
        <v>920</v>
      </c>
      <c r="F1857" s="19">
        <v>0.3</v>
      </c>
      <c r="G1857" s="20">
        <f t="shared" si="54"/>
        <v>276</v>
      </c>
      <c r="H1857" s="217" t="s">
        <v>604</v>
      </c>
    </row>
    <row r="1858" spans="1:8" ht="15">
      <c r="A1858" s="211" t="s">
        <v>488</v>
      </c>
      <c r="B1858" s="216" t="str">
        <f ca="1">_xlfn.CONCAT(B1852,A1858)</f>
        <v>229CF12D-E</v>
      </c>
      <c r="C1858" s="17" t="str">
        <f>_xlfn.XLOOKUP(H1858,'Materiales unitario'!$A$1:$A$2500,'Materiales unitario'!B$1:B$2500,,0,1)</f>
        <v>Caja galvanizada ref. 2400 (Cal. 20)</v>
      </c>
      <c r="D1858" s="184" t="str">
        <f>_xlfn.XLOOKUP(H1858,'Materiales unitario'!A$1:A$2500,'Materiales unitario'!C$1:C$2500,,0,1)</f>
        <v>un</v>
      </c>
      <c r="E1858" s="197">
        <f>_xlfn.XLOOKUP(H1858,'Materiales unitario'!$A$1:$A$2500,'Materiales unitario'!D$1:D$2500,,0,1)</f>
        <v>3150</v>
      </c>
      <c r="F1858" s="19">
        <v>0.1</v>
      </c>
      <c r="G1858" s="20">
        <f t="shared" si="54"/>
        <v>315</v>
      </c>
      <c r="H1858" s="217" t="s">
        <v>605</v>
      </c>
    </row>
    <row r="1859" spans="1:8" ht="15">
      <c r="A1859" s="211" t="s">
        <v>489</v>
      </c>
      <c r="B1859" s="216" t="str">
        <f ca="1">_xlfn.CONCAT(B1852,A1859)</f>
        <v>229CF12D-F</v>
      </c>
      <c r="C1859" s="17" t="str">
        <f>_xlfn.XLOOKUP(H1859,'Materiales unitario'!$A$1:$A$2500,'Materiales unitario'!B$1:B$2500,,0,1)</f>
        <v>Caja galvanizada ref. 5800 (Cal. 20)</v>
      </c>
      <c r="D1859" s="184" t="str">
        <f>_xlfn.XLOOKUP(H1859,'Materiales unitario'!A$1:A$2500,'Materiales unitario'!C$1:C$2500,,0,1)</f>
        <v>un</v>
      </c>
      <c r="E1859" s="197">
        <f>_xlfn.XLOOKUP(H1859,'Materiales unitario'!$A$1:$A$2500,'Materiales unitario'!D$1:D$2500,,0,1)</f>
        <v>2900</v>
      </c>
      <c r="F1859" s="19">
        <v>0.1</v>
      </c>
      <c r="G1859" s="20">
        <f t="shared" si="54"/>
        <v>290</v>
      </c>
      <c r="H1859" s="217" t="s">
        <v>606</v>
      </c>
    </row>
    <row r="1860" spans="1:8" ht="15">
      <c r="A1860" s="211" t="s">
        <v>490</v>
      </c>
      <c r="B1860" s="216" t="str">
        <f ca="1">_xlfn.CONCAT(B1852,A1860)</f>
        <v>229CF12D-G</v>
      </c>
      <c r="C1860" s="17" t="str">
        <f>_xlfn.XLOOKUP(H1860,'Materiales unitario'!$A$1:$A$2500,'Materiales unitario'!B$1:B$2500,,0,1)</f>
        <v>Caja galvanizada octagonal (Cal. 20)</v>
      </c>
      <c r="D1860" s="184" t="str">
        <f>_xlfn.XLOOKUP(H1860,'Materiales unitario'!A$1:A$2500,'Materiales unitario'!C$1:C$2500,,0,1)</f>
        <v>un</v>
      </c>
      <c r="E1860" s="197">
        <f>_xlfn.XLOOKUP(H1860,'Materiales unitario'!$A$1:$A$2500,'Materiales unitario'!D$1:D$2500,,0,1)</f>
        <v>2900</v>
      </c>
      <c r="F1860" s="19">
        <v>1</v>
      </c>
      <c r="G1860" s="20">
        <f t="shared" si="54"/>
        <v>2900</v>
      </c>
      <c r="H1860" s="217" t="s">
        <v>607</v>
      </c>
    </row>
    <row r="1861" spans="1:8" ht="15">
      <c r="A1861" s="211" t="s">
        <v>491</v>
      </c>
      <c r="B1861" s="216" t="str">
        <f ca="1">_xlfn.CONCAT(B1852,A1861)</f>
        <v>229CF12D-H</v>
      </c>
      <c r="C1861" s="17" t="str">
        <f>_xlfn.XLOOKUP(H1861,'Materiales unitario'!$A$1:$A$2500,'Materiales unitario'!B$1:B$2500,,0,1)</f>
        <v xml:space="preserve">Tornillo lámina #14x1/2" goloso </v>
      </c>
      <c r="D1861" s="184" t="str">
        <f>_xlfn.XLOOKUP(H1861,'Materiales unitario'!A$1:A$2500,'Materiales unitario'!C$1:C$2500,,0,1)</f>
        <v>un</v>
      </c>
      <c r="E1861" s="197">
        <f>_xlfn.XLOOKUP(H1861,'Materiales unitario'!$A$1:$A$2500,'Materiales unitario'!D$1:D$2500,,0,1)</f>
        <v>200</v>
      </c>
      <c r="F1861" s="19">
        <v>2</v>
      </c>
      <c r="G1861" s="20">
        <f t="shared" si="54"/>
        <v>400</v>
      </c>
      <c r="H1861" s="217" t="s">
        <v>608</v>
      </c>
    </row>
    <row r="1862" spans="1:8" ht="15">
      <c r="A1862" s="211" t="s">
        <v>492</v>
      </c>
      <c r="B1862" s="216" t="str">
        <f ca="1">_xlfn.CONCAT(B1852,A1862)</f>
        <v>229CF12D-I</v>
      </c>
      <c r="C1862" s="17" t="str">
        <f>_xlfn.XLOOKUP(H1862,'Materiales unitario'!$A$1:$A$2500,'Materiales unitario'!B$1:B$2500,,0,1)</f>
        <v>Suplemento galvanizado de ø1/4" (Cal. 24)</v>
      </c>
      <c r="D1862" s="184" t="str">
        <f>_xlfn.XLOOKUP(H1862,'Materiales unitario'!A$1:A$2500,'Materiales unitario'!C$1:C$2500,,0,1)</f>
        <v>un</v>
      </c>
      <c r="E1862" s="197">
        <f>_xlfn.XLOOKUP(H1862,'Materiales unitario'!$A$1:$A$2500,'Materiales unitario'!D$1:D$2500,,0,1)</f>
        <v>1200</v>
      </c>
      <c r="F1862" s="19">
        <v>0.5</v>
      </c>
      <c r="G1862" s="20">
        <f t="shared" si="54"/>
        <v>600</v>
      </c>
      <c r="H1862" s="217" t="s">
        <v>609</v>
      </c>
    </row>
    <row r="1863" spans="1:8" ht="15">
      <c r="A1863" s="211" t="s">
        <v>493</v>
      </c>
      <c r="B1863" s="216" t="str">
        <f ca="1">_xlfn.CONCAT(B1852,A1863)</f>
        <v>229CF12D-J</v>
      </c>
      <c r="C1863" s="17" t="str">
        <f>_xlfn.XLOOKUP(H1863,'Materiales unitario'!$A$1:$A$2500,'Materiales unitario'!B$1:B$2500,,0,1)</f>
        <v>Conector de resorte rojo "R" 18-10 AWG</v>
      </c>
      <c r="D1863" s="184" t="str">
        <f>_xlfn.XLOOKUP(H1863,'Materiales unitario'!A$1:A$2500,'Materiales unitario'!C$1:C$2500,,0,1)</f>
        <v>un</v>
      </c>
      <c r="E1863" s="197">
        <f>_xlfn.XLOOKUP(H1863,'Materiales unitario'!$A$1:$A$2500,'Materiales unitario'!D$1:D$2500,,0,1)</f>
        <v>280</v>
      </c>
      <c r="F1863" s="19">
        <v>3</v>
      </c>
      <c r="G1863" s="20">
        <f t="shared" si="54"/>
        <v>840</v>
      </c>
      <c r="H1863" s="217" t="s">
        <v>302</v>
      </c>
    </row>
    <row r="1864" spans="1:8" ht="15">
      <c r="A1864" s="211" t="s">
        <v>494</v>
      </c>
      <c r="B1864" s="216" t="str">
        <f ca="1">_xlfn.CONCAT(B1852,A1864)</f>
        <v>229CF12D-K</v>
      </c>
      <c r="C1864" s="17" t="str">
        <f>_xlfn.XLOOKUP(H1864,'Materiales unitario'!$A$1:$A$2500,'Materiales unitario'!B$1:B$2500,,0,1)</f>
        <v>Soldadura liquida PVC 1/4 de galón</v>
      </c>
      <c r="D1864" s="184" t="str">
        <f>_xlfn.XLOOKUP(H1864,'Materiales unitario'!A$1:A$2500,'Materiales unitario'!C$1:C$2500,,0,1)</f>
        <v>un</v>
      </c>
      <c r="E1864" s="197">
        <f>_xlfn.XLOOKUP(H1864,'Materiales unitario'!$A$1:$A$2500,'Materiales unitario'!D$1:D$2500,,0,1)</f>
        <v>60900</v>
      </c>
      <c r="F1864" s="19">
        <v>1.2E-2</v>
      </c>
      <c r="G1864" s="20">
        <f t="shared" si="54"/>
        <v>730.80000000000007</v>
      </c>
      <c r="H1864" s="217" t="s">
        <v>530</v>
      </c>
    </row>
    <row r="1865" spans="1:8" ht="15">
      <c r="A1865" s="211" t="s">
        <v>495</v>
      </c>
      <c r="B1865" s="216" t="str">
        <f ca="1">_xlfn.CONCAT(B1852,A1865)</f>
        <v>229CF12D-L</v>
      </c>
      <c r="C1865" s="17" t="str">
        <f>_xlfn.XLOOKUP(H1865,'Materiales unitario'!$A$1:$A$2500,'Materiales unitario'!B$1:B$2500,,0,1)</f>
        <v>Cable de cobre aislado #12 AWG-THHN/THWN Color negro</v>
      </c>
      <c r="D1865" s="184" t="str">
        <f>_xlfn.XLOOKUP(H1865,'Materiales unitario'!A$1:A$2500,'Materiales unitario'!C$1:C$2500,,0,1)</f>
        <v>ml</v>
      </c>
      <c r="E1865" s="197">
        <f>_xlfn.XLOOKUP(H1865,'Materiales unitario'!$A$1:$A$2500,'Materiales unitario'!D$1:D$2500,,0,1)</f>
        <v>3020</v>
      </c>
      <c r="F1865" s="19">
        <v>18</v>
      </c>
      <c r="G1865" s="20">
        <f t="shared" si="54"/>
        <v>54360</v>
      </c>
      <c r="H1865" s="217" t="s">
        <v>267</v>
      </c>
    </row>
    <row r="1866" spans="1:8" ht="15">
      <c r="A1866" s="211" t="s">
        <v>496</v>
      </c>
      <c r="B1866" s="216" t="str">
        <f ca="1">_xlfn.CONCAT(B1852,A1866)</f>
        <v>229CF12D-M</v>
      </c>
      <c r="C1866" s="17"/>
      <c r="D1866" s="184"/>
      <c r="E1866" s="197"/>
      <c r="F1866" s="19"/>
      <c r="G1866" s="20"/>
      <c r="H1866" s="217"/>
    </row>
    <row r="1867" spans="1:8">
      <c r="A1867" s="211" t="s">
        <v>497</v>
      </c>
      <c r="B1867" s="216" t="str">
        <f ca="1">_xlfn.CONCAT(B1852,A1867)</f>
        <v>229CF12D-N</v>
      </c>
      <c r="C1867" s="17"/>
      <c r="D1867" s="184"/>
      <c r="E1867" s="197"/>
      <c r="F1867" s="19"/>
      <c r="G1867" s="20"/>
    </row>
    <row r="1868" spans="1:8">
      <c r="A1868" s="211" t="s">
        <v>498</v>
      </c>
      <c r="B1868" s="216" t="str">
        <f ca="1">_xlfn.CONCAT(B1852,A1868)</f>
        <v>229CF12D-O</v>
      </c>
      <c r="C1868" s="17"/>
      <c r="D1868" s="184"/>
      <c r="E1868" s="197"/>
      <c r="F1868" s="19"/>
      <c r="G1868" s="20"/>
    </row>
    <row r="1869" spans="1:8">
      <c r="A1869" s="211" t="s">
        <v>499</v>
      </c>
      <c r="B1869" s="216" t="str">
        <f ca="1">_xlfn.CONCAT(B1852,A1869)</f>
        <v>229CF12D-P</v>
      </c>
      <c r="C1869" s="17"/>
      <c r="D1869" s="184"/>
      <c r="E1869" s="197"/>
      <c r="F1869" s="19"/>
      <c r="G1869" s="20"/>
    </row>
    <row r="1870" spans="1:8">
      <c r="A1870" s="211" t="s">
        <v>500</v>
      </c>
      <c r="B1870" s="216" t="str">
        <f ca="1">_xlfn.CONCAT(B1852,A1870)</f>
        <v>229CF12D-Q</v>
      </c>
      <c r="C1870" s="17"/>
      <c r="D1870" s="184"/>
      <c r="E1870" s="197"/>
      <c r="F1870" s="19"/>
      <c r="G1870" s="20"/>
    </row>
    <row r="1871" spans="1:8">
      <c r="A1871" s="211" t="s">
        <v>501</v>
      </c>
      <c r="B1871" s="216" t="str">
        <f ca="1">_xlfn.CONCAT(B1852,A1871)</f>
        <v>229CF12D-R</v>
      </c>
      <c r="C1871" s="17"/>
      <c r="D1871" s="184"/>
      <c r="E1871" s="197"/>
      <c r="F1871" s="19"/>
      <c r="G1871" s="20"/>
    </row>
    <row r="1872" spans="1:8">
      <c r="A1872" s="211" t="s">
        <v>502</v>
      </c>
      <c r="B1872" s="216" t="str">
        <f ca="1">_xlfn.CONCAT(B1852,A1872)</f>
        <v>229CF12D-S</v>
      </c>
      <c r="C1872" s="17"/>
      <c r="D1872" s="184"/>
      <c r="E1872" s="197"/>
      <c r="F1872" s="19"/>
      <c r="G1872" s="20"/>
    </row>
    <row r="1873" spans="1:8">
      <c r="A1873" s="211" t="s">
        <v>503</v>
      </c>
      <c r="B1873" s="216" t="str">
        <f ca="1">_xlfn.CONCAT(B1852,A1873)</f>
        <v>229CF12D-T</v>
      </c>
      <c r="C1873" s="17"/>
      <c r="D1873" s="184"/>
      <c r="E1873" s="197"/>
      <c r="F1873" s="19"/>
      <c r="G1873" s="20"/>
    </row>
    <row r="1874" spans="1:8" ht="14.25" thickBot="1">
      <c r="A1874" s="211" t="s">
        <v>504</v>
      </c>
      <c r="B1874" s="216" t="str">
        <f ca="1">_xlfn.CONCAT(B1852,A1874)</f>
        <v>229CF12D-U</v>
      </c>
      <c r="C1874" s="17"/>
      <c r="D1874" s="184"/>
      <c r="E1874" s="197"/>
      <c r="F1874" s="19"/>
      <c r="G1874" s="20"/>
    </row>
    <row r="1875" spans="1:8" ht="16.5" customHeight="1" thickBot="1">
      <c r="A1875" s="211" t="s">
        <v>505</v>
      </c>
      <c r="B1875" s="216" t="str">
        <f ca="1">_xlfn.CONCAT(B1852,A1875)</f>
        <v>229CF12D-V</v>
      </c>
      <c r="C1875" s="17" t="s">
        <v>17</v>
      </c>
      <c r="D1875" s="192" t="s">
        <v>17</v>
      </c>
      <c r="E1875" s="18"/>
      <c r="F1875" s="22" t="s">
        <v>18</v>
      </c>
      <c r="G1875" s="23">
        <f>SUM(G1854:G1874)</f>
        <v>74818.466666666674</v>
      </c>
    </row>
    <row r="1876" spans="1:8" ht="28.5" customHeight="1" thickBot="1">
      <c r="A1876" s="211" t="s">
        <v>506</v>
      </c>
      <c r="B1876" s="216" t="str">
        <f ca="1">_xlfn.CONCAT(B1852,A1876)</f>
        <v>229CF12D-W</v>
      </c>
      <c r="C1876" s="10" t="s">
        <v>19</v>
      </c>
      <c r="D1876" s="190"/>
      <c r="E1876" s="11"/>
      <c r="F1876" s="12"/>
      <c r="G1876" s="13"/>
    </row>
    <row r="1877" spans="1:8" s="47" customFormat="1" ht="23.25" customHeight="1" thickBot="1">
      <c r="A1877" s="211" t="s">
        <v>507</v>
      </c>
      <c r="B1877" s="216" t="str">
        <f ca="1">_xlfn.CONCAT(B1852,A1877)</f>
        <v>229CF12D-X</v>
      </c>
      <c r="C1877" s="14" t="s">
        <v>1</v>
      </c>
      <c r="D1877" s="15"/>
      <c r="E1877" s="15" t="s">
        <v>20</v>
      </c>
      <c r="F1877" s="16" t="s">
        <v>21</v>
      </c>
      <c r="G1877" s="15" t="s">
        <v>5</v>
      </c>
      <c r="H1877" s="215"/>
    </row>
    <row r="1878" spans="1:8">
      <c r="A1878" s="211" t="s">
        <v>508</v>
      </c>
      <c r="B1878" s="216" t="str">
        <f ca="1">_xlfn.CONCAT(B1852,A1878)</f>
        <v>229CF12D-Y</v>
      </c>
      <c r="C1878" s="24" t="s">
        <v>22</v>
      </c>
      <c r="D1878" s="184"/>
      <c r="E1878" s="25">
        <f>_xlfn.XLOOKUP(C1878,'H-MO'!B$7:B$30,'H-MO'!D$7:D$30,,0,1)</f>
        <v>2436.5624999999995</v>
      </c>
      <c r="F1878" s="19">
        <v>0.3</v>
      </c>
      <c r="G1878" s="33">
        <f t="shared" ref="G1878:G1883" si="55">+E1878*F1878</f>
        <v>730.96874999999989</v>
      </c>
    </row>
    <row r="1879" spans="1:8">
      <c r="A1879" s="211" t="s">
        <v>509</v>
      </c>
      <c r="B1879" s="216" t="str">
        <f ca="1">_xlfn.CONCAT(B1852,A1879)</f>
        <v>229CF12D-Z</v>
      </c>
      <c r="C1879" s="24" t="s">
        <v>23</v>
      </c>
      <c r="D1879" s="184"/>
      <c r="E1879" s="25">
        <f>_xlfn.XLOOKUP(C1879,'H-MO'!B$7:B$30,'H-MO'!D$7:D$30,,0,1)</f>
        <v>1461.9374999999998</v>
      </c>
      <c r="F1879" s="19">
        <v>9.7711304347826086E-2</v>
      </c>
      <c r="G1879" s="33">
        <f t="shared" si="55"/>
        <v>142.84781999999998</v>
      </c>
    </row>
    <row r="1880" spans="1:8">
      <c r="A1880" s="211" t="s">
        <v>510</v>
      </c>
      <c r="B1880" s="216" t="str">
        <f ca="1">_xlfn.CONCAT(B1852,A1880)</f>
        <v>229CF12D-aa</v>
      </c>
      <c r="C1880" s="24" t="s">
        <v>24</v>
      </c>
      <c r="D1880" s="185"/>
      <c r="E1880" s="25">
        <f>_xlfn.XLOOKUP(C1880,'H-MO'!B$7:B$30,'H-MO'!D$7:D$30,,0,1)</f>
        <v>29238.749999999996</v>
      </c>
      <c r="F1880" s="28">
        <v>1.6285217391304348E-3</v>
      </c>
      <c r="G1880" s="33">
        <f t="shared" si="55"/>
        <v>47.615939999999995</v>
      </c>
    </row>
    <row r="1881" spans="1:8">
      <c r="A1881" s="211" t="s">
        <v>511</v>
      </c>
      <c r="B1881" s="216" t="str">
        <f ca="1">_xlfn.CONCAT(B1852,A1881)</f>
        <v>229CF12D-ab</v>
      </c>
      <c r="C1881" s="24" t="s">
        <v>25</v>
      </c>
      <c r="D1881" s="185"/>
      <c r="E1881" s="25">
        <f>_xlfn.XLOOKUP(C1881,'H-MO'!B$7:B$30,'H-MO'!D$7:D$30,,0,1)</f>
        <v>2761.4374999999995</v>
      </c>
      <c r="F1881" s="28">
        <v>0.3</v>
      </c>
      <c r="G1881" s="33">
        <f t="shared" si="55"/>
        <v>828.43124999999986</v>
      </c>
    </row>
    <row r="1882" spans="1:8">
      <c r="A1882" s="211" t="s">
        <v>512</v>
      </c>
      <c r="B1882" s="216" t="str">
        <f ca="1">_xlfn.CONCAT(B1852,A1882)</f>
        <v>229CF12D-ac</v>
      </c>
      <c r="C1882" s="24"/>
      <c r="D1882" s="185"/>
      <c r="E1882" s="29"/>
      <c r="F1882" s="28"/>
      <c r="G1882" s="33">
        <f t="shared" si="55"/>
        <v>0</v>
      </c>
    </row>
    <row r="1883" spans="1:8" ht="14.25" thickBot="1">
      <c r="A1883" s="211" t="s">
        <v>513</v>
      </c>
      <c r="B1883" s="216" t="str">
        <f ca="1">_xlfn.CONCAT(B1852,A1883)</f>
        <v>229CF12D-ad</v>
      </c>
      <c r="C1883" s="24"/>
      <c r="D1883" s="185"/>
      <c r="E1883" s="29"/>
      <c r="F1883" s="28"/>
      <c r="G1883" s="33">
        <f t="shared" si="55"/>
        <v>0</v>
      </c>
    </row>
    <row r="1884" spans="1:8" ht="16.5" customHeight="1" thickBot="1">
      <c r="A1884" s="211" t="s">
        <v>514</v>
      </c>
      <c r="B1884" s="216" t="str">
        <f ca="1">_xlfn.CONCAT(B1852,A1884)</f>
        <v>229CF12D-ae</v>
      </c>
      <c r="C1884" s="17"/>
      <c r="D1884" s="192"/>
      <c r="E1884" s="18"/>
      <c r="F1884" s="22" t="s">
        <v>26</v>
      </c>
      <c r="G1884" s="23">
        <f>SUM(G1878:G1883)</f>
        <v>1749.8637599999997</v>
      </c>
    </row>
    <row r="1885" spans="1:8" ht="28.5" customHeight="1" thickBot="1">
      <c r="A1885" s="211" t="s">
        <v>515</v>
      </c>
      <c r="B1885" s="216" t="str">
        <f ca="1">_xlfn.CONCAT(B1852,A1885)</f>
        <v>229CF12D-af</v>
      </c>
      <c r="C1885" s="10" t="s">
        <v>27</v>
      </c>
      <c r="D1885" s="190"/>
      <c r="E1885" s="11"/>
      <c r="F1885" s="12"/>
      <c r="G1885" s="13"/>
    </row>
    <row r="1886" spans="1:8" s="47" customFormat="1" ht="23.25" customHeight="1" thickBot="1">
      <c r="A1886" s="211" t="s">
        <v>516</v>
      </c>
      <c r="B1886" s="216" t="str">
        <f ca="1">_xlfn.CONCAT(B1852,A1886)</f>
        <v>229CF12D-ag</v>
      </c>
      <c r="C1886" s="14" t="s">
        <v>1</v>
      </c>
      <c r="D1886" s="15" t="s">
        <v>28</v>
      </c>
      <c r="E1886" s="15" t="s">
        <v>20</v>
      </c>
      <c r="F1886" s="16" t="s">
        <v>21</v>
      </c>
      <c r="G1886" s="15" t="s">
        <v>5</v>
      </c>
      <c r="H1886" s="215"/>
    </row>
    <row r="1887" spans="1:8">
      <c r="A1887" s="211" t="s">
        <v>517</v>
      </c>
      <c r="B1887" s="216" t="str">
        <f ca="1">_xlfn.CONCAT(B1852,A1887)</f>
        <v>229CF12D-ah</v>
      </c>
      <c r="C1887" s="30" t="s">
        <v>29</v>
      </c>
      <c r="D1887" s="186">
        <f>'H-MO'!$N$77</f>
        <v>725918.52892505517</v>
      </c>
      <c r="E1887" s="31">
        <f>+D1887/8</f>
        <v>90739.816115631897</v>
      </c>
      <c r="F1887" s="32">
        <v>0.35</v>
      </c>
      <c r="G1887" s="33">
        <f>+E1887*F1887</f>
        <v>31758.935640471162</v>
      </c>
    </row>
    <row r="1888" spans="1:8">
      <c r="A1888" s="211" t="s">
        <v>518</v>
      </c>
      <c r="B1888" s="216" t="str">
        <f ca="1">_xlfn.CONCAT(B1852,A1888)</f>
        <v>229CF12D-ai</v>
      </c>
      <c r="C1888" s="34" t="s">
        <v>30</v>
      </c>
      <c r="D1888" s="187">
        <f>'H-MO'!$N$86</f>
        <v>685561.39085756091</v>
      </c>
      <c r="E1888" s="29">
        <f>+D1888/8</f>
        <v>85695.173857195114</v>
      </c>
      <c r="F1888" s="28">
        <v>0.05</v>
      </c>
      <c r="G1888" s="33">
        <f>+E1888*F1888</f>
        <v>4284.7586928597557</v>
      </c>
    </row>
    <row r="1889" spans="1:8" ht="14.25" thickBot="1">
      <c r="A1889" s="211" t="s">
        <v>519</v>
      </c>
      <c r="B1889" s="216" t="str">
        <f ca="1">_xlfn.CONCAT(B1852,A1889)</f>
        <v>229CF12D-aj</v>
      </c>
      <c r="C1889" s="34"/>
      <c r="D1889" s="187"/>
      <c r="E1889" s="29"/>
      <c r="F1889" s="28"/>
      <c r="G1889" s="33">
        <f>+E1889*F1889</f>
        <v>0</v>
      </c>
    </row>
    <row r="1890" spans="1:8" ht="17.25" customHeight="1" thickBot="1">
      <c r="A1890" s="211" t="s">
        <v>520</v>
      </c>
      <c r="B1890" s="216" t="str">
        <f ca="1">_xlfn.CONCAT(B1852,A1890)</f>
        <v>229CF12D-ak</v>
      </c>
      <c r="C1890" s="34"/>
      <c r="D1890" s="185"/>
      <c r="E1890" s="26"/>
      <c r="F1890" s="36" t="s">
        <v>31</v>
      </c>
      <c r="G1890" s="23">
        <f>SUM(G1887:G1889)</f>
        <v>36043.694333330917</v>
      </c>
    </row>
    <row r="1891" spans="1:8" ht="14.25" thickBot="1">
      <c r="A1891" s="211" t="s">
        <v>521</v>
      </c>
      <c r="B1891" s="216" t="str">
        <f ca="1">_xlfn.CONCAT(B1852,A1891)</f>
        <v>229CF12D-al</v>
      </c>
      <c r="C1891" s="37"/>
      <c r="E1891" s="38"/>
      <c r="F1891" s="22"/>
      <c r="G1891" s="39"/>
    </row>
    <row r="1892" spans="1:8" ht="23.25" customHeight="1" thickBot="1">
      <c r="A1892" s="211" t="s">
        <v>522</v>
      </c>
      <c r="B1892" s="216" t="str">
        <f ca="1">_xlfn.CONCAT(B1852,A1892)</f>
        <v>229CF12D-am</v>
      </c>
      <c r="C1892" s="40"/>
      <c r="D1892" s="193"/>
      <c r="E1892" s="41"/>
      <c r="F1892" s="42"/>
      <c r="G1892" s="43">
        <f>+G1875+G1884+G1890</f>
        <v>112612.02475999758</v>
      </c>
    </row>
    <row r="1893" spans="1:8" ht="21.75" thickBot="1">
      <c r="B1893" s="212" t="s">
        <v>550</v>
      </c>
      <c r="C1893" s="2"/>
      <c r="D1893" s="183"/>
      <c r="F1893" s="4"/>
      <c r="G1893" s="5"/>
    </row>
    <row r="1894" spans="1:8" s="45" customFormat="1" ht="34.5" customHeight="1">
      <c r="A1894" s="213"/>
      <c r="B1894" s="214">
        <v>44</v>
      </c>
      <c r="C1894" s="242" t="str">
        <f ca="1">_xlfn.XLOOKUP(B1894,Cantidades!$A$10:$A$314,Cantidades!$C$10:$C$314,,0,1)</f>
        <v>Suministro e instalación de salida iluminación espejo. Incluye caja de conexión, cable #12 AWG de cobre, tubería PVC tipo A y demás accesorios para su correcta instalación,  fincionamiento y señalización.</v>
      </c>
      <c r="D1894" s="243"/>
      <c r="E1894" s="243"/>
      <c r="F1894" s="243"/>
      <c r="G1894" s="244"/>
      <c r="H1894" s="213"/>
    </row>
    <row r="1895" spans="1:8" s="47" customFormat="1" ht="24.95" customHeight="1" thickBot="1">
      <c r="A1895" s="215"/>
      <c r="B1895" s="216" t="s">
        <v>550</v>
      </c>
      <c r="C1895" s="177"/>
      <c r="D1895" s="189"/>
      <c r="E1895" s="178"/>
      <c r="F1895" s="179" t="s">
        <v>636</v>
      </c>
      <c r="G1895" s="209" t="str">
        <f ca="1">B1896</f>
        <v>CF5A4DF-</v>
      </c>
      <c r="H1895" s="215"/>
    </row>
    <row r="1896" spans="1:8" ht="28.5" customHeight="1" thickBot="1">
      <c r="B1896" s="212" t="str">
        <f ca="1">_xlfn.XLOOKUP(C1894,Cantidades!$C$1:$C$314,Cantidades!$B$1:$B$314,"",0,1)</f>
        <v>CF5A4DF-</v>
      </c>
      <c r="C1896" s="10" t="s">
        <v>0</v>
      </c>
      <c r="D1896" s="190"/>
      <c r="E1896" s="11"/>
      <c r="F1896" s="12"/>
      <c r="G1896" s="13"/>
    </row>
    <row r="1897" spans="1:8" s="47" customFormat="1" ht="23.25" customHeight="1" thickBot="1">
      <c r="A1897" s="215"/>
      <c r="B1897" s="216" t="s">
        <v>550</v>
      </c>
      <c r="C1897" s="14" t="s">
        <v>1</v>
      </c>
      <c r="D1897" s="15" t="s">
        <v>2</v>
      </c>
      <c r="E1897" s="15" t="s">
        <v>3</v>
      </c>
      <c r="F1897" s="16" t="s">
        <v>4</v>
      </c>
      <c r="G1897" s="15" t="s">
        <v>5</v>
      </c>
      <c r="H1897" s="215"/>
    </row>
    <row r="1898" spans="1:8" ht="15">
      <c r="A1898" s="211" t="s">
        <v>484</v>
      </c>
      <c r="B1898" s="216" t="str">
        <f ca="1">_xlfn.CONCAT(B1896,A1898)</f>
        <v>CF5A4DF-A</v>
      </c>
      <c r="C1898" s="17" t="str">
        <f>_xlfn.XLOOKUP(H1898,'Materiales unitario'!$A$1:$A$2500,'Materiales unitario'!B$1:B$2500,,0,1)</f>
        <v>Tubo Conduit PVC 1-2 Pulgadas</v>
      </c>
      <c r="D1898" s="184" t="str">
        <f>_xlfn.XLOOKUP(H1898,'Materiales unitario'!A$1:A$2500,'Materiales unitario'!C$1:C$2500,,0,1)</f>
        <v>ml</v>
      </c>
      <c r="E1898" s="197">
        <f>_xlfn.XLOOKUP(H1898,'Materiales unitario'!$A$1:$A$2500,'Materiales unitario'!D$1:D$2500,,0,1)</f>
        <v>1600</v>
      </c>
      <c r="F1898" s="19">
        <v>2.2000000000000002</v>
      </c>
      <c r="G1898" s="20">
        <f>+E1898*F1898</f>
        <v>3520.0000000000005</v>
      </c>
      <c r="H1898" s="217" t="s">
        <v>613</v>
      </c>
    </row>
    <row r="1899" spans="1:8" ht="15">
      <c r="A1899" s="211" t="s">
        <v>485</v>
      </c>
      <c r="B1899" s="216" t="str">
        <f ca="1">_xlfn.CONCAT(B1896,A1899)</f>
        <v>CF5A4DF-B</v>
      </c>
      <c r="C1899" s="17" t="str">
        <f>_xlfn.XLOOKUP(H1899,'Materiales unitario'!$A$1:$A$2500,'Materiales unitario'!B$1:B$2500,,0,1)</f>
        <v>Tubo Conduit PVC 3-4 Pulgadas</v>
      </c>
      <c r="D1899" s="184" t="str">
        <f>_xlfn.XLOOKUP(H1899,'Materiales unitario'!A$1:A$2500,'Materiales unitario'!C$1:C$2500,,0,1)</f>
        <v>ml</v>
      </c>
      <c r="E1899" s="197">
        <f>_xlfn.XLOOKUP(H1899,'Materiales unitario'!$A$1:$A$2500,'Materiales unitario'!D$1:D$2500,,0,1)</f>
        <v>2066.6666666666665</v>
      </c>
      <c r="F1899" s="19">
        <v>0.8</v>
      </c>
      <c r="G1899" s="20">
        <f t="shared" ref="G1899:G1909" si="56">+E1899*F1899</f>
        <v>1653.3333333333333</v>
      </c>
      <c r="H1899" s="217" t="s">
        <v>614</v>
      </c>
    </row>
    <row r="1900" spans="1:8" ht="15">
      <c r="A1900" s="211" t="s">
        <v>486</v>
      </c>
      <c r="B1900" s="216" t="str">
        <f ca="1">_xlfn.CONCAT(B1896,A1900)</f>
        <v>CF5A4DF-C</v>
      </c>
      <c r="C1900" s="17" t="str">
        <f>_xlfn.XLOOKUP(H1900,'Materiales unitario'!$A$1:$A$2500,'Materiales unitario'!B$1:B$2500,,0,1)</f>
        <v>Adaptador terminal PVC ø1/2"</v>
      </c>
      <c r="D1900" s="184" t="str">
        <f>_xlfn.XLOOKUP(H1900,'Materiales unitario'!A$1:A$2500,'Materiales unitario'!C$1:C$2500,,0,1)</f>
        <v>un</v>
      </c>
      <c r="E1900" s="197">
        <f>_xlfn.XLOOKUP(H1900,'Materiales unitario'!$A$1:$A$2500,'Materiales unitario'!D$1:D$2500,,0,1)</f>
        <v>720</v>
      </c>
      <c r="F1900" s="19">
        <v>2</v>
      </c>
      <c r="G1900" s="20">
        <f t="shared" si="56"/>
        <v>1440</v>
      </c>
      <c r="H1900" s="217" t="s">
        <v>603</v>
      </c>
    </row>
    <row r="1901" spans="1:8" ht="15">
      <c r="A1901" s="211" t="s">
        <v>487</v>
      </c>
      <c r="B1901" s="216" t="str">
        <f ca="1">_xlfn.CONCAT(B1896,A1901)</f>
        <v>CF5A4DF-D</v>
      </c>
      <c r="C1901" s="17" t="str">
        <f>_xlfn.XLOOKUP(H1901,'Materiales unitario'!$A$1:$A$2500,'Materiales unitario'!B$1:B$2500,,0,1)</f>
        <v>Adaptador terminal PVC ø3/4"</v>
      </c>
      <c r="D1901" s="184" t="str">
        <f>_xlfn.XLOOKUP(H1901,'Materiales unitario'!A$1:A$2500,'Materiales unitario'!C$1:C$2500,,0,1)</f>
        <v>un</v>
      </c>
      <c r="E1901" s="197">
        <f>_xlfn.XLOOKUP(H1901,'Materiales unitario'!$A$1:$A$2500,'Materiales unitario'!D$1:D$2500,,0,1)</f>
        <v>920</v>
      </c>
      <c r="F1901" s="19">
        <v>0.3</v>
      </c>
      <c r="G1901" s="20">
        <f t="shared" si="56"/>
        <v>276</v>
      </c>
      <c r="H1901" s="217" t="s">
        <v>604</v>
      </c>
    </row>
    <row r="1902" spans="1:8" ht="15">
      <c r="A1902" s="211" t="s">
        <v>488</v>
      </c>
      <c r="B1902" s="216" t="str">
        <f ca="1">_xlfn.CONCAT(B1896,A1902)</f>
        <v>CF5A4DF-E</v>
      </c>
      <c r="C1902" s="17" t="str">
        <f>_xlfn.XLOOKUP(H1902,'Materiales unitario'!$A$1:$A$2500,'Materiales unitario'!B$1:B$2500,,0,1)</f>
        <v>Caja galvanizada ref. 2400 (Cal. 20)</v>
      </c>
      <c r="D1902" s="184" t="str">
        <f>_xlfn.XLOOKUP(H1902,'Materiales unitario'!A$1:A$2500,'Materiales unitario'!C$1:C$2500,,0,1)</f>
        <v>un</v>
      </c>
      <c r="E1902" s="197">
        <f>_xlfn.XLOOKUP(H1902,'Materiales unitario'!$A$1:$A$2500,'Materiales unitario'!D$1:D$2500,,0,1)</f>
        <v>3150</v>
      </c>
      <c r="F1902" s="19">
        <v>0.9</v>
      </c>
      <c r="G1902" s="20">
        <f t="shared" si="56"/>
        <v>2835</v>
      </c>
      <c r="H1902" s="217" t="s">
        <v>605</v>
      </c>
    </row>
    <row r="1903" spans="1:8" ht="15">
      <c r="A1903" s="211" t="s">
        <v>489</v>
      </c>
      <c r="B1903" s="216" t="str">
        <f ca="1">_xlfn.CONCAT(B1896,A1903)</f>
        <v>CF5A4DF-F</v>
      </c>
      <c r="C1903" s="17" t="str">
        <f>_xlfn.XLOOKUP(H1903,'Materiales unitario'!$A$1:$A$2500,'Materiales unitario'!B$1:B$2500,,0,1)</f>
        <v>Caja galvanizada ref. 5800 (Cal. 20)</v>
      </c>
      <c r="D1903" s="184" t="str">
        <f>_xlfn.XLOOKUP(H1903,'Materiales unitario'!A$1:A$2500,'Materiales unitario'!C$1:C$2500,,0,1)</f>
        <v>un</v>
      </c>
      <c r="E1903" s="197">
        <f>_xlfn.XLOOKUP(H1903,'Materiales unitario'!$A$1:$A$2500,'Materiales unitario'!D$1:D$2500,,0,1)</f>
        <v>2900</v>
      </c>
      <c r="F1903" s="19">
        <v>0.1</v>
      </c>
      <c r="G1903" s="20">
        <f t="shared" si="56"/>
        <v>290</v>
      </c>
      <c r="H1903" s="217" t="s">
        <v>606</v>
      </c>
    </row>
    <row r="1904" spans="1:8" ht="15">
      <c r="A1904" s="211" t="s">
        <v>490</v>
      </c>
      <c r="B1904" s="216" t="str">
        <f ca="1">_xlfn.CONCAT(B1896,A1904)</f>
        <v>CF5A4DF-G</v>
      </c>
      <c r="C1904" s="17" t="str">
        <f>_xlfn.XLOOKUP(H1904,'Materiales unitario'!$A$1:$A$2500,'Materiales unitario'!B$1:B$2500,,0,1)</f>
        <v>Caja galvanizada octagonal (Cal. 20)</v>
      </c>
      <c r="D1904" s="184" t="str">
        <f>_xlfn.XLOOKUP(H1904,'Materiales unitario'!A$1:A$2500,'Materiales unitario'!C$1:C$2500,,0,1)</f>
        <v>un</v>
      </c>
      <c r="E1904" s="197">
        <f>_xlfn.XLOOKUP(H1904,'Materiales unitario'!$A$1:$A$2500,'Materiales unitario'!D$1:D$2500,,0,1)</f>
        <v>2900</v>
      </c>
      <c r="F1904" s="19">
        <v>0.1</v>
      </c>
      <c r="G1904" s="20">
        <f t="shared" si="56"/>
        <v>290</v>
      </c>
      <c r="H1904" s="217" t="s">
        <v>607</v>
      </c>
    </row>
    <row r="1905" spans="1:8" ht="15">
      <c r="A1905" s="211" t="s">
        <v>491</v>
      </c>
      <c r="B1905" s="216" t="str">
        <f ca="1">_xlfn.CONCAT(B1896,A1905)</f>
        <v>CF5A4DF-H</v>
      </c>
      <c r="C1905" s="17" t="str">
        <f>_xlfn.XLOOKUP(H1905,'Materiales unitario'!$A$1:$A$2500,'Materiales unitario'!B$1:B$2500,,0,1)</f>
        <v xml:space="preserve">Tornillo lámina #14x1/2" goloso </v>
      </c>
      <c r="D1905" s="184" t="str">
        <f>_xlfn.XLOOKUP(H1905,'Materiales unitario'!A$1:A$2500,'Materiales unitario'!C$1:C$2500,,0,1)</f>
        <v>un</v>
      </c>
      <c r="E1905" s="197">
        <f>_xlfn.XLOOKUP(H1905,'Materiales unitario'!$A$1:$A$2500,'Materiales unitario'!D$1:D$2500,,0,1)</f>
        <v>200</v>
      </c>
      <c r="F1905" s="19">
        <v>2</v>
      </c>
      <c r="G1905" s="20">
        <f t="shared" si="56"/>
        <v>400</v>
      </c>
      <c r="H1905" s="217" t="s">
        <v>608</v>
      </c>
    </row>
    <row r="1906" spans="1:8" ht="15">
      <c r="A1906" s="211" t="s">
        <v>492</v>
      </c>
      <c r="B1906" s="216" t="str">
        <f ca="1">_xlfn.CONCAT(B1896,A1906)</f>
        <v>CF5A4DF-I</v>
      </c>
      <c r="C1906" s="17" t="str">
        <f>_xlfn.XLOOKUP(H1906,'Materiales unitario'!$A$1:$A$2500,'Materiales unitario'!B$1:B$2500,,0,1)</f>
        <v>Suplemento galvanizado de ø1/4" (Cal. 24)</v>
      </c>
      <c r="D1906" s="184" t="str">
        <f>_xlfn.XLOOKUP(H1906,'Materiales unitario'!A$1:A$2500,'Materiales unitario'!C$1:C$2500,,0,1)</f>
        <v>un</v>
      </c>
      <c r="E1906" s="197">
        <f>_xlfn.XLOOKUP(H1906,'Materiales unitario'!$A$1:$A$2500,'Materiales unitario'!D$1:D$2500,,0,1)</f>
        <v>1200</v>
      </c>
      <c r="F1906" s="19">
        <v>0.5</v>
      </c>
      <c r="G1906" s="20">
        <f t="shared" si="56"/>
        <v>600</v>
      </c>
      <c r="H1906" s="217" t="s">
        <v>609</v>
      </c>
    </row>
    <row r="1907" spans="1:8" ht="15">
      <c r="A1907" s="211" t="s">
        <v>493</v>
      </c>
      <c r="B1907" s="216" t="str">
        <f ca="1">_xlfn.CONCAT(B1896,A1907)</f>
        <v>CF5A4DF-J</v>
      </c>
      <c r="C1907" s="17" t="str">
        <f>_xlfn.XLOOKUP(H1907,'Materiales unitario'!$A$1:$A$2500,'Materiales unitario'!B$1:B$2500,,0,1)</f>
        <v>Conector de resorte rojo "R" 18-10 AWG</v>
      </c>
      <c r="D1907" s="184" t="str">
        <f>_xlfn.XLOOKUP(H1907,'Materiales unitario'!A$1:A$2500,'Materiales unitario'!C$1:C$2500,,0,1)</f>
        <v>un</v>
      </c>
      <c r="E1907" s="197">
        <f>_xlfn.XLOOKUP(H1907,'Materiales unitario'!$A$1:$A$2500,'Materiales unitario'!D$1:D$2500,,0,1)</f>
        <v>280</v>
      </c>
      <c r="F1907" s="19">
        <v>3</v>
      </c>
      <c r="G1907" s="20">
        <f t="shared" si="56"/>
        <v>840</v>
      </c>
      <c r="H1907" s="217" t="s">
        <v>302</v>
      </c>
    </row>
    <row r="1908" spans="1:8" ht="15">
      <c r="A1908" s="211" t="s">
        <v>494</v>
      </c>
      <c r="B1908" s="216" t="str">
        <f ca="1">_xlfn.CONCAT(B1896,A1908)</f>
        <v>CF5A4DF-K</v>
      </c>
      <c r="C1908" s="17" t="str">
        <f>_xlfn.XLOOKUP(H1908,'Materiales unitario'!$A$1:$A$2500,'Materiales unitario'!B$1:B$2500,,0,1)</f>
        <v>Soldadura liquida PVC 1/4 de galón</v>
      </c>
      <c r="D1908" s="184" t="str">
        <f>_xlfn.XLOOKUP(H1908,'Materiales unitario'!A$1:A$2500,'Materiales unitario'!C$1:C$2500,,0,1)</f>
        <v>un</v>
      </c>
      <c r="E1908" s="197">
        <f>_xlfn.XLOOKUP(H1908,'Materiales unitario'!$A$1:$A$2500,'Materiales unitario'!D$1:D$2500,,0,1)</f>
        <v>60900</v>
      </c>
      <c r="F1908" s="19">
        <v>1.2E-2</v>
      </c>
      <c r="G1908" s="20">
        <f t="shared" si="56"/>
        <v>730.80000000000007</v>
      </c>
      <c r="H1908" s="217" t="s">
        <v>530</v>
      </c>
    </row>
    <row r="1909" spans="1:8" ht="15">
      <c r="A1909" s="211" t="s">
        <v>495</v>
      </c>
      <c r="B1909" s="216" t="str">
        <f ca="1">_xlfn.CONCAT(B1896,A1909)</f>
        <v>CF5A4DF-L</v>
      </c>
      <c r="C1909" s="17" t="str">
        <f>_xlfn.XLOOKUP(H1909,'Materiales unitario'!$A$1:$A$2500,'Materiales unitario'!B$1:B$2500,,0,1)</f>
        <v>Cable de cobre aislado #12 AWG-THHN/THWN Color negro</v>
      </c>
      <c r="D1909" s="184" t="str">
        <f>_xlfn.XLOOKUP(H1909,'Materiales unitario'!A$1:A$2500,'Materiales unitario'!C$1:C$2500,,0,1)</f>
        <v>ml</v>
      </c>
      <c r="E1909" s="197">
        <f>_xlfn.XLOOKUP(H1909,'Materiales unitario'!$A$1:$A$2500,'Materiales unitario'!D$1:D$2500,,0,1)</f>
        <v>3020</v>
      </c>
      <c r="F1909" s="19">
        <v>18</v>
      </c>
      <c r="G1909" s="20">
        <f t="shared" si="56"/>
        <v>54360</v>
      </c>
      <c r="H1909" s="217" t="s">
        <v>267</v>
      </c>
    </row>
    <row r="1910" spans="1:8" ht="15">
      <c r="A1910" s="211" t="s">
        <v>496</v>
      </c>
      <c r="B1910" s="216" t="str">
        <f ca="1">_xlfn.CONCAT(B1896,A1910)</f>
        <v>CF5A4DF-M</v>
      </c>
      <c r="C1910" s="17"/>
      <c r="D1910" s="184"/>
      <c r="E1910" s="197"/>
      <c r="F1910" s="19"/>
      <c r="G1910" s="20"/>
      <c r="H1910" s="217"/>
    </row>
    <row r="1911" spans="1:8">
      <c r="A1911" s="211" t="s">
        <v>497</v>
      </c>
      <c r="B1911" s="216" t="str">
        <f ca="1">_xlfn.CONCAT(B1896,A1911)</f>
        <v>CF5A4DF-N</v>
      </c>
      <c r="C1911" s="17"/>
      <c r="D1911" s="184"/>
      <c r="E1911" s="197"/>
      <c r="F1911" s="19"/>
      <c r="G1911" s="20"/>
    </row>
    <row r="1912" spans="1:8">
      <c r="A1912" s="211" t="s">
        <v>498</v>
      </c>
      <c r="B1912" s="216" t="str">
        <f ca="1">_xlfn.CONCAT(B1896,A1912)</f>
        <v>CF5A4DF-O</v>
      </c>
      <c r="C1912" s="17"/>
      <c r="D1912" s="184"/>
      <c r="E1912" s="197"/>
      <c r="F1912" s="19"/>
      <c r="G1912" s="20"/>
    </row>
    <row r="1913" spans="1:8">
      <c r="A1913" s="211" t="s">
        <v>499</v>
      </c>
      <c r="B1913" s="216" t="str">
        <f ca="1">_xlfn.CONCAT(B1896,A1913)</f>
        <v>CF5A4DF-P</v>
      </c>
      <c r="C1913" s="17"/>
      <c r="D1913" s="184"/>
      <c r="E1913" s="197"/>
      <c r="F1913" s="19"/>
      <c r="G1913" s="20"/>
    </row>
    <row r="1914" spans="1:8">
      <c r="A1914" s="211" t="s">
        <v>500</v>
      </c>
      <c r="B1914" s="216" t="str">
        <f ca="1">_xlfn.CONCAT(B1896,A1914)</f>
        <v>CF5A4DF-Q</v>
      </c>
      <c r="C1914" s="17"/>
      <c r="D1914" s="184"/>
      <c r="E1914" s="197"/>
      <c r="F1914" s="19"/>
      <c r="G1914" s="20"/>
    </row>
    <row r="1915" spans="1:8">
      <c r="A1915" s="211" t="s">
        <v>501</v>
      </c>
      <c r="B1915" s="216" t="str">
        <f ca="1">_xlfn.CONCAT(B1896,A1915)</f>
        <v>CF5A4DF-R</v>
      </c>
      <c r="C1915" s="17"/>
      <c r="D1915" s="184"/>
      <c r="E1915" s="197"/>
      <c r="F1915" s="19"/>
      <c r="G1915" s="20"/>
    </row>
    <row r="1916" spans="1:8">
      <c r="A1916" s="211" t="s">
        <v>502</v>
      </c>
      <c r="B1916" s="216" t="str">
        <f ca="1">_xlfn.CONCAT(B1896,A1916)</f>
        <v>CF5A4DF-S</v>
      </c>
      <c r="C1916" s="17"/>
      <c r="D1916" s="184"/>
      <c r="E1916" s="197"/>
      <c r="F1916" s="19"/>
      <c r="G1916" s="20"/>
    </row>
    <row r="1917" spans="1:8">
      <c r="A1917" s="211" t="s">
        <v>503</v>
      </c>
      <c r="B1917" s="216" t="str">
        <f ca="1">_xlfn.CONCAT(B1896,A1917)</f>
        <v>CF5A4DF-T</v>
      </c>
      <c r="C1917" s="17"/>
      <c r="D1917" s="184"/>
      <c r="E1917" s="197"/>
      <c r="F1917" s="19"/>
      <c r="G1917" s="20"/>
    </row>
    <row r="1918" spans="1:8" ht="14.25" thickBot="1">
      <c r="A1918" s="211" t="s">
        <v>504</v>
      </c>
      <c r="B1918" s="216" t="str">
        <f ca="1">_xlfn.CONCAT(B1896,A1918)</f>
        <v>CF5A4DF-U</v>
      </c>
      <c r="C1918" s="17"/>
      <c r="D1918" s="184"/>
      <c r="E1918" s="197"/>
      <c r="F1918" s="19"/>
      <c r="G1918" s="20"/>
    </row>
    <row r="1919" spans="1:8" ht="16.5" customHeight="1" thickBot="1">
      <c r="A1919" s="211" t="s">
        <v>505</v>
      </c>
      <c r="B1919" s="216" t="str">
        <f ca="1">_xlfn.CONCAT(B1896,A1919)</f>
        <v>CF5A4DF-V</v>
      </c>
      <c r="C1919" s="17" t="s">
        <v>17</v>
      </c>
      <c r="D1919" s="192" t="s">
        <v>17</v>
      </c>
      <c r="E1919" s="18"/>
      <c r="F1919" s="22" t="s">
        <v>18</v>
      </c>
      <c r="G1919" s="23">
        <f>SUM(G1898:G1918)</f>
        <v>67235.133333333331</v>
      </c>
    </row>
    <row r="1920" spans="1:8" ht="28.5" customHeight="1" thickBot="1">
      <c r="A1920" s="211" t="s">
        <v>506</v>
      </c>
      <c r="B1920" s="216" t="str">
        <f ca="1">_xlfn.CONCAT(B1896,A1920)</f>
        <v>CF5A4DF-W</v>
      </c>
      <c r="C1920" s="10" t="s">
        <v>19</v>
      </c>
      <c r="D1920" s="190"/>
      <c r="E1920" s="11"/>
      <c r="F1920" s="12"/>
      <c r="G1920" s="13"/>
    </row>
    <row r="1921" spans="1:8" s="47" customFormat="1" ht="23.25" customHeight="1" thickBot="1">
      <c r="A1921" s="211" t="s">
        <v>507</v>
      </c>
      <c r="B1921" s="216" t="str">
        <f ca="1">_xlfn.CONCAT(B1896,A1921)</f>
        <v>CF5A4DF-X</v>
      </c>
      <c r="C1921" s="14" t="s">
        <v>1</v>
      </c>
      <c r="D1921" s="15"/>
      <c r="E1921" s="15" t="s">
        <v>20</v>
      </c>
      <c r="F1921" s="16" t="s">
        <v>21</v>
      </c>
      <c r="G1921" s="15" t="s">
        <v>5</v>
      </c>
      <c r="H1921" s="215"/>
    </row>
    <row r="1922" spans="1:8">
      <c r="A1922" s="211" t="s">
        <v>508</v>
      </c>
      <c r="B1922" s="216" t="str">
        <f ca="1">_xlfn.CONCAT(B1896,A1922)</f>
        <v>CF5A4DF-Y</v>
      </c>
      <c r="C1922" s="24" t="s">
        <v>22</v>
      </c>
      <c r="D1922" s="184"/>
      <c r="E1922" s="25">
        <f>_xlfn.XLOOKUP(C1922,'H-MO'!B$7:B$30,'H-MO'!D$7:D$30,,0,1)</f>
        <v>2436.5624999999995</v>
      </c>
      <c r="F1922" s="19">
        <v>0.3</v>
      </c>
      <c r="G1922" s="33">
        <f t="shared" ref="G1922:G1927" si="57">+E1922*F1922</f>
        <v>730.96874999999989</v>
      </c>
    </row>
    <row r="1923" spans="1:8">
      <c r="A1923" s="211" t="s">
        <v>509</v>
      </c>
      <c r="B1923" s="216" t="str">
        <f ca="1">_xlfn.CONCAT(B1896,A1923)</f>
        <v>CF5A4DF-Z</v>
      </c>
      <c r="C1923" s="24" t="s">
        <v>23</v>
      </c>
      <c r="D1923" s="184"/>
      <c r="E1923" s="25">
        <f>_xlfn.XLOOKUP(C1923,'H-MO'!B$7:B$30,'H-MO'!D$7:D$30,,0,1)</f>
        <v>1461.9374999999998</v>
      </c>
      <c r="F1923" s="19">
        <v>9.7711304347826086E-2</v>
      </c>
      <c r="G1923" s="33">
        <f t="shared" si="57"/>
        <v>142.84781999999998</v>
      </c>
    </row>
    <row r="1924" spans="1:8">
      <c r="A1924" s="211" t="s">
        <v>510</v>
      </c>
      <c r="B1924" s="216" t="str">
        <f ca="1">_xlfn.CONCAT(B1896,A1924)</f>
        <v>CF5A4DF-aa</v>
      </c>
      <c r="C1924" s="24" t="s">
        <v>24</v>
      </c>
      <c r="D1924" s="185"/>
      <c r="E1924" s="25">
        <f>_xlfn.XLOOKUP(C1924,'H-MO'!B$7:B$30,'H-MO'!D$7:D$30,,0,1)</f>
        <v>29238.749999999996</v>
      </c>
      <c r="F1924" s="28">
        <v>1.6285217391304348E-3</v>
      </c>
      <c r="G1924" s="33">
        <f t="shared" si="57"/>
        <v>47.615939999999995</v>
      </c>
    </row>
    <row r="1925" spans="1:8">
      <c r="A1925" s="211" t="s">
        <v>511</v>
      </c>
      <c r="B1925" s="216" t="str">
        <f ca="1">_xlfn.CONCAT(B1896,A1925)</f>
        <v>CF5A4DF-ab</v>
      </c>
      <c r="C1925" s="24" t="s">
        <v>25</v>
      </c>
      <c r="D1925" s="185"/>
      <c r="E1925" s="25">
        <f>_xlfn.XLOOKUP(C1925,'H-MO'!B$7:B$30,'H-MO'!D$7:D$30,,0,1)</f>
        <v>2761.4374999999995</v>
      </c>
      <c r="F1925" s="28">
        <v>0.3</v>
      </c>
      <c r="G1925" s="33">
        <f t="shared" si="57"/>
        <v>828.43124999999986</v>
      </c>
    </row>
    <row r="1926" spans="1:8">
      <c r="A1926" s="211" t="s">
        <v>512</v>
      </c>
      <c r="B1926" s="216" t="str">
        <f ca="1">_xlfn.CONCAT(B1896,A1926)</f>
        <v>CF5A4DF-ac</v>
      </c>
      <c r="C1926" s="24"/>
      <c r="D1926" s="185"/>
      <c r="E1926" s="29"/>
      <c r="F1926" s="28"/>
      <c r="G1926" s="33">
        <f t="shared" si="57"/>
        <v>0</v>
      </c>
    </row>
    <row r="1927" spans="1:8" ht="14.25" thickBot="1">
      <c r="A1927" s="211" t="s">
        <v>513</v>
      </c>
      <c r="B1927" s="216" t="str">
        <f ca="1">_xlfn.CONCAT(B1896,A1927)</f>
        <v>CF5A4DF-ad</v>
      </c>
      <c r="C1927" s="24"/>
      <c r="D1927" s="185"/>
      <c r="E1927" s="29"/>
      <c r="F1927" s="28"/>
      <c r="G1927" s="33">
        <f t="shared" si="57"/>
        <v>0</v>
      </c>
    </row>
    <row r="1928" spans="1:8" ht="16.5" customHeight="1" thickBot="1">
      <c r="A1928" s="211" t="s">
        <v>514</v>
      </c>
      <c r="B1928" s="216" t="str">
        <f ca="1">_xlfn.CONCAT(B1896,A1928)</f>
        <v>CF5A4DF-ae</v>
      </c>
      <c r="C1928" s="17"/>
      <c r="D1928" s="192"/>
      <c r="E1928" s="18"/>
      <c r="F1928" s="22" t="s">
        <v>26</v>
      </c>
      <c r="G1928" s="23">
        <f>SUM(G1922:G1927)</f>
        <v>1749.8637599999997</v>
      </c>
    </row>
    <row r="1929" spans="1:8" ht="28.5" customHeight="1" thickBot="1">
      <c r="A1929" s="211" t="s">
        <v>515</v>
      </c>
      <c r="B1929" s="216" t="str">
        <f ca="1">_xlfn.CONCAT(B1896,A1929)</f>
        <v>CF5A4DF-af</v>
      </c>
      <c r="C1929" s="10" t="s">
        <v>27</v>
      </c>
      <c r="D1929" s="190"/>
      <c r="E1929" s="11"/>
      <c r="F1929" s="12"/>
      <c r="G1929" s="13"/>
    </row>
    <row r="1930" spans="1:8" s="47" customFormat="1" ht="23.25" customHeight="1" thickBot="1">
      <c r="A1930" s="211" t="s">
        <v>516</v>
      </c>
      <c r="B1930" s="216" t="str">
        <f ca="1">_xlfn.CONCAT(B1896,A1930)</f>
        <v>CF5A4DF-ag</v>
      </c>
      <c r="C1930" s="14" t="s">
        <v>1</v>
      </c>
      <c r="D1930" s="15" t="s">
        <v>28</v>
      </c>
      <c r="E1930" s="15" t="s">
        <v>20</v>
      </c>
      <c r="F1930" s="16" t="s">
        <v>21</v>
      </c>
      <c r="G1930" s="15" t="s">
        <v>5</v>
      </c>
      <c r="H1930" s="215"/>
    </row>
    <row r="1931" spans="1:8">
      <c r="A1931" s="211" t="s">
        <v>517</v>
      </c>
      <c r="B1931" s="216" t="str">
        <f ca="1">_xlfn.CONCAT(B1896,A1931)</f>
        <v>CF5A4DF-ah</v>
      </c>
      <c r="C1931" s="30" t="s">
        <v>29</v>
      </c>
      <c r="D1931" s="186">
        <f>'H-MO'!$N$77</f>
        <v>725918.52892505517</v>
      </c>
      <c r="E1931" s="31">
        <f>+D1931/8</f>
        <v>90739.816115631897</v>
      </c>
      <c r="F1931" s="32">
        <v>0.35</v>
      </c>
      <c r="G1931" s="33">
        <f>+E1931*F1931</f>
        <v>31758.935640471162</v>
      </c>
    </row>
    <row r="1932" spans="1:8">
      <c r="A1932" s="211" t="s">
        <v>518</v>
      </c>
      <c r="B1932" s="216" t="str">
        <f ca="1">_xlfn.CONCAT(B1896,A1932)</f>
        <v>CF5A4DF-ai</v>
      </c>
      <c r="C1932" s="34" t="s">
        <v>30</v>
      </c>
      <c r="D1932" s="187">
        <f>'H-MO'!$N$86</f>
        <v>685561.39085756091</v>
      </c>
      <c r="E1932" s="29">
        <f>+D1932/8</f>
        <v>85695.173857195114</v>
      </c>
      <c r="F1932" s="28">
        <v>0.05</v>
      </c>
      <c r="G1932" s="33">
        <f>+E1932*F1932</f>
        <v>4284.7586928597557</v>
      </c>
    </row>
    <row r="1933" spans="1:8" ht="14.25" thickBot="1">
      <c r="A1933" s="211" t="s">
        <v>519</v>
      </c>
      <c r="B1933" s="216" t="str">
        <f ca="1">_xlfn.CONCAT(B1896,A1933)</f>
        <v>CF5A4DF-aj</v>
      </c>
      <c r="C1933" s="34"/>
      <c r="D1933" s="187"/>
      <c r="E1933" s="29"/>
      <c r="F1933" s="28"/>
      <c r="G1933" s="33">
        <f>+E1933*F1933</f>
        <v>0</v>
      </c>
    </row>
    <row r="1934" spans="1:8" ht="17.25" customHeight="1" thickBot="1">
      <c r="A1934" s="211" t="s">
        <v>520</v>
      </c>
      <c r="B1934" s="216" t="str">
        <f ca="1">_xlfn.CONCAT(B1896,A1934)</f>
        <v>CF5A4DF-ak</v>
      </c>
      <c r="C1934" s="34"/>
      <c r="D1934" s="185"/>
      <c r="E1934" s="26"/>
      <c r="F1934" s="36" t="s">
        <v>31</v>
      </c>
      <c r="G1934" s="23">
        <f>SUM(G1931:G1933)</f>
        <v>36043.694333330917</v>
      </c>
    </row>
    <row r="1935" spans="1:8" ht="14.25" thickBot="1">
      <c r="A1935" s="211" t="s">
        <v>521</v>
      </c>
      <c r="B1935" s="216" t="str">
        <f ca="1">_xlfn.CONCAT(B1896,A1935)</f>
        <v>CF5A4DF-al</v>
      </c>
      <c r="C1935" s="37"/>
      <c r="E1935" s="38"/>
      <c r="F1935" s="22"/>
      <c r="G1935" s="39"/>
    </row>
    <row r="1936" spans="1:8" ht="23.25" customHeight="1" thickBot="1">
      <c r="A1936" s="211" t="s">
        <v>522</v>
      </c>
      <c r="B1936" s="216" t="str">
        <f ca="1">_xlfn.CONCAT(B1896,A1936)</f>
        <v>CF5A4DF-am</v>
      </c>
      <c r="C1936" s="40"/>
      <c r="D1936" s="193"/>
      <c r="E1936" s="41"/>
      <c r="F1936" s="42"/>
      <c r="G1936" s="43">
        <f>+G1919+G1928+G1934</f>
        <v>105028.69142666424</v>
      </c>
    </row>
    <row r="1937" spans="1:8" ht="21.75" thickBot="1">
      <c r="B1937" s="212" t="s">
        <v>550</v>
      </c>
      <c r="C1937" s="2"/>
      <c r="D1937" s="183"/>
      <c r="F1937" s="4"/>
      <c r="G1937" s="5"/>
    </row>
    <row r="1938" spans="1:8" s="45" customFormat="1" ht="34.5" customHeight="1">
      <c r="A1938" s="213"/>
      <c r="B1938" s="214">
        <v>45</v>
      </c>
      <c r="C1938" s="242" t="str">
        <f ca="1">_xlfn.XLOOKUP(B1938,Cantidades!$A$10:$A$314,Cantidades!$C$10:$C$314,,0,1)</f>
        <v>Suministro e instalación de salida iluminación espejo. Incluye caja de conexión, cable #12 AWG de cobre, tubería SCH 40 y demás accesorios para su correcta instalación,  fincionamiento y señalización.</v>
      </c>
      <c r="D1938" s="243"/>
      <c r="E1938" s="243"/>
      <c r="F1938" s="243"/>
      <c r="G1938" s="244"/>
      <c r="H1938" s="213"/>
    </row>
    <row r="1939" spans="1:8" s="47" customFormat="1" ht="24.95" customHeight="1" thickBot="1">
      <c r="A1939" s="215"/>
      <c r="B1939" s="216" t="s">
        <v>550</v>
      </c>
      <c r="C1939" s="177"/>
      <c r="D1939" s="189"/>
      <c r="E1939" s="178"/>
      <c r="F1939" s="179" t="s">
        <v>636</v>
      </c>
      <c r="G1939" s="209" t="str">
        <f ca="1">B1940</f>
        <v>377C8D31-</v>
      </c>
      <c r="H1939" s="215"/>
    </row>
    <row r="1940" spans="1:8" ht="28.5" customHeight="1" thickBot="1">
      <c r="B1940" s="212" t="str">
        <f ca="1">_xlfn.XLOOKUP(C1938,Cantidades!$C$1:$C$314,Cantidades!$B$1:$B$314,"",0,1)</f>
        <v>377C8D31-</v>
      </c>
      <c r="C1940" s="10" t="s">
        <v>0</v>
      </c>
      <c r="D1940" s="190"/>
      <c r="E1940" s="11"/>
      <c r="F1940" s="12"/>
      <c r="G1940" s="13"/>
    </row>
    <row r="1941" spans="1:8" s="47" customFormat="1" ht="23.25" customHeight="1" thickBot="1">
      <c r="A1941" s="215"/>
      <c r="B1941" s="216" t="s">
        <v>550</v>
      </c>
      <c r="C1941" s="14" t="s">
        <v>1</v>
      </c>
      <c r="D1941" s="15" t="s">
        <v>2</v>
      </c>
      <c r="E1941" s="15" t="s">
        <v>3</v>
      </c>
      <c r="F1941" s="16" t="s">
        <v>4</v>
      </c>
      <c r="G1941" s="15" t="s">
        <v>5</v>
      </c>
      <c r="H1941" s="215"/>
    </row>
    <row r="1942" spans="1:8" ht="15">
      <c r="A1942" s="211" t="s">
        <v>484</v>
      </c>
      <c r="B1942" s="216" t="str">
        <f ca="1">_xlfn.CONCAT(B1940,A1942)</f>
        <v>377C8D31-A</v>
      </c>
      <c r="C1942" s="17" t="str">
        <f>_xlfn.XLOOKUP(H1942,'Materiales unitario'!$A$1:$A$2500,'Materiales unitario'!B$1:B$2500,,0,1)</f>
        <v>Tubo Conduit PVC Sch40 1-2 Pulgadas</v>
      </c>
      <c r="D1942" s="184" t="str">
        <f>_xlfn.XLOOKUP(H1942,'Materiales unitario'!A$1:A$2500,'Materiales unitario'!C$1:C$2500,,0,1)</f>
        <v>ml</v>
      </c>
      <c r="E1942" s="197">
        <f>_xlfn.XLOOKUP(H1942,'Materiales unitario'!$A$1:$A$2500,'Materiales unitario'!D$1:D$2500,,0,1)</f>
        <v>2966.6666666666665</v>
      </c>
      <c r="F1942" s="19">
        <v>2.2000000000000002</v>
      </c>
      <c r="G1942" s="20">
        <f>+E1942*F1942</f>
        <v>6526.666666666667</v>
      </c>
      <c r="H1942" s="217" t="s">
        <v>601</v>
      </c>
    </row>
    <row r="1943" spans="1:8" ht="15">
      <c r="A1943" s="211" t="s">
        <v>485</v>
      </c>
      <c r="B1943" s="216" t="str">
        <f ca="1">_xlfn.CONCAT(B1940,A1943)</f>
        <v>377C8D31-B</v>
      </c>
      <c r="C1943" s="17" t="str">
        <f>_xlfn.XLOOKUP(H1943,'Materiales unitario'!$A$1:$A$2500,'Materiales unitario'!B$1:B$2500,,0,1)</f>
        <v>Tubo Conduit PVC SCH40 3-4 Pulgadas</v>
      </c>
      <c r="D1943" s="184" t="str">
        <f>_xlfn.XLOOKUP(H1943,'Materiales unitario'!A$1:A$2500,'Materiales unitario'!C$1:C$2500,,0,1)</f>
        <v>ml</v>
      </c>
      <c r="E1943" s="197">
        <f>_xlfn.XLOOKUP(H1943,'Materiales unitario'!$A$1:$A$2500,'Materiales unitario'!D$1:D$2500,,0,1)</f>
        <v>3966.6666666666665</v>
      </c>
      <c r="F1943" s="19">
        <v>0.8</v>
      </c>
      <c r="G1943" s="20">
        <f t="shared" ref="G1943:G1953" si="58">+E1943*F1943</f>
        <v>3173.3333333333335</v>
      </c>
      <c r="H1943" s="217" t="s">
        <v>602</v>
      </c>
    </row>
    <row r="1944" spans="1:8" ht="15">
      <c r="A1944" s="211" t="s">
        <v>486</v>
      </c>
      <c r="B1944" s="216" t="str">
        <f ca="1">_xlfn.CONCAT(B1940,A1944)</f>
        <v>377C8D31-C</v>
      </c>
      <c r="C1944" s="17" t="str">
        <f>_xlfn.XLOOKUP(H1944,'Materiales unitario'!$A$1:$A$2500,'Materiales unitario'!B$1:B$2500,,0,1)</f>
        <v>Adaptador terminal PVC ø1/2"</v>
      </c>
      <c r="D1944" s="184" t="str">
        <f>_xlfn.XLOOKUP(H1944,'Materiales unitario'!A$1:A$2500,'Materiales unitario'!C$1:C$2500,,0,1)</f>
        <v>un</v>
      </c>
      <c r="E1944" s="197">
        <f>_xlfn.XLOOKUP(H1944,'Materiales unitario'!$A$1:$A$2500,'Materiales unitario'!D$1:D$2500,,0,1)</f>
        <v>720</v>
      </c>
      <c r="F1944" s="19">
        <v>2</v>
      </c>
      <c r="G1944" s="20">
        <f t="shared" si="58"/>
        <v>1440</v>
      </c>
      <c r="H1944" s="217" t="s">
        <v>603</v>
      </c>
    </row>
    <row r="1945" spans="1:8" ht="15">
      <c r="A1945" s="211" t="s">
        <v>487</v>
      </c>
      <c r="B1945" s="216" t="str">
        <f ca="1">_xlfn.CONCAT(B1940,A1945)</f>
        <v>377C8D31-D</v>
      </c>
      <c r="C1945" s="17" t="str">
        <f>_xlfn.XLOOKUP(H1945,'Materiales unitario'!$A$1:$A$2500,'Materiales unitario'!B$1:B$2500,,0,1)</f>
        <v>Adaptador terminal PVC ø3/4"</v>
      </c>
      <c r="D1945" s="184" t="str">
        <f>_xlfn.XLOOKUP(H1945,'Materiales unitario'!A$1:A$2500,'Materiales unitario'!C$1:C$2500,,0,1)</f>
        <v>un</v>
      </c>
      <c r="E1945" s="197">
        <f>_xlfn.XLOOKUP(H1945,'Materiales unitario'!$A$1:$A$2500,'Materiales unitario'!D$1:D$2500,,0,1)</f>
        <v>920</v>
      </c>
      <c r="F1945" s="19">
        <v>0.3</v>
      </c>
      <c r="G1945" s="20">
        <f t="shared" si="58"/>
        <v>276</v>
      </c>
      <c r="H1945" s="217" t="s">
        <v>604</v>
      </c>
    </row>
    <row r="1946" spans="1:8" ht="15">
      <c r="A1946" s="211" t="s">
        <v>488</v>
      </c>
      <c r="B1946" s="216" t="str">
        <f ca="1">_xlfn.CONCAT(B1940,A1946)</f>
        <v>377C8D31-E</v>
      </c>
      <c r="C1946" s="17" t="str">
        <f>_xlfn.XLOOKUP(H1946,'Materiales unitario'!$A$1:$A$2500,'Materiales unitario'!B$1:B$2500,,0,1)</f>
        <v>Caja galvanizada ref. 2400 (Cal. 20)</v>
      </c>
      <c r="D1946" s="184" t="str">
        <f>_xlfn.XLOOKUP(H1946,'Materiales unitario'!A$1:A$2500,'Materiales unitario'!C$1:C$2500,,0,1)</f>
        <v>un</v>
      </c>
      <c r="E1946" s="197">
        <f>_xlfn.XLOOKUP(H1946,'Materiales unitario'!$A$1:$A$2500,'Materiales unitario'!D$1:D$2500,,0,1)</f>
        <v>3150</v>
      </c>
      <c r="F1946" s="19">
        <v>0.9</v>
      </c>
      <c r="G1946" s="20">
        <f t="shared" si="58"/>
        <v>2835</v>
      </c>
      <c r="H1946" s="217" t="s">
        <v>605</v>
      </c>
    </row>
    <row r="1947" spans="1:8" ht="15">
      <c r="A1947" s="211" t="s">
        <v>489</v>
      </c>
      <c r="B1947" s="216" t="str">
        <f ca="1">_xlfn.CONCAT(B1940,A1947)</f>
        <v>377C8D31-F</v>
      </c>
      <c r="C1947" s="17" t="str">
        <f>_xlfn.XLOOKUP(H1947,'Materiales unitario'!$A$1:$A$2500,'Materiales unitario'!B$1:B$2500,,0,1)</f>
        <v>Caja galvanizada ref. 5800 (Cal. 20)</v>
      </c>
      <c r="D1947" s="184" t="str">
        <f>_xlfn.XLOOKUP(H1947,'Materiales unitario'!A$1:A$2500,'Materiales unitario'!C$1:C$2500,,0,1)</f>
        <v>un</v>
      </c>
      <c r="E1947" s="197">
        <f>_xlfn.XLOOKUP(H1947,'Materiales unitario'!$A$1:$A$2500,'Materiales unitario'!D$1:D$2500,,0,1)</f>
        <v>2900</v>
      </c>
      <c r="F1947" s="19">
        <v>0.1</v>
      </c>
      <c r="G1947" s="20">
        <f t="shared" si="58"/>
        <v>290</v>
      </c>
      <c r="H1947" s="217" t="s">
        <v>606</v>
      </c>
    </row>
    <row r="1948" spans="1:8" ht="15">
      <c r="A1948" s="211" t="s">
        <v>490</v>
      </c>
      <c r="B1948" s="216" t="str">
        <f ca="1">_xlfn.CONCAT(B1940,A1948)</f>
        <v>377C8D31-G</v>
      </c>
      <c r="C1948" s="17" t="str">
        <f>_xlfn.XLOOKUP(H1948,'Materiales unitario'!$A$1:$A$2500,'Materiales unitario'!B$1:B$2500,,0,1)</f>
        <v>Caja galvanizada octagonal (Cal. 20)</v>
      </c>
      <c r="D1948" s="184" t="str">
        <f>_xlfn.XLOOKUP(H1948,'Materiales unitario'!A$1:A$2500,'Materiales unitario'!C$1:C$2500,,0,1)</f>
        <v>un</v>
      </c>
      <c r="E1948" s="197">
        <f>_xlfn.XLOOKUP(H1948,'Materiales unitario'!$A$1:$A$2500,'Materiales unitario'!D$1:D$2500,,0,1)</f>
        <v>2900</v>
      </c>
      <c r="F1948" s="19">
        <v>0.1</v>
      </c>
      <c r="G1948" s="20">
        <f t="shared" si="58"/>
        <v>290</v>
      </c>
      <c r="H1948" s="217" t="s">
        <v>607</v>
      </c>
    </row>
    <row r="1949" spans="1:8" ht="15">
      <c r="A1949" s="211" t="s">
        <v>491</v>
      </c>
      <c r="B1949" s="216" t="str">
        <f ca="1">_xlfn.CONCAT(B1940,A1949)</f>
        <v>377C8D31-H</v>
      </c>
      <c r="C1949" s="17" t="str">
        <f>_xlfn.XLOOKUP(H1949,'Materiales unitario'!$A$1:$A$2500,'Materiales unitario'!B$1:B$2500,,0,1)</f>
        <v xml:space="preserve">Tornillo lámina #14x1/2" goloso </v>
      </c>
      <c r="D1949" s="184" t="str">
        <f>_xlfn.XLOOKUP(H1949,'Materiales unitario'!A$1:A$2500,'Materiales unitario'!C$1:C$2500,,0,1)</f>
        <v>un</v>
      </c>
      <c r="E1949" s="197">
        <f>_xlfn.XLOOKUP(H1949,'Materiales unitario'!$A$1:$A$2500,'Materiales unitario'!D$1:D$2500,,0,1)</f>
        <v>200</v>
      </c>
      <c r="F1949" s="19">
        <v>2</v>
      </c>
      <c r="G1949" s="20">
        <f t="shared" si="58"/>
        <v>400</v>
      </c>
      <c r="H1949" s="217" t="s">
        <v>608</v>
      </c>
    </row>
    <row r="1950" spans="1:8" ht="15">
      <c r="A1950" s="211" t="s">
        <v>492</v>
      </c>
      <c r="B1950" s="216" t="str">
        <f ca="1">_xlfn.CONCAT(B1940,A1950)</f>
        <v>377C8D31-I</v>
      </c>
      <c r="C1950" s="17" t="str">
        <f>_xlfn.XLOOKUP(H1950,'Materiales unitario'!$A$1:$A$2500,'Materiales unitario'!B$1:B$2500,,0,1)</f>
        <v>Suplemento galvanizado de ø1/4" (Cal. 24)</v>
      </c>
      <c r="D1950" s="184" t="str">
        <f>_xlfn.XLOOKUP(H1950,'Materiales unitario'!A$1:A$2500,'Materiales unitario'!C$1:C$2500,,0,1)</f>
        <v>un</v>
      </c>
      <c r="E1950" s="197">
        <f>_xlfn.XLOOKUP(H1950,'Materiales unitario'!$A$1:$A$2500,'Materiales unitario'!D$1:D$2500,,0,1)</f>
        <v>1200</v>
      </c>
      <c r="F1950" s="19">
        <v>0.5</v>
      </c>
      <c r="G1950" s="20">
        <f t="shared" si="58"/>
        <v>600</v>
      </c>
      <c r="H1950" s="217" t="s">
        <v>609</v>
      </c>
    </row>
    <row r="1951" spans="1:8" ht="15">
      <c r="A1951" s="211" t="s">
        <v>493</v>
      </c>
      <c r="B1951" s="216" t="str">
        <f ca="1">_xlfn.CONCAT(B1940,A1951)</f>
        <v>377C8D31-J</v>
      </c>
      <c r="C1951" s="17" t="str">
        <f>_xlfn.XLOOKUP(H1951,'Materiales unitario'!$A$1:$A$2500,'Materiales unitario'!B$1:B$2500,,0,1)</f>
        <v>Conector de resorte rojo "R" 18-10 AWG</v>
      </c>
      <c r="D1951" s="184" t="str">
        <f>_xlfn.XLOOKUP(H1951,'Materiales unitario'!A$1:A$2500,'Materiales unitario'!C$1:C$2500,,0,1)</f>
        <v>un</v>
      </c>
      <c r="E1951" s="197">
        <f>_xlfn.XLOOKUP(H1951,'Materiales unitario'!$A$1:$A$2500,'Materiales unitario'!D$1:D$2500,,0,1)</f>
        <v>280</v>
      </c>
      <c r="F1951" s="19">
        <v>3</v>
      </c>
      <c r="G1951" s="20">
        <f t="shared" si="58"/>
        <v>840</v>
      </c>
      <c r="H1951" s="217" t="s">
        <v>302</v>
      </c>
    </row>
    <row r="1952" spans="1:8" ht="15">
      <c r="A1952" s="211" t="s">
        <v>494</v>
      </c>
      <c r="B1952" s="216" t="str">
        <f ca="1">_xlfn.CONCAT(B1940,A1952)</f>
        <v>377C8D31-K</v>
      </c>
      <c r="C1952" s="17" t="str">
        <f>_xlfn.XLOOKUP(H1952,'Materiales unitario'!$A$1:$A$2500,'Materiales unitario'!B$1:B$2500,,0,1)</f>
        <v>Soldadura liquida PVC 1/4 de galón</v>
      </c>
      <c r="D1952" s="184" t="str">
        <f>_xlfn.XLOOKUP(H1952,'Materiales unitario'!A$1:A$2500,'Materiales unitario'!C$1:C$2500,,0,1)</f>
        <v>un</v>
      </c>
      <c r="E1952" s="197">
        <f>_xlfn.XLOOKUP(H1952,'Materiales unitario'!$A$1:$A$2500,'Materiales unitario'!D$1:D$2500,,0,1)</f>
        <v>60900</v>
      </c>
      <c r="F1952" s="19">
        <v>1.2E-2</v>
      </c>
      <c r="G1952" s="20">
        <f t="shared" si="58"/>
        <v>730.80000000000007</v>
      </c>
      <c r="H1952" s="217" t="s">
        <v>530</v>
      </c>
    </row>
    <row r="1953" spans="1:8" ht="15">
      <c r="A1953" s="211" t="s">
        <v>495</v>
      </c>
      <c r="B1953" s="216" t="str">
        <f ca="1">_xlfn.CONCAT(B1940,A1953)</f>
        <v>377C8D31-L</v>
      </c>
      <c r="C1953" s="17" t="str">
        <f>_xlfn.XLOOKUP(H1953,'Materiales unitario'!$A$1:$A$2500,'Materiales unitario'!B$1:B$2500,,0,1)</f>
        <v>Cable de cobre aislado #12 AWG-THHN/THWN Color negro</v>
      </c>
      <c r="D1953" s="184" t="str">
        <f>_xlfn.XLOOKUP(H1953,'Materiales unitario'!A$1:A$2500,'Materiales unitario'!C$1:C$2500,,0,1)</f>
        <v>ml</v>
      </c>
      <c r="E1953" s="197">
        <f>_xlfn.XLOOKUP(H1953,'Materiales unitario'!$A$1:$A$2500,'Materiales unitario'!D$1:D$2500,,0,1)</f>
        <v>3020</v>
      </c>
      <c r="F1953" s="19">
        <v>18</v>
      </c>
      <c r="G1953" s="20">
        <f t="shared" si="58"/>
        <v>54360</v>
      </c>
      <c r="H1953" s="217" t="s">
        <v>267</v>
      </c>
    </row>
    <row r="1954" spans="1:8" ht="15">
      <c r="A1954" s="211" t="s">
        <v>496</v>
      </c>
      <c r="B1954" s="216" t="str">
        <f ca="1">_xlfn.CONCAT(B1940,A1954)</f>
        <v>377C8D31-M</v>
      </c>
      <c r="C1954" s="17"/>
      <c r="D1954" s="184"/>
      <c r="E1954" s="197"/>
      <c r="F1954" s="19"/>
      <c r="G1954" s="20"/>
      <c r="H1954" s="217"/>
    </row>
    <row r="1955" spans="1:8">
      <c r="A1955" s="211" t="s">
        <v>497</v>
      </c>
      <c r="B1955" s="216" t="str">
        <f ca="1">_xlfn.CONCAT(B1940,A1955)</f>
        <v>377C8D31-N</v>
      </c>
      <c r="C1955" s="17"/>
      <c r="D1955" s="184"/>
      <c r="E1955" s="197"/>
      <c r="F1955" s="19"/>
      <c r="G1955" s="20"/>
    </row>
    <row r="1956" spans="1:8">
      <c r="A1956" s="211" t="s">
        <v>498</v>
      </c>
      <c r="B1956" s="216" t="str">
        <f ca="1">_xlfn.CONCAT(B1940,A1956)</f>
        <v>377C8D31-O</v>
      </c>
      <c r="C1956" s="17"/>
      <c r="D1956" s="184"/>
      <c r="E1956" s="197"/>
      <c r="F1956" s="19"/>
      <c r="G1956" s="20"/>
    </row>
    <row r="1957" spans="1:8">
      <c r="A1957" s="211" t="s">
        <v>499</v>
      </c>
      <c r="B1957" s="216" t="str">
        <f ca="1">_xlfn.CONCAT(B1940,A1957)</f>
        <v>377C8D31-P</v>
      </c>
      <c r="C1957" s="17"/>
      <c r="D1957" s="184"/>
      <c r="E1957" s="197"/>
      <c r="F1957" s="19"/>
      <c r="G1957" s="20"/>
    </row>
    <row r="1958" spans="1:8">
      <c r="A1958" s="211" t="s">
        <v>500</v>
      </c>
      <c r="B1958" s="216" t="str">
        <f ca="1">_xlfn.CONCAT(B1940,A1958)</f>
        <v>377C8D31-Q</v>
      </c>
      <c r="C1958" s="17"/>
      <c r="D1958" s="184"/>
      <c r="E1958" s="197"/>
      <c r="F1958" s="19"/>
      <c r="G1958" s="20"/>
    </row>
    <row r="1959" spans="1:8">
      <c r="A1959" s="211" t="s">
        <v>501</v>
      </c>
      <c r="B1959" s="216" t="str">
        <f ca="1">_xlfn.CONCAT(B1940,A1959)</f>
        <v>377C8D31-R</v>
      </c>
      <c r="C1959" s="17"/>
      <c r="D1959" s="184"/>
      <c r="E1959" s="197"/>
      <c r="F1959" s="19"/>
      <c r="G1959" s="20"/>
    </row>
    <row r="1960" spans="1:8">
      <c r="A1960" s="211" t="s">
        <v>502</v>
      </c>
      <c r="B1960" s="216" t="str">
        <f ca="1">_xlfn.CONCAT(B1940,A1960)</f>
        <v>377C8D31-S</v>
      </c>
      <c r="C1960" s="17"/>
      <c r="D1960" s="184"/>
      <c r="E1960" s="197"/>
      <c r="F1960" s="19"/>
      <c r="G1960" s="20"/>
    </row>
    <row r="1961" spans="1:8">
      <c r="A1961" s="211" t="s">
        <v>503</v>
      </c>
      <c r="B1961" s="216" t="str">
        <f ca="1">_xlfn.CONCAT(B1940,A1961)</f>
        <v>377C8D31-T</v>
      </c>
      <c r="C1961" s="17"/>
      <c r="D1961" s="184"/>
      <c r="E1961" s="197"/>
      <c r="F1961" s="19"/>
      <c r="G1961" s="20"/>
    </row>
    <row r="1962" spans="1:8" ht="14.25" thickBot="1">
      <c r="A1962" s="211" t="s">
        <v>504</v>
      </c>
      <c r="B1962" s="216" t="str">
        <f ca="1">_xlfn.CONCAT(B1940,A1962)</f>
        <v>377C8D31-U</v>
      </c>
      <c r="C1962" s="17"/>
      <c r="D1962" s="184"/>
      <c r="E1962" s="197"/>
      <c r="F1962" s="19"/>
      <c r="G1962" s="20"/>
    </row>
    <row r="1963" spans="1:8" ht="16.5" customHeight="1" thickBot="1">
      <c r="A1963" s="211" t="s">
        <v>505</v>
      </c>
      <c r="B1963" s="216" t="str">
        <f ca="1">_xlfn.CONCAT(B1940,A1963)</f>
        <v>377C8D31-V</v>
      </c>
      <c r="C1963" s="17" t="s">
        <v>17</v>
      </c>
      <c r="D1963" s="192" t="s">
        <v>17</v>
      </c>
      <c r="E1963" s="18"/>
      <c r="F1963" s="22" t="s">
        <v>18</v>
      </c>
      <c r="G1963" s="23">
        <f>SUM(G1942:G1962)</f>
        <v>71761.8</v>
      </c>
    </row>
    <row r="1964" spans="1:8" ht="28.5" customHeight="1" thickBot="1">
      <c r="A1964" s="211" t="s">
        <v>506</v>
      </c>
      <c r="B1964" s="216" t="str">
        <f ca="1">_xlfn.CONCAT(B1940,A1964)</f>
        <v>377C8D31-W</v>
      </c>
      <c r="C1964" s="10" t="s">
        <v>19</v>
      </c>
      <c r="D1964" s="190"/>
      <c r="E1964" s="11"/>
      <c r="F1964" s="12"/>
      <c r="G1964" s="13"/>
    </row>
    <row r="1965" spans="1:8" s="47" customFormat="1" ht="23.25" customHeight="1" thickBot="1">
      <c r="A1965" s="211" t="s">
        <v>507</v>
      </c>
      <c r="B1965" s="216" t="str">
        <f ca="1">_xlfn.CONCAT(B1940,A1965)</f>
        <v>377C8D31-X</v>
      </c>
      <c r="C1965" s="14" t="s">
        <v>1</v>
      </c>
      <c r="D1965" s="15"/>
      <c r="E1965" s="15" t="s">
        <v>20</v>
      </c>
      <c r="F1965" s="16" t="s">
        <v>21</v>
      </c>
      <c r="G1965" s="15" t="s">
        <v>5</v>
      </c>
      <c r="H1965" s="215"/>
    </row>
    <row r="1966" spans="1:8">
      <c r="A1966" s="211" t="s">
        <v>508</v>
      </c>
      <c r="B1966" s="216" t="str">
        <f ca="1">_xlfn.CONCAT(B1940,A1966)</f>
        <v>377C8D31-Y</v>
      </c>
      <c r="C1966" s="24" t="s">
        <v>22</v>
      </c>
      <c r="D1966" s="184"/>
      <c r="E1966" s="25">
        <f>_xlfn.XLOOKUP(C1966,'H-MO'!B$7:B$30,'H-MO'!D$7:D$30,,0,1)</f>
        <v>2436.5624999999995</v>
      </c>
      <c r="F1966" s="19">
        <v>0.3</v>
      </c>
      <c r="G1966" s="33">
        <f t="shared" ref="G1966:G1971" si="59">+E1966*F1966</f>
        <v>730.96874999999989</v>
      </c>
    </row>
    <row r="1967" spans="1:8">
      <c r="A1967" s="211" t="s">
        <v>509</v>
      </c>
      <c r="B1967" s="216" t="str">
        <f ca="1">_xlfn.CONCAT(B1940,A1967)</f>
        <v>377C8D31-Z</v>
      </c>
      <c r="C1967" s="24" t="s">
        <v>23</v>
      </c>
      <c r="D1967" s="184"/>
      <c r="E1967" s="25">
        <f>_xlfn.XLOOKUP(C1967,'H-MO'!B$7:B$30,'H-MO'!D$7:D$30,,0,1)</f>
        <v>1461.9374999999998</v>
      </c>
      <c r="F1967" s="19">
        <v>9.7711304347826086E-2</v>
      </c>
      <c r="G1967" s="33">
        <f t="shared" si="59"/>
        <v>142.84781999999998</v>
      </c>
    </row>
    <row r="1968" spans="1:8">
      <c r="A1968" s="211" t="s">
        <v>510</v>
      </c>
      <c r="B1968" s="216" t="str">
        <f ca="1">_xlfn.CONCAT(B1940,A1968)</f>
        <v>377C8D31-aa</v>
      </c>
      <c r="C1968" s="24" t="s">
        <v>24</v>
      </c>
      <c r="D1968" s="185"/>
      <c r="E1968" s="25">
        <f>_xlfn.XLOOKUP(C1968,'H-MO'!B$7:B$30,'H-MO'!D$7:D$30,,0,1)</f>
        <v>29238.749999999996</v>
      </c>
      <c r="F1968" s="28">
        <v>1.6285217391304348E-3</v>
      </c>
      <c r="G1968" s="33">
        <f t="shared" si="59"/>
        <v>47.615939999999995</v>
      </c>
    </row>
    <row r="1969" spans="1:8">
      <c r="A1969" s="211" t="s">
        <v>511</v>
      </c>
      <c r="B1969" s="216" t="str">
        <f ca="1">_xlfn.CONCAT(B1940,A1969)</f>
        <v>377C8D31-ab</v>
      </c>
      <c r="C1969" s="24" t="s">
        <v>25</v>
      </c>
      <c r="D1969" s="185"/>
      <c r="E1969" s="25">
        <f>_xlfn.XLOOKUP(C1969,'H-MO'!B$7:B$30,'H-MO'!D$7:D$30,,0,1)</f>
        <v>2761.4374999999995</v>
      </c>
      <c r="F1969" s="28">
        <v>0.3</v>
      </c>
      <c r="G1969" s="33">
        <f t="shared" si="59"/>
        <v>828.43124999999986</v>
      </c>
    </row>
    <row r="1970" spans="1:8">
      <c r="A1970" s="211" t="s">
        <v>512</v>
      </c>
      <c r="B1970" s="216" t="str">
        <f ca="1">_xlfn.CONCAT(B1940,A1970)</f>
        <v>377C8D31-ac</v>
      </c>
      <c r="C1970" s="24"/>
      <c r="D1970" s="185"/>
      <c r="E1970" s="29"/>
      <c r="F1970" s="28"/>
      <c r="G1970" s="33">
        <f t="shared" si="59"/>
        <v>0</v>
      </c>
    </row>
    <row r="1971" spans="1:8" ht="14.25" thickBot="1">
      <c r="A1971" s="211" t="s">
        <v>513</v>
      </c>
      <c r="B1971" s="216" t="str">
        <f ca="1">_xlfn.CONCAT(B1940,A1971)</f>
        <v>377C8D31-ad</v>
      </c>
      <c r="C1971" s="24"/>
      <c r="D1971" s="185"/>
      <c r="E1971" s="29"/>
      <c r="F1971" s="28"/>
      <c r="G1971" s="33">
        <f t="shared" si="59"/>
        <v>0</v>
      </c>
    </row>
    <row r="1972" spans="1:8" ht="16.5" customHeight="1" thickBot="1">
      <c r="A1972" s="211" t="s">
        <v>514</v>
      </c>
      <c r="B1972" s="216" t="str">
        <f ca="1">_xlfn.CONCAT(B1940,A1972)</f>
        <v>377C8D31-ae</v>
      </c>
      <c r="C1972" s="17"/>
      <c r="D1972" s="192"/>
      <c r="E1972" s="18"/>
      <c r="F1972" s="22" t="s">
        <v>26</v>
      </c>
      <c r="G1972" s="23">
        <f>SUM(G1966:G1971)</f>
        <v>1749.8637599999997</v>
      </c>
    </row>
    <row r="1973" spans="1:8" ht="28.5" customHeight="1" thickBot="1">
      <c r="A1973" s="211" t="s">
        <v>515</v>
      </c>
      <c r="B1973" s="216" t="str">
        <f ca="1">_xlfn.CONCAT(B1940,A1973)</f>
        <v>377C8D31-af</v>
      </c>
      <c r="C1973" s="10" t="s">
        <v>27</v>
      </c>
      <c r="D1973" s="190"/>
      <c r="E1973" s="11"/>
      <c r="F1973" s="12"/>
      <c r="G1973" s="13"/>
    </row>
    <row r="1974" spans="1:8" s="47" customFormat="1" ht="23.25" customHeight="1" thickBot="1">
      <c r="A1974" s="211" t="s">
        <v>516</v>
      </c>
      <c r="B1974" s="216" t="str">
        <f ca="1">_xlfn.CONCAT(B1940,A1974)</f>
        <v>377C8D31-ag</v>
      </c>
      <c r="C1974" s="14" t="s">
        <v>1</v>
      </c>
      <c r="D1974" s="15" t="s">
        <v>28</v>
      </c>
      <c r="E1974" s="15" t="s">
        <v>20</v>
      </c>
      <c r="F1974" s="16" t="s">
        <v>21</v>
      </c>
      <c r="G1974" s="15" t="s">
        <v>5</v>
      </c>
      <c r="H1974" s="215"/>
    </row>
    <row r="1975" spans="1:8">
      <c r="A1975" s="211" t="s">
        <v>517</v>
      </c>
      <c r="B1975" s="216" t="str">
        <f ca="1">_xlfn.CONCAT(B1940,A1975)</f>
        <v>377C8D31-ah</v>
      </c>
      <c r="C1975" s="30" t="s">
        <v>29</v>
      </c>
      <c r="D1975" s="186">
        <f>'H-MO'!$N$77</f>
        <v>725918.52892505517</v>
      </c>
      <c r="E1975" s="31">
        <f>+D1975/8</f>
        <v>90739.816115631897</v>
      </c>
      <c r="F1975" s="32">
        <v>0.35</v>
      </c>
      <c r="G1975" s="33">
        <f>+E1975*F1975</f>
        <v>31758.935640471162</v>
      </c>
    </row>
    <row r="1976" spans="1:8">
      <c r="A1976" s="211" t="s">
        <v>518</v>
      </c>
      <c r="B1976" s="216" t="str">
        <f ca="1">_xlfn.CONCAT(B1940,A1976)</f>
        <v>377C8D31-ai</v>
      </c>
      <c r="C1976" s="34" t="s">
        <v>30</v>
      </c>
      <c r="D1976" s="187">
        <f>'H-MO'!$N$86</f>
        <v>685561.39085756091</v>
      </c>
      <c r="E1976" s="29">
        <f>+D1976/8</f>
        <v>85695.173857195114</v>
      </c>
      <c r="F1976" s="28">
        <v>0.05</v>
      </c>
      <c r="G1976" s="33">
        <f>+E1976*F1976</f>
        <v>4284.7586928597557</v>
      </c>
    </row>
    <row r="1977" spans="1:8" ht="14.25" thickBot="1">
      <c r="A1977" s="211" t="s">
        <v>519</v>
      </c>
      <c r="B1977" s="216" t="str">
        <f ca="1">_xlfn.CONCAT(B1940,A1977)</f>
        <v>377C8D31-aj</v>
      </c>
      <c r="C1977" s="34"/>
      <c r="D1977" s="187"/>
      <c r="E1977" s="29"/>
      <c r="F1977" s="28"/>
      <c r="G1977" s="33">
        <f>+E1977*F1977</f>
        <v>0</v>
      </c>
    </row>
    <row r="1978" spans="1:8" ht="17.25" customHeight="1" thickBot="1">
      <c r="A1978" s="211" t="s">
        <v>520</v>
      </c>
      <c r="B1978" s="216" t="str">
        <f ca="1">_xlfn.CONCAT(B1940,A1978)</f>
        <v>377C8D31-ak</v>
      </c>
      <c r="C1978" s="34"/>
      <c r="D1978" s="185"/>
      <c r="E1978" s="26"/>
      <c r="F1978" s="36" t="s">
        <v>31</v>
      </c>
      <c r="G1978" s="23">
        <f>SUM(G1975:G1977)</f>
        <v>36043.694333330917</v>
      </c>
    </row>
    <row r="1979" spans="1:8" ht="14.25" thickBot="1">
      <c r="A1979" s="211" t="s">
        <v>521</v>
      </c>
      <c r="B1979" s="216" t="str">
        <f ca="1">_xlfn.CONCAT(B1940,A1979)</f>
        <v>377C8D31-al</v>
      </c>
      <c r="C1979" s="37"/>
      <c r="E1979" s="38"/>
      <c r="F1979" s="22"/>
      <c r="G1979" s="39"/>
    </row>
    <row r="1980" spans="1:8" ht="23.25" customHeight="1" thickBot="1">
      <c r="A1980" s="211" t="s">
        <v>522</v>
      </c>
      <c r="B1980" s="216" t="str">
        <f ca="1">_xlfn.CONCAT(B1940,A1980)</f>
        <v>377C8D31-am</v>
      </c>
      <c r="C1980" s="40"/>
      <c r="D1980" s="193"/>
      <c r="E1980" s="41"/>
      <c r="F1980" s="42"/>
      <c r="G1980" s="43">
        <f>+G1963+G1972+G1978</f>
        <v>109555.35809333091</v>
      </c>
    </row>
    <row r="1981" spans="1:8" ht="21.75" thickBot="1">
      <c r="B1981" s="212" t="s">
        <v>550</v>
      </c>
      <c r="C1981" s="2"/>
      <c r="D1981" s="183"/>
      <c r="F1981" s="4"/>
      <c r="G1981" s="5"/>
    </row>
    <row r="1982" spans="1:8" s="45" customFormat="1" ht="34.5" customHeight="1">
      <c r="A1982" s="213"/>
      <c r="B1982" s="214">
        <v>46</v>
      </c>
      <c r="C1982" s="242" t="str">
        <f ca="1">_xlfn.XLOOKUP(B1982,Cantidades!$A$10:$A$314,Cantidades!$C$10:$C$314,,0,1)</f>
        <v>Suministro e instalación de salida sensor de presencia. Incluye caja de conexión, cable #12 AWG de cobre, tubería PVC tipo A y demás accesorios para su correcta instalación,  fincionamiento y señalización. (sin aparato)</v>
      </c>
      <c r="D1982" s="243"/>
      <c r="E1982" s="243"/>
      <c r="F1982" s="243"/>
      <c r="G1982" s="244"/>
      <c r="H1982" s="213"/>
    </row>
    <row r="1983" spans="1:8" s="47" customFormat="1" ht="24.95" customHeight="1" thickBot="1">
      <c r="A1983" s="215"/>
      <c r="B1983" s="216" t="s">
        <v>550</v>
      </c>
      <c r="C1983" s="177"/>
      <c r="D1983" s="189"/>
      <c r="E1983" s="178"/>
      <c r="F1983" s="179" t="s">
        <v>636</v>
      </c>
      <c r="G1983" s="209" t="str">
        <f ca="1">B1984</f>
        <v>11FC98CD-</v>
      </c>
      <c r="H1983" s="215"/>
    </row>
    <row r="1984" spans="1:8" ht="28.5" customHeight="1" thickBot="1">
      <c r="B1984" s="212" t="str">
        <f ca="1">_xlfn.XLOOKUP(C1982,Cantidades!$C$1:$C$314,Cantidades!$B$1:$B$314,"",0,1)</f>
        <v>11FC98CD-</v>
      </c>
      <c r="C1984" s="10" t="s">
        <v>0</v>
      </c>
      <c r="D1984" s="190"/>
      <c r="E1984" s="11"/>
      <c r="F1984" s="12"/>
      <c r="G1984" s="13"/>
    </row>
    <row r="1985" spans="1:8" s="47" customFormat="1" ht="23.25" customHeight="1" thickBot="1">
      <c r="A1985" s="215"/>
      <c r="B1985" s="216" t="s">
        <v>550</v>
      </c>
      <c r="C1985" s="14" t="s">
        <v>1</v>
      </c>
      <c r="D1985" s="15" t="s">
        <v>2</v>
      </c>
      <c r="E1985" s="15" t="s">
        <v>3</v>
      </c>
      <c r="F1985" s="16" t="s">
        <v>4</v>
      </c>
      <c r="G1985" s="15" t="s">
        <v>5</v>
      </c>
      <c r="H1985" s="215"/>
    </row>
    <row r="1986" spans="1:8" ht="15">
      <c r="A1986" s="211" t="s">
        <v>484</v>
      </c>
      <c r="B1986" s="216" t="str">
        <f ca="1">_xlfn.CONCAT(B1984,A1986)</f>
        <v>11FC98CD-A</v>
      </c>
      <c r="C1986" s="17" t="str">
        <f>_xlfn.XLOOKUP(H1986,'Materiales unitario'!$A$1:$A$2500,'Materiales unitario'!B$1:B$2500,,0,1)</f>
        <v>Tubo Conduit PVC 1-2 Pulgadas</v>
      </c>
      <c r="D1986" s="184" t="str">
        <f>_xlfn.XLOOKUP(H1986,'Materiales unitario'!A$1:A$2500,'Materiales unitario'!C$1:C$2500,,0,1)</f>
        <v>ml</v>
      </c>
      <c r="E1986" s="197">
        <f>_xlfn.XLOOKUP(H1986,'Materiales unitario'!$A$1:$A$2500,'Materiales unitario'!D$1:D$2500,,0,1)</f>
        <v>1600</v>
      </c>
      <c r="F1986" s="19">
        <v>2.2000000000000002</v>
      </c>
      <c r="G1986" s="20">
        <f>+E1986*F1986</f>
        <v>3520.0000000000005</v>
      </c>
      <c r="H1986" s="217" t="s">
        <v>613</v>
      </c>
    </row>
    <row r="1987" spans="1:8" ht="15">
      <c r="A1987" s="211" t="s">
        <v>485</v>
      </c>
      <c r="B1987" s="216" t="str">
        <f ca="1">_xlfn.CONCAT(B1984,A1987)</f>
        <v>11FC98CD-B</v>
      </c>
      <c r="C1987" s="17" t="str">
        <f>_xlfn.XLOOKUP(H1987,'Materiales unitario'!$A$1:$A$2500,'Materiales unitario'!B$1:B$2500,,0,1)</f>
        <v>Tubo Conduit PVC 3-4 Pulgadas</v>
      </c>
      <c r="D1987" s="184" t="str">
        <f>_xlfn.XLOOKUP(H1987,'Materiales unitario'!A$1:A$2500,'Materiales unitario'!C$1:C$2500,,0,1)</f>
        <v>ml</v>
      </c>
      <c r="E1987" s="197">
        <f>_xlfn.XLOOKUP(H1987,'Materiales unitario'!$A$1:$A$2500,'Materiales unitario'!D$1:D$2500,,0,1)</f>
        <v>2066.6666666666665</v>
      </c>
      <c r="F1987" s="19">
        <v>0.8</v>
      </c>
      <c r="G1987" s="20">
        <f t="shared" ref="G1987:G1997" si="60">+E1987*F1987</f>
        <v>1653.3333333333333</v>
      </c>
      <c r="H1987" s="217" t="s">
        <v>614</v>
      </c>
    </row>
    <row r="1988" spans="1:8" ht="15">
      <c r="A1988" s="211" t="s">
        <v>486</v>
      </c>
      <c r="B1988" s="216" t="str">
        <f ca="1">_xlfn.CONCAT(B1984,A1988)</f>
        <v>11FC98CD-C</v>
      </c>
      <c r="C1988" s="17" t="str">
        <f>_xlfn.XLOOKUP(H1988,'Materiales unitario'!$A$1:$A$2500,'Materiales unitario'!B$1:B$2500,,0,1)</f>
        <v>Adaptador terminal PVC ø1/2"</v>
      </c>
      <c r="D1988" s="184" t="str">
        <f>_xlfn.XLOOKUP(H1988,'Materiales unitario'!A$1:A$2500,'Materiales unitario'!C$1:C$2500,,0,1)</f>
        <v>un</v>
      </c>
      <c r="E1988" s="197">
        <f>_xlfn.XLOOKUP(H1988,'Materiales unitario'!$A$1:$A$2500,'Materiales unitario'!D$1:D$2500,,0,1)</f>
        <v>720</v>
      </c>
      <c r="F1988" s="19">
        <v>2</v>
      </c>
      <c r="G1988" s="20">
        <f t="shared" si="60"/>
        <v>1440</v>
      </c>
      <c r="H1988" s="217" t="s">
        <v>603</v>
      </c>
    </row>
    <row r="1989" spans="1:8" ht="15">
      <c r="A1989" s="211" t="s">
        <v>487</v>
      </c>
      <c r="B1989" s="216" t="str">
        <f ca="1">_xlfn.CONCAT(B1984,A1989)</f>
        <v>11FC98CD-D</v>
      </c>
      <c r="C1989" s="17" t="str">
        <f>_xlfn.XLOOKUP(H1989,'Materiales unitario'!$A$1:$A$2500,'Materiales unitario'!B$1:B$2500,,0,1)</f>
        <v>Adaptador terminal PVC ø3/4"</v>
      </c>
      <c r="D1989" s="184" t="str">
        <f>_xlfn.XLOOKUP(H1989,'Materiales unitario'!A$1:A$2500,'Materiales unitario'!C$1:C$2500,,0,1)</f>
        <v>un</v>
      </c>
      <c r="E1989" s="197">
        <f>_xlfn.XLOOKUP(H1989,'Materiales unitario'!$A$1:$A$2500,'Materiales unitario'!D$1:D$2500,,0,1)</f>
        <v>920</v>
      </c>
      <c r="F1989" s="19">
        <v>0.3</v>
      </c>
      <c r="G1989" s="20">
        <f t="shared" si="60"/>
        <v>276</v>
      </c>
      <c r="H1989" s="217" t="s">
        <v>604</v>
      </c>
    </row>
    <row r="1990" spans="1:8" ht="15">
      <c r="A1990" s="211" t="s">
        <v>488</v>
      </c>
      <c r="B1990" s="216" t="str">
        <f ca="1">_xlfn.CONCAT(B1984,A1990)</f>
        <v>11FC98CD-E</v>
      </c>
      <c r="C1990" s="17" t="str">
        <f>_xlfn.XLOOKUP(H1990,'Materiales unitario'!$A$1:$A$2500,'Materiales unitario'!B$1:B$2500,,0,1)</f>
        <v>Caja galvanizada ref. 2400 (Cal. 20)</v>
      </c>
      <c r="D1990" s="184" t="str">
        <f>_xlfn.XLOOKUP(H1990,'Materiales unitario'!A$1:A$2500,'Materiales unitario'!C$1:C$2500,,0,1)</f>
        <v>un</v>
      </c>
      <c r="E1990" s="197">
        <f>_xlfn.XLOOKUP(H1990,'Materiales unitario'!$A$1:$A$2500,'Materiales unitario'!D$1:D$2500,,0,1)</f>
        <v>3150</v>
      </c>
      <c r="F1990" s="19">
        <v>0.1</v>
      </c>
      <c r="G1990" s="20">
        <f t="shared" si="60"/>
        <v>315</v>
      </c>
      <c r="H1990" s="217" t="s">
        <v>605</v>
      </c>
    </row>
    <row r="1991" spans="1:8" ht="15">
      <c r="A1991" s="211" t="s">
        <v>489</v>
      </c>
      <c r="B1991" s="216" t="str">
        <f ca="1">_xlfn.CONCAT(B1984,A1991)</f>
        <v>11FC98CD-F</v>
      </c>
      <c r="C1991" s="17" t="str">
        <f>_xlfn.XLOOKUP(H1991,'Materiales unitario'!$A$1:$A$2500,'Materiales unitario'!B$1:B$2500,,0,1)</f>
        <v>Caja galvanizada ref. 5800 (Cal. 20)</v>
      </c>
      <c r="D1991" s="184" t="str">
        <f>_xlfn.XLOOKUP(H1991,'Materiales unitario'!A$1:A$2500,'Materiales unitario'!C$1:C$2500,,0,1)</f>
        <v>un</v>
      </c>
      <c r="E1991" s="197">
        <f>_xlfn.XLOOKUP(H1991,'Materiales unitario'!$A$1:$A$2500,'Materiales unitario'!D$1:D$2500,,0,1)</f>
        <v>2900</v>
      </c>
      <c r="F1991" s="19">
        <v>0.1</v>
      </c>
      <c r="G1991" s="20">
        <f t="shared" si="60"/>
        <v>290</v>
      </c>
      <c r="H1991" s="217" t="s">
        <v>606</v>
      </c>
    </row>
    <row r="1992" spans="1:8" ht="15">
      <c r="A1992" s="211" t="s">
        <v>490</v>
      </c>
      <c r="B1992" s="216" t="str">
        <f ca="1">_xlfn.CONCAT(B1984,A1992)</f>
        <v>11FC98CD-G</v>
      </c>
      <c r="C1992" s="17" t="str">
        <f>_xlfn.XLOOKUP(H1992,'Materiales unitario'!$A$1:$A$2500,'Materiales unitario'!B$1:B$2500,,0,1)</f>
        <v>Caja galvanizada octagonal (Cal. 20)</v>
      </c>
      <c r="D1992" s="184" t="str">
        <f>_xlfn.XLOOKUP(H1992,'Materiales unitario'!A$1:A$2500,'Materiales unitario'!C$1:C$2500,,0,1)</f>
        <v>un</v>
      </c>
      <c r="E1992" s="197">
        <f>_xlfn.XLOOKUP(H1992,'Materiales unitario'!$A$1:$A$2500,'Materiales unitario'!D$1:D$2500,,0,1)</f>
        <v>2900</v>
      </c>
      <c r="F1992" s="19">
        <v>1</v>
      </c>
      <c r="G1992" s="20">
        <f t="shared" si="60"/>
        <v>2900</v>
      </c>
      <c r="H1992" s="217" t="s">
        <v>607</v>
      </c>
    </row>
    <row r="1993" spans="1:8" ht="15">
      <c r="A1993" s="211" t="s">
        <v>491</v>
      </c>
      <c r="B1993" s="216" t="str">
        <f ca="1">_xlfn.CONCAT(B1984,A1993)</f>
        <v>11FC98CD-H</v>
      </c>
      <c r="C1993" s="17" t="str">
        <f>_xlfn.XLOOKUP(H1993,'Materiales unitario'!$A$1:$A$2500,'Materiales unitario'!B$1:B$2500,,0,1)</f>
        <v xml:space="preserve">Tornillo lámina #14x1/2" goloso </v>
      </c>
      <c r="D1993" s="184" t="str">
        <f>_xlfn.XLOOKUP(H1993,'Materiales unitario'!A$1:A$2500,'Materiales unitario'!C$1:C$2500,,0,1)</f>
        <v>un</v>
      </c>
      <c r="E1993" s="197">
        <f>_xlfn.XLOOKUP(H1993,'Materiales unitario'!$A$1:$A$2500,'Materiales unitario'!D$1:D$2500,,0,1)</f>
        <v>200</v>
      </c>
      <c r="F1993" s="19">
        <v>2</v>
      </c>
      <c r="G1993" s="20">
        <f t="shared" si="60"/>
        <v>400</v>
      </c>
      <c r="H1993" s="217" t="s">
        <v>608</v>
      </c>
    </row>
    <row r="1994" spans="1:8" ht="15">
      <c r="A1994" s="211" t="s">
        <v>492</v>
      </c>
      <c r="B1994" s="216" t="str">
        <f ca="1">_xlfn.CONCAT(B1984,A1994)</f>
        <v>11FC98CD-I</v>
      </c>
      <c r="C1994" s="17" t="str">
        <f>_xlfn.XLOOKUP(H1994,'Materiales unitario'!$A$1:$A$2500,'Materiales unitario'!B$1:B$2500,,0,1)</f>
        <v>Suplemento galvanizado de ø1/4" (Cal. 24)</v>
      </c>
      <c r="D1994" s="184" t="str">
        <f>_xlfn.XLOOKUP(H1994,'Materiales unitario'!A$1:A$2500,'Materiales unitario'!C$1:C$2500,,0,1)</f>
        <v>un</v>
      </c>
      <c r="E1994" s="197">
        <f>_xlfn.XLOOKUP(H1994,'Materiales unitario'!$A$1:$A$2500,'Materiales unitario'!D$1:D$2500,,0,1)</f>
        <v>1200</v>
      </c>
      <c r="F1994" s="19">
        <v>0.5</v>
      </c>
      <c r="G1994" s="20">
        <f t="shared" si="60"/>
        <v>600</v>
      </c>
      <c r="H1994" s="217" t="s">
        <v>609</v>
      </c>
    </row>
    <row r="1995" spans="1:8" ht="15">
      <c r="A1995" s="211" t="s">
        <v>493</v>
      </c>
      <c r="B1995" s="216" t="str">
        <f ca="1">_xlfn.CONCAT(B1984,A1995)</f>
        <v>11FC98CD-J</v>
      </c>
      <c r="C1995" s="17" t="str">
        <f>_xlfn.XLOOKUP(H1995,'Materiales unitario'!$A$1:$A$2500,'Materiales unitario'!B$1:B$2500,,0,1)</f>
        <v>Conector de resorte rojo "R" 18-10 AWG</v>
      </c>
      <c r="D1995" s="184" t="str">
        <f>_xlfn.XLOOKUP(H1995,'Materiales unitario'!A$1:A$2500,'Materiales unitario'!C$1:C$2500,,0,1)</f>
        <v>un</v>
      </c>
      <c r="E1995" s="197">
        <f>_xlfn.XLOOKUP(H1995,'Materiales unitario'!$A$1:$A$2500,'Materiales unitario'!D$1:D$2500,,0,1)</f>
        <v>280</v>
      </c>
      <c r="F1995" s="19">
        <v>3</v>
      </c>
      <c r="G1995" s="20">
        <f t="shared" si="60"/>
        <v>840</v>
      </c>
      <c r="H1995" s="217" t="s">
        <v>302</v>
      </c>
    </row>
    <row r="1996" spans="1:8" ht="15">
      <c r="A1996" s="211" t="s">
        <v>494</v>
      </c>
      <c r="B1996" s="216" t="str">
        <f ca="1">_xlfn.CONCAT(B1984,A1996)</f>
        <v>11FC98CD-K</v>
      </c>
      <c r="C1996" s="17" t="str">
        <f>_xlfn.XLOOKUP(H1996,'Materiales unitario'!$A$1:$A$2500,'Materiales unitario'!B$1:B$2500,,0,1)</f>
        <v>Soldadura liquida PVC 1/4 de galón</v>
      </c>
      <c r="D1996" s="184" t="str">
        <f>_xlfn.XLOOKUP(H1996,'Materiales unitario'!A$1:A$2500,'Materiales unitario'!C$1:C$2500,,0,1)</f>
        <v>un</v>
      </c>
      <c r="E1996" s="197">
        <f>_xlfn.XLOOKUP(H1996,'Materiales unitario'!$A$1:$A$2500,'Materiales unitario'!D$1:D$2500,,0,1)</f>
        <v>60900</v>
      </c>
      <c r="F1996" s="19">
        <v>1.2E-2</v>
      </c>
      <c r="G1996" s="20">
        <f t="shared" si="60"/>
        <v>730.80000000000007</v>
      </c>
      <c r="H1996" s="217" t="s">
        <v>530</v>
      </c>
    </row>
    <row r="1997" spans="1:8" ht="15">
      <c r="A1997" s="211" t="s">
        <v>495</v>
      </c>
      <c r="B1997" s="216" t="str">
        <f ca="1">_xlfn.CONCAT(B1984,A1997)</f>
        <v>11FC98CD-L</v>
      </c>
      <c r="C1997" s="17" t="str">
        <f>_xlfn.XLOOKUP(H1997,'Materiales unitario'!$A$1:$A$2500,'Materiales unitario'!B$1:B$2500,,0,1)</f>
        <v>Cable de cobre aislado #12 AWG-THHN/THWN Color negro</v>
      </c>
      <c r="D1997" s="184" t="str">
        <f>_xlfn.XLOOKUP(H1997,'Materiales unitario'!A$1:A$2500,'Materiales unitario'!C$1:C$2500,,0,1)</f>
        <v>ml</v>
      </c>
      <c r="E1997" s="197">
        <f>_xlfn.XLOOKUP(H1997,'Materiales unitario'!$A$1:$A$2500,'Materiales unitario'!D$1:D$2500,,0,1)</f>
        <v>3020</v>
      </c>
      <c r="F1997" s="19">
        <v>18</v>
      </c>
      <c r="G1997" s="20">
        <f t="shared" si="60"/>
        <v>54360</v>
      </c>
      <c r="H1997" s="217" t="s">
        <v>267</v>
      </c>
    </row>
    <row r="1998" spans="1:8" ht="15">
      <c r="A1998" s="211" t="s">
        <v>496</v>
      </c>
      <c r="B1998" s="216" t="str">
        <f ca="1">_xlfn.CONCAT(B1984,A1998)</f>
        <v>11FC98CD-M</v>
      </c>
      <c r="C1998" s="17"/>
      <c r="D1998" s="184"/>
      <c r="E1998" s="197"/>
      <c r="F1998" s="19"/>
      <c r="G1998" s="20"/>
      <c r="H1998" s="217"/>
    </row>
    <row r="1999" spans="1:8">
      <c r="A1999" s="211" t="s">
        <v>497</v>
      </c>
      <c r="B1999" s="216" t="str">
        <f ca="1">_xlfn.CONCAT(B1984,A1999)</f>
        <v>11FC98CD-N</v>
      </c>
      <c r="C1999" s="17"/>
      <c r="D1999" s="184"/>
      <c r="E1999" s="197"/>
      <c r="F1999" s="19"/>
      <c r="G1999" s="20"/>
    </row>
    <row r="2000" spans="1:8">
      <c r="A2000" s="211" t="s">
        <v>498</v>
      </c>
      <c r="B2000" s="216" t="str">
        <f ca="1">_xlfn.CONCAT(B1984,A2000)</f>
        <v>11FC98CD-O</v>
      </c>
      <c r="C2000" s="17"/>
      <c r="D2000" s="184"/>
      <c r="E2000" s="197"/>
      <c r="F2000" s="19"/>
      <c r="G2000" s="20"/>
    </row>
    <row r="2001" spans="1:8">
      <c r="A2001" s="211" t="s">
        <v>499</v>
      </c>
      <c r="B2001" s="216" t="str">
        <f ca="1">_xlfn.CONCAT(B1984,A2001)</f>
        <v>11FC98CD-P</v>
      </c>
      <c r="C2001" s="17"/>
      <c r="D2001" s="184"/>
      <c r="E2001" s="197"/>
      <c r="F2001" s="19"/>
      <c r="G2001" s="20"/>
    </row>
    <row r="2002" spans="1:8">
      <c r="A2002" s="211" t="s">
        <v>500</v>
      </c>
      <c r="B2002" s="216" t="str">
        <f ca="1">_xlfn.CONCAT(B1984,A2002)</f>
        <v>11FC98CD-Q</v>
      </c>
      <c r="C2002" s="17"/>
      <c r="D2002" s="184"/>
      <c r="E2002" s="197"/>
      <c r="F2002" s="19"/>
      <c r="G2002" s="20"/>
    </row>
    <row r="2003" spans="1:8">
      <c r="A2003" s="211" t="s">
        <v>501</v>
      </c>
      <c r="B2003" s="216" t="str">
        <f ca="1">_xlfn.CONCAT(B1984,A2003)</f>
        <v>11FC98CD-R</v>
      </c>
      <c r="C2003" s="17"/>
      <c r="D2003" s="184"/>
      <c r="E2003" s="197"/>
      <c r="F2003" s="19"/>
      <c r="G2003" s="20"/>
    </row>
    <row r="2004" spans="1:8">
      <c r="A2004" s="211" t="s">
        <v>502</v>
      </c>
      <c r="B2004" s="216" t="str">
        <f ca="1">_xlfn.CONCAT(B1984,A2004)</f>
        <v>11FC98CD-S</v>
      </c>
      <c r="C2004" s="17"/>
      <c r="D2004" s="184"/>
      <c r="E2004" s="197"/>
      <c r="F2004" s="19"/>
      <c r="G2004" s="20"/>
    </row>
    <row r="2005" spans="1:8">
      <c r="A2005" s="211" t="s">
        <v>503</v>
      </c>
      <c r="B2005" s="216" t="str">
        <f ca="1">_xlfn.CONCAT(B1984,A2005)</f>
        <v>11FC98CD-T</v>
      </c>
      <c r="C2005" s="17"/>
      <c r="D2005" s="184"/>
      <c r="E2005" s="197"/>
      <c r="F2005" s="19"/>
      <c r="G2005" s="20"/>
    </row>
    <row r="2006" spans="1:8" ht="14.25" thickBot="1">
      <c r="A2006" s="211" t="s">
        <v>504</v>
      </c>
      <c r="B2006" s="216" t="str">
        <f ca="1">_xlfn.CONCAT(B1984,A2006)</f>
        <v>11FC98CD-U</v>
      </c>
      <c r="C2006" s="17"/>
      <c r="D2006" s="184"/>
      <c r="E2006" s="197"/>
      <c r="F2006" s="19"/>
      <c r="G2006" s="20"/>
    </row>
    <row r="2007" spans="1:8" ht="16.5" customHeight="1" thickBot="1">
      <c r="A2007" s="211" t="s">
        <v>505</v>
      </c>
      <c r="B2007" s="216" t="str">
        <f ca="1">_xlfn.CONCAT(B1984,A2007)</f>
        <v>11FC98CD-V</v>
      </c>
      <c r="C2007" s="17" t="s">
        <v>17</v>
      </c>
      <c r="D2007" s="192" t="s">
        <v>17</v>
      </c>
      <c r="E2007" s="18"/>
      <c r="F2007" s="22" t="s">
        <v>18</v>
      </c>
      <c r="G2007" s="23">
        <f>SUM(G1986:G2006)</f>
        <v>67325.133333333331</v>
      </c>
    </row>
    <row r="2008" spans="1:8" ht="28.5" customHeight="1" thickBot="1">
      <c r="A2008" s="211" t="s">
        <v>506</v>
      </c>
      <c r="B2008" s="216" t="str">
        <f ca="1">_xlfn.CONCAT(B1984,A2008)</f>
        <v>11FC98CD-W</v>
      </c>
      <c r="C2008" s="10" t="s">
        <v>19</v>
      </c>
      <c r="D2008" s="190"/>
      <c r="E2008" s="11"/>
      <c r="F2008" s="12"/>
      <c r="G2008" s="13"/>
    </row>
    <row r="2009" spans="1:8" s="47" customFormat="1" ht="23.25" customHeight="1" thickBot="1">
      <c r="A2009" s="211" t="s">
        <v>507</v>
      </c>
      <c r="B2009" s="216" t="str">
        <f ca="1">_xlfn.CONCAT(B1984,A2009)</f>
        <v>11FC98CD-X</v>
      </c>
      <c r="C2009" s="14" t="s">
        <v>1</v>
      </c>
      <c r="D2009" s="15"/>
      <c r="E2009" s="15" t="s">
        <v>20</v>
      </c>
      <c r="F2009" s="16" t="s">
        <v>21</v>
      </c>
      <c r="G2009" s="15" t="s">
        <v>5</v>
      </c>
      <c r="H2009" s="215"/>
    </row>
    <row r="2010" spans="1:8">
      <c r="A2010" s="211" t="s">
        <v>508</v>
      </c>
      <c r="B2010" s="216" t="str">
        <f ca="1">_xlfn.CONCAT(B1984,A2010)</f>
        <v>11FC98CD-Y</v>
      </c>
      <c r="C2010" s="24" t="s">
        <v>22</v>
      </c>
      <c r="D2010" s="184"/>
      <c r="E2010" s="25">
        <f>_xlfn.XLOOKUP(C2010,'H-MO'!B$7:B$30,'H-MO'!D$7:D$30,,0,1)</f>
        <v>2436.5624999999995</v>
      </c>
      <c r="F2010" s="19">
        <v>0.3</v>
      </c>
      <c r="G2010" s="33">
        <f t="shared" ref="G2010:G2015" si="61">+E2010*F2010</f>
        <v>730.96874999999989</v>
      </c>
    </row>
    <row r="2011" spans="1:8">
      <c r="A2011" s="211" t="s">
        <v>509</v>
      </c>
      <c r="B2011" s="216" t="str">
        <f ca="1">_xlfn.CONCAT(B1984,A2011)</f>
        <v>11FC98CD-Z</v>
      </c>
      <c r="C2011" s="24" t="s">
        <v>23</v>
      </c>
      <c r="D2011" s="184"/>
      <c r="E2011" s="25">
        <f>_xlfn.XLOOKUP(C2011,'H-MO'!B$7:B$30,'H-MO'!D$7:D$30,,0,1)</f>
        <v>1461.9374999999998</v>
      </c>
      <c r="F2011" s="19">
        <v>9.7711304347826086E-2</v>
      </c>
      <c r="G2011" s="33">
        <f t="shared" si="61"/>
        <v>142.84781999999998</v>
      </c>
    </row>
    <row r="2012" spans="1:8">
      <c r="A2012" s="211" t="s">
        <v>510</v>
      </c>
      <c r="B2012" s="216" t="str">
        <f ca="1">_xlfn.CONCAT(B1984,A2012)</f>
        <v>11FC98CD-aa</v>
      </c>
      <c r="C2012" s="24" t="s">
        <v>24</v>
      </c>
      <c r="D2012" s="185"/>
      <c r="E2012" s="25">
        <f>_xlfn.XLOOKUP(C2012,'H-MO'!B$7:B$30,'H-MO'!D$7:D$30,,0,1)</f>
        <v>29238.749999999996</v>
      </c>
      <c r="F2012" s="28">
        <v>1.6285217391304348E-3</v>
      </c>
      <c r="G2012" s="33">
        <f t="shared" si="61"/>
        <v>47.615939999999995</v>
      </c>
    </row>
    <row r="2013" spans="1:8">
      <c r="A2013" s="211" t="s">
        <v>511</v>
      </c>
      <c r="B2013" s="216" t="str">
        <f ca="1">_xlfn.CONCAT(B1984,A2013)</f>
        <v>11FC98CD-ab</v>
      </c>
      <c r="C2013" s="24" t="s">
        <v>25</v>
      </c>
      <c r="D2013" s="185"/>
      <c r="E2013" s="25">
        <f>_xlfn.XLOOKUP(C2013,'H-MO'!B$7:B$30,'H-MO'!D$7:D$30,,0,1)</f>
        <v>2761.4374999999995</v>
      </c>
      <c r="F2013" s="28">
        <v>0.3</v>
      </c>
      <c r="G2013" s="33">
        <f t="shared" si="61"/>
        <v>828.43124999999986</v>
      </c>
    </row>
    <row r="2014" spans="1:8">
      <c r="A2014" s="211" t="s">
        <v>512</v>
      </c>
      <c r="B2014" s="216" t="str">
        <f ca="1">_xlfn.CONCAT(B1984,A2014)</f>
        <v>11FC98CD-ac</v>
      </c>
      <c r="C2014" s="24"/>
      <c r="D2014" s="185"/>
      <c r="E2014" s="29"/>
      <c r="F2014" s="28"/>
      <c r="G2014" s="33">
        <f t="shared" si="61"/>
        <v>0</v>
      </c>
    </row>
    <row r="2015" spans="1:8" ht="14.25" thickBot="1">
      <c r="A2015" s="211" t="s">
        <v>513</v>
      </c>
      <c r="B2015" s="216" t="str">
        <f ca="1">_xlfn.CONCAT(B1984,A2015)</f>
        <v>11FC98CD-ad</v>
      </c>
      <c r="C2015" s="24"/>
      <c r="D2015" s="185"/>
      <c r="E2015" s="29"/>
      <c r="F2015" s="28"/>
      <c r="G2015" s="33">
        <f t="shared" si="61"/>
        <v>0</v>
      </c>
    </row>
    <row r="2016" spans="1:8" ht="16.5" customHeight="1" thickBot="1">
      <c r="A2016" s="211" t="s">
        <v>514</v>
      </c>
      <c r="B2016" s="216" t="str">
        <f ca="1">_xlfn.CONCAT(B1984,A2016)</f>
        <v>11FC98CD-ae</v>
      </c>
      <c r="C2016" s="17"/>
      <c r="D2016" s="192"/>
      <c r="E2016" s="18"/>
      <c r="F2016" s="22" t="s">
        <v>26</v>
      </c>
      <c r="G2016" s="23">
        <f>SUM(G2010:G2015)</f>
        <v>1749.8637599999997</v>
      </c>
    </row>
    <row r="2017" spans="1:8" ht="28.5" customHeight="1" thickBot="1">
      <c r="A2017" s="211" t="s">
        <v>515</v>
      </c>
      <c r="B2017" s="216" t="str">
        <f ca="1">_xlfn.CONCAT(B1984,A2017)</f>
        <v>11FC98CD-af</v>
      </c>
      <c r="C2017" s="10" t="s">
        <v>27</v>
      </c>
      <c r="D2017" s="190"/>
      <c r="E2017" s="11"/>
      <c r="F2017" s="12"/>
      <c r="G2017" s="13"/>
    </row>
    <row r="2018" spans="1:8" s="47" customFormat="1" ht="23.25" customHeight="1" thickBot="1">
      <c r="A2018" s="211" t="s">
        <v>516</v>
      </c>
      <c r="B2018" s="216" t="str">
        <f ca="1">_xlfn.CONCAT(B1984,A2018)</f>
        <v>11FC98CD-ag</v>
      </c>
      <c r="C2018" s="14" t="s">
        <v>1</v>
      </c>
      <c r="D2018" s="15" t="s">
        <v>28</v>
      </c>
      <c r="E2018" s="15" t="s">
        <v>20</v>
      </c>
      <c r="F2018" s="16" t="s">
        <v>21</v>
      </c>
      <c r="G2018" s="15" t="s">
        <v>5</v>
      </c>
      <c r="H2018" s="215"/>
    </row>
    <row r="2019" spans="1:8">
      <c r="A2019" s="211" t="s">
        <v>517</v>
      </c>
      <c r="B2019" s="216" t="str">
        <f ca="1">_xlfn.CONCAT(B1984,A2019)</f>
        <v>11FC98CD-ah</v>
      </c>
      <c r="C2019" s="30" t="s">
        <v>29</v>
      </c>
      <c r="D2019" s="186">
        <f>'H-MO'!$N$77</f>
        <v>725918.52892505517</v>
      </c>
      <c r="E2019" s="31">
        <f>+D2019/8</f>
        <v>90739.816115631897</v>
      </c>
      <c r="F2019" s="32">
        <v>0.35</v>
      </c>
      <c r="G2019" s="33">
        <f>+E2019*F2019</f>
        <v>31758.935640471162</v>
      </c>
    </row>
    <row r="2020" spans="1:8">
      <c r="A2020" s="211" t="s">
        <v>518</v>
      </c>
      <c r="B2020" s="216" t="str">
        <f ca="1">_xlfn.CONCAT(B1984,A2020)</f>
        <v>11FC98CD-ai</v>
      </c>
      <c r="C2020" s="34" t="s">
        <v>30</v>
      </c>
      <c r="D2020" s="187">
        <f>'H-MO'!$N$86</f>
        <v>685561.39085756091</v>
      </c>
      <c r="E2020" s="29">
        <f>+D2020/8</f>
        <v>85695.173857195114</v>
      </c>
      <c r="F2020" s="28">
        <v>0.05</v>
      </c>
      <c r="G2020" s="33">
        <f>+E2020*F2020</f>
        <v>4284.7586928597557</v>
      </c>
    </row>
    <row r="2021" spans="1:8" ht="14.25" thickBot="1">
      <c r="A2021" s="211" t="s">
        <v>519</v>
      </c>
      <c r="B2021" s="216" t="str">
        <f ca="1">_xlfn.CONCAT(B1984,A2021)</f>
        <v>11FC98CD-aj</v>
      </c>
      <c r="C2021" s="34"/>
      <c r="D2021" s="187"/>
      <c r="E2021" s="29"/>
      <c r="F2021" s="28"/>
      <c r="G2021" s="33">
        <f>+E2021*F2021</f>
        <v>0</v>
      </c>
    </row>
    <row r="2022" spans="1:8" ht="17.25" customHeight="1" thickBot="1">
      <c r="A2022" s="211" t="s">
        <v>520</v>
      </c>
      <c r="B2022" s="216" t="str">
        <f ca="1">_xlfn.CONCAT(B1984,A2022)</f>
        <v>11FC98CD-ak</v>
      </c>
      <c r="C2022" s="34"/>
      <c r="D2022" s="185"/>
      <c r="E2022" s="26"/>
      <c r="F2022" s="36" t="s">
        <v>31</v>
      </c>
      <c r="G2022" s="23">
        <f>SUM(G2019:G2021)</f>
        <v>36043.694333330917</v>
      </c>
    </row>
    <row r="2023" spans="1:8" ht="14.25" thickBot="1">
      <c r="A2023" s="211" t="s">
        <v>521</v>
      </c>
      <c r="B2023" s="216" t="str">
        <f ca="1">_xlfn.CONCAT(B1984,A2023)</f>
        <v>11FC98CD-al</v>
      </c>
      <c r="C2023" s="37"/>
      <c r="E2023" s="38"/>
      <c r="F2023" s="22"/>
      <c r="G2023" s="39"/>
    </row>
    <row r="2024" spans="1:8" ht="23.25" customHeight="1" thickBot="1">
      <c r="A2024" s="211" t="s">
        <v>522</v>
      </c>
      <c r="B2024" s="216" t="str">
        <f ca="1">_xlfn.CONCAT(B1984,A2024)</f>
        <v>11FC98CD-am</v>
      </c>
      <c r="C2024" s="40"/>
      <c r="D2024" s="193"/>
      <c r="E2024" s="41"/>
      <c r="F2024" s="42"/>
      <c r="G2024" s="43">
        <f>+G2007+G2016+G2022</f>
        <v>105118.69142666424</v>
      </c>
    </row>
    <row r="2025" spans="1:8" ht="21.75" thickBot="1">
      <c r="B2025" s="212" t="s">
        <v>550</v>
      </c>
      <c r="C2025" s="2"/>
      <c r="D2025" s="183"/>
      <c r="F2025" s="4"/>
      <c r="G2025" s="5"/>
    </row>
    <row r="2026" spans="1:8" s="45" customFormat="1" ht="34.5" customHeight="1">
      <c r="A2026" s="213"/>
      <c r="B2026" s="214">
        <v>47</v>
      </c>
      <c r="C2026" s="242" t="str">
        <f ca="1">_xlfn.XLOOKUP(B2026,Cantidades!$A$10:$A$314,Cantidades!$C$10:$C$314,,0,1)</f>
        <v>Suministro e instalación de salida sensor de presencia. Incluye caja de conexión, cable #12 AWG de cobre, tubería SCH 40 y demás accesorios para su correcta instalación,  fincionamiento y señalización.</v>
      </c>
      <c r="D2026" s="243"/>
      <c r="E2026" s="243"/>
      <c r="F2026" s="243"/>
      <c r="G2026" s="244"/>
      <c r="H2026" s="213"/>
    </row>
    <row r="2027" spans="1:8" s="47" customFormat="1" ht="24.95" customHeight="1" thickBot="1">
      <c r="A2027" s="215"/>
      <c r="B2027" s="216" t="s">
        <v>550</v>
      </c>
      <c r="C2027" s="177"/>
      <c r="D2027" s="189"/>
      <c r="E2027" s="178"/>
      <c r="F2027" s="179" t="s">
        <v>636</v>
      </c>
      <c r="G2027" s="209" t="str">
        <f ca="1">B2028</f>
        <v>16B7AF49-</v>
      </c>
      <c r="H2027" s="215"/>
    </row>
    <row r="2028" spans="1:8" ht="28.5" customHeight="1" thickBot="1">
      <c r="B2028" s="212" t="str">
        <f ca="1">_xlfn.XLOOKUP(C2026,Cantidades!$C$1:$C$314,Cantidades!$B$1:$B$314,"",0,1)</f>
        <v>16B7AF49-</v>
      </c>
      <c r="C2028" s="10" t="s">
        <v>0</v>
      </c>
      <c r="D2028" s="190"/>
      <c r="E2028" s="11"/>
      <c r="F2028" s="12"/>
      <c r="G2028" s="13"/>
    </row>
    <row r="2029" spans="1:8" s="47" customFormat="1" ht="23.25" customHeight="1" thickBot="1">
      <c r="A2029" s="215"/>
      <c r="B2029" s="216" t="s">
        <v>550</v>
      </c>
      <c r="C2029" s="14" t="s">
        <v>1</v>
      </c>
      <c r="D2029" s="15" t="s">
        <v>2</v>
      </c>
      <c r="E2029" s="15" t="s">
        <v>3</v>
      </c>
      <c r="F2029" s="16" t="s">
        <v>4</v>
      </c>
      <c r="G2029" s="15" t="s">
        <v>5</v>
      </c>
      <c r="H2029" s="215"/>
    </row>
    <row r="2030" spans="1:8" ht="15">
      <c r="A2030" s="211" t="s">
        <v>484</v>
      </c>
      <c r="B2030" s="216" t="str">
        <f ca="1">_xlfn.CONCAT(B2028,A2030)</f>
        <v>16B7AF49-A</v>
      </c>
      <c r="C2030" s="17" t="str">
        <f>_xlfn.XLOOKUP(H2030,'Materiales unitario'!$A$1:$A$2500,'Materiales unitario'!B$1:B$2500,,0,1)</f>
        <v>Tubo Conduit PVC Sch40 1-2 Pulgadas</v>
      </c>
      <c r="D2030" s="184" t="str">
        <f>_xlfn.XLOOKUP(H2030,'Materiales unitario'!A$1:A$2500,'Materiales unitario'!C$1:C$2500,,0,1)</f>
        <v>ml</v>
      </c>
      <c r="E2030" s="197">
        <f>_xlfn.XLOOKUP(H2030,'Materiales unitario'!$A$1:$A$2500,'Materiales unitario'!D$1:D$2500,,0,1)</f>
        <v>2966.6666666666665</v>
      </c>
      <c r="F2030" s="19">
        <v>2.2000000000000002</v>
      </c>
      <c r="G2030" s="20">
        <f>+E2030*F2030</f>
        <v>6526.666666666667</v>
      </c>
      <c r="H2030" s="217" t="s">
        <v>601</v>
      </c>
    </row>
    <row r="2031" spans="1:8" ht="15">
      <c r="A2031" s="211" t="s">
        <v>485</v>
      </c>
      <c r="B2031" s="216" t="str">
        <f ca="1">_xlfn.CONCAT(B2028,A2031)</f>
        <v>16B7AF49-B</v>
      </c>
      <c r="C2031" s="17" t="str">
        <f>_xlfn.XLOOKUP(H2031,'Materiales unitario'!$A$1:$A$2500,'Materiales unitario'!B$1:B$2500,,0,1)</f>
        <v>Tubo Conduit PVC SCH40 3-4 Pulgadas</v>
      </c>
      <c r="D2031" s="184" t="str">
        <f>_xlfn.XLOOKUP(H2031,'Materiales unitario'!A$1:A$2500,'Materiales unitario'!C$1:C$2500,,0,1)</f>
        <v>ml</v>
      </c>
      <c r="E2031" s="197">
        <f>_xlfn.XLOOKUP(H2031,'Materiales unitario'!$A$1:$A$2500,'Materiales unitario'!D$1:D$2500,,0,1)</f>
        <v>3966.6666666666665</v>
      </c>
      <c r="F2031" s="19">
        <v>0.8</v>
      </c>
      <c r="G2031" s="20">
        <f t="shared" ref="G2031:G2041" si="62">+E2031*F2031</f>
        <v>3173.3333333333335</v>
      </c>
      <c r="H2031" s="217" t="s">
        <v>602</v>
      </c>
    </row>
    <row r="2032" spans="1:8" ht="15">
      <c r="A2032" s="211" t="s">
        <v>486</v>
      </c>
      <c r="B2032" s="216" t="str">
        <f ca="1">_xlfn.CONCAT(B2028,A2032)</f>
        <v>16B7AF49-C</v>
      </c>
      <c r="C2032" s="17" t="str">
        <f>_xlfn.XLOOKUP(H2032,'Materiales unitario'!$A$1:$A$2500,'Materiales unitario'!B$1:B$2500,,0,1)</f>
        <v>Adaptador terminal PVC ø1/2"</v>
      </c>
      <c r="D2032" s="184" t="str">
        <f>_xlfn.XLOOKUP(H2032,'Materiales unitario'!A$1:A$2500,'Materiales unitario'!C$1:C$2500,,0,1)</f>
        <v>un</v>
      </c>
      <c r="E2032" s="197">
        <f>_xlfn.XLOOKUP(H2032,'Materiales unitario'!$A$1:$A$2500,'Materiales unitario'!D$1:D$2500,,0,1)</f>
        <v>720</v>
      </c>
      <c r="F2032" s="19">
        <v>2</v>
      </c>
      <c r="G2032" s="20">
        <f t="shared" si="62"/>
        <v>1440</v>
      </c>
      <c r="H2032" s="217" t="s">
        <v>603</v>
      </c>
    </row>
    <row r="2033" spans="1:8" ht="15">
      <c r="A2033" s="211" t="s">
        <v>487</v>
      </c>
      <c r="B2033" s="216" t="str">
        <f ca="1">_xlfn.CONCAT(B2028,A2033)</f>
        <v>16B7AF49-D</v>
      </c>
      <c r="C2033" s="17" t="str">
        <f>_xlfn.XLOOKUP(H2033,'Materiales unitario'!$A$1:$A$2500,'Materiales unitario'!B$1:B$2500,,0,1)</f>
        <v>Adaptador terminal PVC ø3/4"</v>
      </c>
      <c r="D2033" s="184" t="str">
        <f>_xlfn.XLOOKUP(H2033,'Materiales unitario'!A$1:A$2500,'Materiales unitario'!C$1:C$2500,,0,1)</f>
        <v>un</v>
      </c>
      <c r="E2033" s="197">
        <f>_xlfn.XLOOKUP(H2033,'Materiales unitario'!$A$1:$A$2500,'Materiales unitario'!D$1:D$2500,,0,1)</f>
        <v>920</v>
      </c>
      <c r="F2033" s="19">
        <v>0.3</v>
      </c>
      <c r="G2033" s="20">
        <f t="shared" si="62"/>
        <v>276</v>
      </c>
      <c r="H2033" s="217" t="s">
        <v>604</v>
      </c>
    </row>
    <row r="2034" spans="1:8" ht="15">
      <c r="A2034" s="211" t="s">
        <v>488</v>
      </c>
      <c r="B2034" s="216" t="str">
        <f ca="1">_xlfn.CONCAT(B2028,A2034)</f>
        <v>16B7AF49-E</v>
      </c>
      <c r="C2034" s="17" t="str">
        <f>_xlfn.XLOOKUP(H2034,'Materiales unitario'!$A$1:$A$2500,'Materiales unitario'!B$1:B$2500,,0,1)</f>
        <v>Caja galvanizada ref. 2400 (Cal. 20)</v>
      </c>
      <c r="D2034" s="184" t="str">
        <f>_xlfn.XLOOKUP(H2034,'Materiales unitario'!A$1:A$2500,'Materiales unitario'!C$1:C$2500,,0,1)</f>
        <v>un</v>
      </c>
      <c r="E2034" s="197">
        <f>_xlfn.XLOOKUP(H2034,'Materiales unitario'!$A$1:$A$2500,'Materiales unitario'!D$1:D$2500,,0,1)</f>
        <v>3150</v>
      </c>
      <c r="F2034" s="19">
        <v>0.1</v>
      </c>
      <c r="G2034" s="20">
        <f t="shared" si="62"/>
        <v>315</v>
      </c>
      <c r="H2034" s="217" t="s">
        <v>605</v>
      </c>
    </row>
    <row r="2035" spans="1:8" ht="15">
      <c r="A2035" s="211" t="s">
        <v>489</v>
      </c>
      <c r="B2035" s="216" t="str">
        <f ca="1">_xlfn.CONCAT(B2028,A2035)</f>
        <v>16B7AF49-F</v>
      </c>
      <c r="C2035" s="17" t="str">
        <f>_xlfn.XLOOKUP(H2035,'Materiales unitario'!$A$1:$A$2500,'Materiales unitario'!B$1:B$2500,,0,1)</f>
        <v>Caja galvanizada ref. 5800 (Cal. 20)</v>
      </c>
      <c r="D2035" s="184" t="str">
        <f>_xlfn.XLOOKUP(H2035,'Materiales unitario'!A$1:A$2500,'Materiales unitario'!C$1:C$2500,,0,1)</f>
        <v>un</v>
      </c>
      <c r="E2035" s="197">
        <f>_xlfn.XLOOKUP(H2035,'Materiales unitario'!$A$1:$A$2500,'Materiales unitario'!D$1:D$2500,,0,1)</f>
        <v>2900</v>
      </c>
      <c r="F2035" s="19">
        <v>0.1</v>
      </c>
      <c r="G2035" s="20">
        <f t="shared" si="62"/>
        <v>290</v>
      </c>
      <c r="H2035" s="217" t="s">
        <v>606</v>
      </c>
    </row>
    <row r="2036" spans="1:8" ht="15">
      <c r="A2036" s="211" t="s">
        <v>490</v>
      </c>
      <c r="B2036" s="216" t="str">
        <f ca="1">_xlfn.CONCAT(B2028,A2036)</f>
        <v>16B7AF49-G</v>
      </c>
      <c r="C2036" s="17" t="str">
        <f>_xlfn.XLOOKUP(H2036,'Materiales unitario'!$A$1:$A$2500,'Materiales unitario'!B$1:B$2500,,0,1)</f>
        <v>Caja galvanizada octagonal (Cal. 20)</v>
      </c>
      <c r="D2036" s="184" t="str">
        <f>_xlfn.XLOOKUP(H2036,'Materiales unitario'!A$1:A$2500,'Materiales unitario'!C$1:C$2500,,0,1)</f>
        <v>un</v>
      </c>
      <c r="E2036" s="197">
        <f>_xlfn.XLOOKUP(H2036,'Materiales unitario'!$A$1:$A$2500,'Materiales unitario'!D$1:D$2500,,0,1)</f>
        <v>2900</v>
      </c>
      <c r="F2036" s="19">
        <v>1</v>
      </c>
      <c r="G2036" s="20">
        <f t="shared" si="62"/>
        <v>2900</v>
      </c>
      <c r="H2036" s="217" t="s">
        <v>607</v>
      </c>
    </row>
    <row r="2037" spans="1:8" ht="15">
      <c r="A2037" s="211" t="s">
        <v>491</v>
      </c>
      <c r="B2037" s="216" t="str">
        <f ca="1">_xlfn.CONCAT(B2028,A2037)</f>
        <v>16B7AF49-H</v>
      </c>
      <c r="C2037" s="17" t="str">
        <f>_xlfn.XLOOKUP(H2037,'Materiales unitario'!$A$1:$A$2500,'Materiales unitario'!B$1:B$2500,,0,1)</f>
        <v xml:space="preserve">Tornillo lámina #14x1/2" goloso </v>
      </c>
      <c r="D2037" s="184" t="str">
        <f>_xlfn.XLOOKUP(H2037,'Materiales unitario'!A$1:A$2500,'Materiales unitario'!C$1:C$2500,,0,1)</f>
        <v>un</v>
      </c>
      <c r="E2037" s="197">
        <f>_xlfn.XLOOKUP(H2037,'Materiales unitario'!$A$1:$A$2500,'Materiales unitario'!D$1:D$2500,,0,1)</f>
        <v>200</v>
      </c>
      <c r="F2037" s="19">
        <v>2</v>
      </c>
      <c r="G2037" s="20">
        <f t="shared" si="62"/>
        <v>400</v>
      </c>
      <c r="H2037" s="217" t="s">
        <v>608</v>
      </c>
    </row>
    <row r="2038" spans="1:8" ht="15">
      <c r="A2038" s="211" t="s">
        <v>492</v>
      </c>
      <c r="B2038" s="216" t="str">
        <f ca="1">_xlfn.CONCAT(B2028,A2038)</f>
        <v>16B7AF49-I</v>
      </c>
      <c r="C2038" s="17" t="str">
        <f>_xlfn.XLOOKUP(H2038,'Materiales unitario'!$A$1:$A$2500,'Materiales unitario'!B$1:B$2500,,0,1)</f>
        <v>Suplemento galvanizado de ø1/4" (Cal. 24)</v>
      </c>
      <c r="D2038" s="184" t="str">
        <f>_xlfn.XLOOKUP(H2038,'Materiales unitario'!A$1:A$2500,'Materiales unitario'!C$1:C$2500,,0,1)</f>
        <v>un</v>
      </c>
      <c r="E2038" s="197">
        <f>_xlfn.XLOOKUP(H2038,'Materiales unitario'!$A$1:$A$2500,'Materiales unitario'!D$1:D$2500,,0,1)</f>
        <v>1200</v>
      </c>
      <c r="F2038" s="19">
        <v>0.5</v>
      </c>
      <c r="G2038" s="20">
        <f t="shared" si="62"/>
        <v>600</v>
      </c>
      <c r="H2038" s="217" t="s">
        <v>609</v>
      </c>
    </row>
    <row r="2039" spans="1:8" ht="15">
      <c r="A2039" s="211" t="s">
        <v>493</v>
      </c>
      <c r="B2039" s="216" t="str">
        <f ca="1">_xlfn.CONCAT(B2028,A2039)</f>
        <v>16B7AF49-J</v>
      </c>
      <c r="C2039" s="17" t="str">
        <f>_xlfn.XLOOKUP(H2039,'Materiales unitario'!$A$1:$A$2500,'Materiales unitario'!B$1:B$2500,,0,1)</f>
        <v>Conector de resorte rojo "R" 18-10 AWG</v>
      </c>
      <c r="D2039" s="184" t="str">
        <f>_xlfn.XLOOKUP(H2039,'Materiales unitario'!A$1:A$2500,'Materiales unitario'!C$1:C$2500,,0,1)</f>
        <v>un</v>
      </c>
      <c r="E2039" s="197">
        <f>_xlfn.XLOOKUP(H2039,'Materiales unitario'!$A$1:$A$2500,'Materiales unitario'!D$1:D$2500,,0,1)</f>
        <v>280</v>
      </c>
      <c r="F2039" s="19">
        <v>3</v>
      </c>
      <c r="G2039" s="20">
        <f t="shared" si="62"/>
        <v>840</v>
      </c>
      <c r="H2039" s="217" t="s">
        <v>302</v>
      </c>
    </row>
    <row r="2040" spans="1:8" ht="15">
      <c r="A2040" s="211" t="s">
        <v>494</v>
      </c>
      <c r="B2040" s="216" t="str">
        <f ca="1">_xlfn.CONCAT(B2028,A2040)</f>
        <v>16B7AF49-K</v>
      </c>
      <c r="C2040" s="17" t="str">
        <f>_xlfn.XLOOKUP(H2040,'Materiales unitario'!$A$1:$A$2500,'Materiales unitario'!B$1:B$2500,,0,1)</f>
        <v>Soldadura liquida PVC 1/4 de galón</v>
      </c>
      <c r="D2040" s="184" t="str">
        <f>_xlfn.XLOOKUP(H2040,'Materiales unitario'!A$1:A$2500,'Materiales unitario'!C$1:C$2500,,0,1)</f>
        <v>un</v>
      </c>
      <c r="E2040" s="197">
        <f>_xlfn.XLOOKUP(H2040,'Materiales unitario'!$A$1:$A$2500,'Materiales unitario'!D$1:D$2500,,0,1)</f>
        <v>60900</v>
      </c>
      <c r="F2040" s="19">
        <v>1.2E-2</v>
      </c>
      <c r="G2040" s="20">
        <f t="shared" si="62"/>
        <v>730.80000000000007</v>
      </c>
      <c r="H2040" s="217" t="s">
        <v>530</v>
      </c>
    </row>
    <row r="2041" spans="1:8" ht="15">
      <c r="A2041" s="211" t="s">
        <v>495</v>
      </c>
      <c r="B2041" s="216" t="str">
        <f ca="1">_xlfn.CONCAT(B2028,A2041)</f>
        <v>16B7AF49-L</v>
      </c>
      <c r="C2041" s="17" t="str">
        <f>_xlfn.XLOOKUP(H2041,'Materiales unitario'!$A$1:$A$2500,'Materiales unitario'!B$1:B$2500,,0,1)</f>
        <v>Cable de cobre aislado #12 AWG-THHN/THWN Color negro</v>
      </c>
      <c r="D2041" s="184" t="str">
        <f>_xlfn.XLOOKUP(H2041,'Materiales unitario'!A$1:A$2500,'Materiales unitario'!C$1:C$2500,,0,1)</f>
        <v>ml</v>
      </c>
      <c r="E2041" s="197">
        <f>_xlfn.XLOOKUP(H2041,'Materiales unitario'!$A$1:$A$2500,'Materiales unitario'!D$1:D$2500,,0,1)</f>
        <v>3020</v>
      </c>
      <c r="F2041" s="19">
        <v>18</v>
      </c>
      <c r="G2041" s="20">
        <f t="shared" si="62"/>
        <v>54360</v>
      </c>
      <c r="H2041" s="217" t="s">
        <v>267</v>
      </c>
    </row>
    <row r="2042" spans="1:8" ht="15">
      <c r="A2042" s="211" t="s">
        <v>496</v>
      </c>
      <c r="B2042" s="216" t="str">
        <f ca="1">_xlfn.CONCAT(B2028,A2042)</f>
        <v>16B7AF49-M</v>
      </c>
      <c r="C2042" s="17"/>
      <c r="D2042" s="184"/>
      <c r="E2042" s="197"/>
      <c r="F2042" s="19"/>
      <c r="G2042" s="20"/>
      <c r="H2042" s="217"/>
    </row>
    <row r="2043" spans="1:8">
      <c r="A2043" s="211" t="s">
        <v>497</v>
      </c>
      <c r="B2043" s="216" t="str">
        <f ca="1">_xlfn.CONCAT(B2028,A2043)</f>
        <v>16B7AF49-N</v>
      </c>
      <c r="C2043" s="17"/>
      <c r="D2043" s="184"/>
      <c r="E2043" s="197"/>
      <c r="F2043" s="19"/>
      <c r="G2043" s="20"/>
    </row>
    <row r="2044" spans="1:8">
      <c r="A2044" s="211" t="s">
        <v>498</v>
      </c>
      <c r="B2044" s="216" t="str">
        <f ca="1">_xlfn.CONCAT(B2028,A2044)</f>
        <v>16B7AF49-O</v>
      </c>
      <c r="C2044" s="17"/>
      <c r="D2044" s="184"/>
      <c r="E2044" s="197"/>
      <c r="F2044" s="19"/>
      <c r="G2044" s="20"/>
    </row>
    <row r="2045" spans="1:8">
      <c r="A2045" s="211" t="s">
        <v>499</v>
      </c>
      <c r="B2045" s="216" t="str">
        <f ca="1">_xlfn.CONCAT(B2028,A2045)</f>
        <v>16B7AF49-P</v>
      </c>
      <c r="C2045" s="17"/>
      <c r="D2045" s="184"/>
      <c r="E2045" s="197"/>
      <c r="F2045" s="19"/>
      <c r="G2045" s="20"/>
    </row>
    <row r="2046" spans="1:8">
      <c r="A2046" s="211" t="s">
        <v>500</v>
      </c>
      <c r="B2046" s="216" t="str">
        <f ca="1">_xlfn.CONCAT(B2028,A2046)</f>
        <v>16B7AF49-Q</v>
      </c>
      <c r="C2046" s="17"/>
      <c r="D2046" s="184"/>
      <c r="E2046" s="197"/>
      <c r="F2046" s="19"/>
      <c r="G2046" s="20"/>
    </row>
    <row r="2047" spans="1:8">
      <c r="A2047" s="211" t="s">
        <v>501</v>
      </c>
      <c r="B2047" s="216" t="str">
        <f ca="1">_xlfn.CONCAT(B2028,A2047)</f>
        <v>16B7AF49-R</v>
      </c>
      <c r="C2047" s="17"/>
      <c r="D2047" s="184"/>
      <c r="E2047" s="197"/>
      <c r="F2047" s="19"/>
      <c r="G2047" s="20"/>
    </row>
    <row r="2048" spans="1:8">
      <c r="A2048" s="211" t="s">
        <v>502</v>
      </c>
      <c r="B2048" s="216" t="str">
        <f ca="1">_xlfn.CONCAT(B2028,A2048)</f>
        <v>16B7AF49-S</v>
      </c>
      <c r="C2048" s="17"/>
      <c r="D2048" s="184"/>
      <c r="E2048" s="197"/>
      <c r="F2048" s="19"/>
      <c r="G2048" s="20"/>
    </row>
    <row r="2049" spans="1:8">
      <c r="A2049" s="211" t="s">
        <v>503</v>
      </c>
      <c r="B2049" s="216" t="str">
        <f ca="1">_xlfn.CONCAT(B2028,A2049)</f>
        <v>16B7AF49-T</v>
      </c>
      <c r="C2049" s="17"/>
      <c r="D2049" s="184"/>
      <c r="E2049" s="197"/>
      <c r="F2049" s="19"/>
      <c r="G2049" s="20"/>
    </row>
    <row r="2050" spans="1:8" ht="14.25" thickBot="1">
      <c r="A2050" s="211" t="s">
        <v>504</v>
      </c>
      <c r="B2050" s="216" t="str">
        <f ca="1">_xlfn.CONCAT(B2028,A2050)</f>
        <v>16B7AF49-U</v>
      </c>
      <c r="C2050" s="17"/>
      <c r="D2050" s="184"/>
      <c r="E2050" s="197"/>
      <c r="F2050" s="19"/>
      <c r="G2050" s="20"/>
    </row>
    <row r="2051" spans="1:8" ht="16.5" customHeight="1" thickBot="1">
      <c r="A2051" s="211" t="s">
        <v>505</v>
      </c>
      <c r="B2051" s="216" t="str">
        <f ca="1">_xlfn.CONCAT(B2028,A2051)</f>
        <v>16B7AF49-V</v>
      </c>
      <c r="C2051" s="17" t="s">
        <v>17</v>
      </c>
      <c r="D2051" s="192" t="s">
        <v>17</v>
      </c>
      <c r="E2051" s="18"/>
      <c r="F2051" s="22" t="s">
        <v>18</v>
      </c>
      <c r="G2051" s="23">
        <f>SUM(G2030:G2050)</f>
        <v>71851.8</v>
      </c>
    </row>
    <row r="2052" spans="1:8" ht="28.5" customHeight="1" thickBot="1">
      <c r="A2052" s="211" t="s">
        <v>506</v>
      </c>
      <c r="B2052" s="216" t="str">
        <f ca="1">_xlfn.CONCAT(B2028,A2052)</f>
        <v>16B7AF49-W</v>
      </c>
      <c r="C2052" s="10" t="s">
        <v>19</v>
      </c>
      <c r="D2052" s="190"/>
      <c r="E2052" s="11"/>
      <c r="F2052" s="12"/>
      <c r="G2052" s="13"/>
    </row>
    <row r="2053" spans="1:8" s="47" customFormat="1" ht="23.25" customHeight="1" thickBot="1">
      <c r="A2053" s="211" t="s">
        <v>507</v>
      </c>
      <c r="B2053" s="216" t="str">
        <f ca="1">_xlfn.CONCAT(B2028,A2053)</f>
        <v>16B7AF49-X</v>
      </c>
      <c r="C2053" s="14" t="s">
        <v>1</v>
      </c>
      <c r="D2053" s="15"/>
      <c r="E2053" s="15" t="s">
        <v>20</v>
      </c>
      <c r="F2053" s="16" t="s">
        <v>21</v>
      </c>
      <c r="G2053" s="15" t="s">
        <v>5</v>
      </c>
      <c r="H2053" s="215"/>
    </row>
    <row r="2054" spans="1:8">
      <c r="A2054" s="211" t="s">
        <v>508</v>
      </c>
      <c r="B2054" s="216" t="str">
        <f ca="1">_xlfn.CONCAT(B2028,A2054)</f>
        <v>16B7AF49-Y</v>
      </c>
      <c r="C2054" s="24" t="s">
        <v>22</v>
      </c>
      <c r="D2054" s="184"/>
      <c r="E2054" s="25">
        <f>_xlfn.XLOOKUP(C2054,'H-MO'!B$7:B$30,'H-MO'!D$7:D$30,,0,1)</f>
        <v>2436.5624999999995</v>
      </c>
      <c r="F2054" s="19">
        <v>0.3</v>
      </c>
      <c r="G2054" s="33">
        <f t="shared" ref="G2054:G2059" si="63">+E2054*F2054</f>
        <v>730.96874999999989</v>
      </c>
    </row>
    <row r="2055" spans="1:8">
      <c r="A2055" s="211" t="s">
        <v>509</v>
      </c>
      <c r="B2055" s="216" t="str">
        <f ca="1">_xlfn.CONCAT(B2028,A2055)</f>
        <v>16B7AF49-Z</v>
      </c>
      <c r="C2055" s="24" t="s">
        <v>23</v>
      </c>
      <c r="D2055" s="184"/>
      <c r="E2055" s="25">
        <f>_xlfn.XLOOKUP(C2055,'H-MO'!B$7:B$30,'H-MO'!D$7:D$30,,0,1)</f>
        <v>1461.9374999999998</v>
      </c>
      <c r="F2055" s="19">
        <v>9.7711304347826086E-2</v>
      </c>
      <c r="G2055" s="33">
        <f t="shared" si="63"/>
        <v>142.84781999999998</v>
      </c>
    </row>
    <row r="2056" spans="1:8">
      <c r="A2056" s="211" t="s">
        <v>510</v>
      </c>
      <c r="B2056" s="216" t="str">
        <f ca="1">_xlfn.CONCAT(B2028,A2056)</f>
        <v>16B7AF49-aa</v>
      </c>
      <c r="C2056" s="24" t="s">
        <v>24</v>
      </c>
      <c r="D2056" s="185"/>
      <c r="E2056" s="25">
        <f>_xlfn.XLOOKUP(C2056,'H-MO'!B$7:B$30,'H-MO'!D$7:D$30,,0,1)</f>
        <v>29238.749999999996</v>
      </c>
      <c r="F2056" s="28">
        <v>1.6285217391304348E-3</v>
      </c>
      <c r="G2056" s="33">
        <f t="shared" si="63"/>
        <v>47.615939999999995</v>
      </c>
    </row>
    <row r="2057" spans="1:8">
      <c r="A2057" s="211" t="s">
        <v>511</v>
      </c>
      <c r="B2057" s="216" t="str">
        <f ca="1">_xlfn.CONCAT(B2028,A2057)</f>
        <v>16B7AF49-ab</v>
      </c>
      <c r="C2057" s="24" t="s">
        <v>25</v>
      </c>
      <c r="D2057" s="185"/>
      <c r="E2057" s="25">
        <f>_xlfn.XLOOKUP(C2057,'H-MO'!B$7:B$30,'H-MO'!D$7:D$30,,0,1)</f>
        <v>2761.4374999999995</v>
      </c>
      <c r="F2057" s="28">
        <v>0.3</v>
      </c>
      <c r="G2057" s="33">
        <f t="shared" si="63"/>
        <v>828.43124999999986</v>
      </c>
    </row>
    <row r="2058" spans="1:8">
      <c r="A2058" s="211" t="s">
        <v>512</v>
      </c>
      <c r="B2058" s="216" t="str">
        <f ca="1">_xlfn.CONCAT(B2028,A2058)</f>
        <v>16B7AF49-ac</v>
      </c>
      <c r="C2058" s="24"/>
      <c r="D2058" s="185"/>
      <c r="E2058" s="29"/>
      <c r="F2058" s="28"/>
      <c r="G2058" s="33">
        <f t="shared" si="63"/>
        <v>0</v>
      </c>
    </row>
    <row r="2059" spans="1:8" ht="14.25" thickBot="1">
      <c r="A2059" s="211" t="s">
        <v>513</v>
      </c>
      <c r="B2059" s="216" t="str">
        <f ca="1">_xlfn.CONCAT(B2028,A2059)</f>
        <v>16B7AF49-ad</v>
      </c>
      <c r="C2059" s="24"/>
      <c r="D2059" s="185"/>
      <c r="E2059" s="29"/>
      <c r="F2059" s="28"/>
      <c r="G2059" s="33">
        <f t="shared" si="63"/>
        <v>0</v>
      </c>
    </row>
    <row r="2060" spans="1:8" ht="16.5" customHeight="1" thickBot="1">
      <c r="A2060" s="211" t="s">
        <v>514</v>
      </c>
      <c r="B2060" s="216" t="str">
        <f ca="1">_xlfn.CONCAT(B2028,A2060)</f>
        <v>16B7AF49-ae</v>
      </c>
      <c r="C2060" s="17"/>
      <c r="D2060" s="192"/>
      <c r="E2060" s="18"/>
      <c r="F2060" s="22" t="s">
        <v>26</v>
      </c>
      <c r="G2060" s="23">
        <f>SUM(G2054:G2059)</f>
        <v>1749.8637599999997</v>
      </c>
    </row>
    <row r="2061" spans="1:8" ht="28.5" customHeight="1" thickBot="1">
      <c r="A2061" s="211" t="s">
        <v>515</v>
      </c>
      <c r="B2061" s="216" t="str">
        <f ca="1">_xlfn.CONCAT(B2028,A2061)</f>
        <v>16B7AF49-af</v>
      </c>
      <c r="C2061" s="10" t="s">
        <v>27</v>
      </c>
      <c r="D2061" s="190"/>
      <c r="E2061" s="11"/>
      <c r="F2061" s="12"/>
      <c r="G2061" s="13"/>
    </row>
    <row r="2062" spans="1:8" s="47" customFormat="1" ht="23.25" customHeight="1" thickBot="1">
      <c r="A2062" s="211" t="s">
        <v>516</v>
      </c>
      <c r="B2062" s="216" t="str">
        <f ca="1">_xlfn.CONCAT(B2028,A2062)</f>
        <v>16B7AF49-ag</v>
      </c>
      <c r="C2062" s="14" t="s">
        <v>1</v>
      </c>
      <c r="D2062" s="15" t="s">
        <v>28</v>
      </c>
      <c r="E2062" s="15" t="s">
        <v>20</v>
      </c>
      <c r="F2062" s="16" t="s">
        <v>21</v>
      </c>
      <c r="G2062" s="15" t="s">
        <v>5</v>
      </c>
      <c r="H2062" s="215"/>
    </row>
    <row r="2063" spans="1:8">
      <c r="A2063" s="211" t="s">
        <v>517</v>
      </c>
      <c r="B2063" s="216" t="str">
        <f ca="1">_xlfn.CONCAT(B2028,A2063)</f>
        <v>16B7AF49-ah</v>
      </c>
      <c r="C2063" s="30" t="s">
        <v>29</v>
      </c>
      <c r="D2063" s="186">
        <f>'H-MO'!$N$77</f>
        <v>725918.52892505517</v>
      </c>
      <c r="E2063" s="31">
        <f>+D2063/8</f>
        <v>90739.816115631897</v>
      </c>
      <c r="F2063" s="32">
        <v>0.35</v>
      </c>
      <c r="G2063" s="33">
        <f>+E2063*F2063</f>
        <v>31758.935640471162</v>
      </c>
    </row>
    <row r="2064" spans="1:8">
      <c r="A2064" s="211" t="s">
        <v>518</v>
      </c>
      <c r="B2064" s="216" t="str">
        <f ca="1">_xlfn.CONCAT(B2028,A2064)</f>
        <v>16B7AF49-ai</v>
      </c>
      <c r="C2064" s="34" t="s">
        <v>30</v>
      </c>
      <c r="D2064" s="187">
        <f>'H-MO'!$N$86</f>
        <v>685561.39085756091</v>
      </c>
      <c r="E2064" s="29">
        <f>+D2064/8</f>
        <v>85695.173857195114</v>
      </c>
      <c r="F2064" s="28">
        <v>0.05</v>
      </c>
      <c r="G2064" s="33">
        <f>+E2064*F2064</f>
        <v>4284.7586928597557</v>
      </c>
    </row>
    <row r="2065" spans="1:8" ht="14.25" thickBot="1">
      <c r="A2065" s="211" t="s">
        <v>519</v>
      </c>
      <c r="B2065" s="216" t="str">
        <f ca="1">_xlfn.CONCAT(B2028,A2065)</f>
        <v>16B7AF49-aj</v>
      </c>
      <c r="C2065" s="34"/>
      <c r="D2065" s="187"/>
      <c r="E2065" s="29"/>
      <c r="F2065" s="28"/>
      <c r="G2065" s="33">
        <f>+E2065*F2065</f>
        <v>0</v>
      </c>
    </row>
    <row r="2066" spans="1:8" ht="17.25" customHeight="1" thickBot="1">
      <c r="A2066" s="211" t="s">
        <v>520</v>
      </c>
      <c r="B2066" s="216" t="str">
        <f ca="1">_xlfn.CONCAT(B2028,A2066)</f>
        <v>16B7AF49-ak</v>
      </c>
      <c r="C2066" s="34"/>
      <c r="D2066" s="185"/>
      <c r="E2066" s="26"/>
      <c r="F2066" s="36" t="s">
        <v>31</v>
      </c>
      <c r="G2066" s="23">
        <f>SUM(G2063:G2065)</f>
        <v>36043.694333330917</v>
      </c>
    </row>
    <row r="2067" spans="1:8" ht="14.25" thickBot="1">
      <c r="A2067" s="211" t="s">
        <v>521</v>
      </c>
      <c r="B2067" s="216" t="str">
        <f ca="1">_xlfn.CONCAT(B2028,A2067)</f>
        <v>16B7AF49-al</v>
      </c>
      <c r="C2067" s="37"/>
      <c r="E2067" s="38"/>
      <c r="F2067" s="22"/>
      <c r="G2067" s="39"/>
    </row>
    <row r="2068" spans="1:8" ht="23.25" customHeight="1" thickBot="1">
      <c r="A2068" s="211" t="s">
        <v>522</v>
      </c>
      <c r="B2068" s="216" t="str">
        <f ca="1">_xlfn.CONCAT(B2028,A2068)</f>
        <v>16B7AF49-am</v>
      </c>
      <c r="C2068" s="40"/>
      <c r="D2068" s="193"/>
      <c r="E2068" s="41"/>
      <c r="F2068" s="42"/>
      <c r="G2068" s="43">
        <f>+G2051+G2060+G2066</f>
        <v>109645.35809333091</v>
      </c>
    </row>
    <row r="2069" spans="1:8" ht="21.75" thickBot="1">
      <c r="B2069" s="212" t="s">
        <v>550</v>
      </c>
      <c r="C2069" s="2"/>
      <c r="D2069" s="183"/>
      <c r="F2069" s="4"/>
      <c r="G2069" s="5"/>
    </row>
    <row r="2070" spans="1:8" s="45" customFormat="1" ht="34.5" customHeight="1">
      <c r="A2070" s="213"/>
      <c r="B2070" s="214">
        <v>48</v>
      </c>
      <c r="C2070" s="242" t="str">
        <f ca="1">_xlfn.XLOOKUP(B2070,Cantidades!$A$10:$A$314,Cantidades!$C$10:$C$314,,0,1)</f>
        <v>Suministro e instalación de alimentador 1#12(F)+1#12(N)+1#12(T) de cobre entre tomacorriente secador de manos *. Incluye cable #12 AWG de cobre y demás accesorios para su correcta instalación,  fincionamiento y señalización.</v>
      </c>
      <c r="D2070" s="243"/>
      <c r="E2070" s="243"/>
      <c r="F2070" s="243"/>
      <c r="G2070" s="244"/>
      <c r="H2070" s="213"/>
    </row>
    <row r="2071" spans="1:8" s="47" customFormat="1" ht="24.95" customHeight="1" thickBot="1">
      <c r="A2071" s="215"/>
      <c r="B2071" s="216" t="s">
        <v>550</v>
      </c>
      <c r="C2071" s="177"/>
      <c r="D2071" s="189"/>
      <c r="E2071" s="178"/>
      <c r="F2071" s="179" t="s">
        <v>636</v>
      </c>
      <c r="G2071" s="209" t="str">
        <f ca="1">B2072</f>
        <v>2E5A15E7-</v>
      </c>
      <c r="H2071" s="215"/>
    </row>
    <row r="2072" spans="1:8" ht="28.5" customHeight="1" thickBot="1">
      <c r="B2072" s="212" t="str">
        <f ca="1">_xlfn.XLOOKUP(C2070,Cantidades!$C$1:$C$314,Cantidades!$B$1:$B$314,"",0,1)</f>
        <v>2E5A15E7-</v>
      </c>
      <c r="C2072" s="10" t="s">
        <v>0</v>
      </c>
      <c r="D2072" s="190"/>
      <c r="E2072" s="11"/>
      <c r="F2072" s="12"/>
      <c r="G2072" s="13"/>
    </row>
    <row r="2073" spans="1:8" s="47" customFormat="1" ht="23.25" customHeight="1" thickBot="1">
      <c r="A2073" s="215"/>
      <c r="B2073" s="216" t="s">
        <v>550</v>
      </c>
      <c r="C2073" s="14" t="s">
        <v>1</v>
      </c>
      <c r="D2073" s="15" t="s">
        <v>2</v>
      </c>
      <c r="E2073" s="15" t="s">
        <v>3</v>
      </c>
      <c r="F2073" s="16" t="s">
        <v>4</v>
      </c>
      <c r="G2073" s="15" t="s">
        <v>5</v>
      </c>
      <c r="H2073" s="215"/>
    </row>
    <row r="2074" spans="1:8" ht="15">
      <c r="A2074" s="211" t="s">
        <v>484</v>
      </c>
      <c r="B2074" s="216" t="str">
        <f ca="1">_xlfn.CONCAT(B2072,A2074)</f>
        <v>2E5A15E7-A</v>
      </c>
      <c r="C2074" s="17" t="str">
        <f>_xlfn.XLOOKUP(H2074,'Materiales unitario'!$A$1:$A$2500,'Materiales unitario'!B$1:B$2500,,0,1)</f>
        <v>Cable de cobre aislado #12 AWG-THHN/THWN Color negro</v>
      </c>
      <c r="D2074" s="184" t="str">
        <f>_xlfn.XLOOKUP(H2074,'Materiales unitario'!A$1:A$2500,'Materiales unitario'!C$1:C$2500,,0,1)</f>
        <v>ml</v>
      </c>
      <c r="E2074" s="197">
        <f>_xlfn.XLOOKUP(H2074,'Materiales unitario'!$A$1:$A$2500,'Materiales unitario'!D$1:D$2500,,0,1)</f>
        <v>3020</v>
      </c>
      <c r="F2074" s="19">
        <v>3.2</v>
      </c>
      <c r="G2074" s="20">
        <f>+E2074*F2074</f>
        <v>9664</v>
      </c>
      <c r="H2074" s="217" t="s">
        <v>267</v>
      </c>
    </row>
    <row r="2075" spans="1:8" ht="15">
      <c r="A2075" s="211" t="s">
        <v>485</v>
      </c>
      <c r="B2075" s="216" t="str">
        <f ca="1">_xlfn.CONCAT(B2072,A2075)</f>
        <v>2E5A15E7-B</v>
      </c>
      <c r="C2075" s="17" t="str">
        <f>_xlfn.XLOOKUP(H2075,'Materiales unitario'!$A$1:$A$2500,'Materiales unitario'!B$1:B$2500,,0,1)</f>
        <v>Termoencogible</v>
      </c>
      <c r="D2075" s="184" t="str">
        <f>_xlfn.XLOOKUP(H2075,'Materiales unitario'!A$1:A$2500,'Materiales unitario'!C$1:C$2500,,0,1)</f>
        <v>un</v>
      </c>
      <c r="E2075" s="197">
        <f>_xlfn.XLOOKUP(H2075,'Materiales unitario'!$A$1:$A$2500,'Materiales unitario'!D$1:D$2500,,0,1)</f>
        <v>5000</v>
      </c>
      <c r="F2075" s="19">
        <v>0.1</v>
      </c>
      <c r="G2075" s="20">
        <f>+E2075*F2075</f>
        <v>500</v>
      </c>
      <c r="H2075" s="217" t="s">
        <v>373</v>
      </c>
    </row>
    <row r="2076" spans="1:8" ht="15">
      <c r="A2076" s="211" t="s">
        <v>486</v>
      </c>
      <c r="B2076" s="216" t="str">
        <f ca="1">_xlfn.CONCAT(B2072,A2076)</f>
        <v>2E5A15E7-C</v>
      </c>
      <c r="C2076" s="17"/>
      <c r="D2076" s="184"/>
      <c r="E2076" s="197"/>
      <c r="F2076" s="19"/>
      <c r="G2076" s="20"/>
      <c r="H2076" s="217"/>
    </row>
    <row r="2077" spans="1:8" ht="15">
      <c r="A2077" s="211" t="s">
        <v>487</v>
      </c>
      <c r="B2077" s="216" t="str">
        <f ca="1">_xlfn.CONCAT(B2072,A2077)</f>
        <v>2E5A15E7-D</v>
      </c>
      <c r="C2077" s="17"/>
      <c r="D2077" s="184"/>
      <c r="E2077" s="197"/>
      <c r="F2077" s="19"/>
      <c r="G2077" s="20"/>
      <c r="H2077" s="217"/>
    </row>
    <row r="2078" spans="1:8" ht="15">
      <c r="A2078" s="211" t="s">
        <v>488</v>
      </c>
      <c r="B2078" s="216" t="str">
        <f ca="1">_xlfn.CONCAT(B2072,A2078)</f>
        <v>2E5A15E7-E</v>
      </c>
      <c r="C2078" s="17"/>
      <c r="D2078" s="184"/>
      <c r="E2078" s="197"/>
      <c r="F2078" s="19"/>
      <c r="G2078" s="20"/>
      <c r="H2078" s="217"/>
    </row>
    <row r="2079" spans="1:8" ht="15">
      <c r="A2079" s="211" t="s">
        <v>489</v>
      </c>
      <c r="B2079" s="216" t="str">
        <f ca="1">_xlfn.CONCAT(B2072,A2079)</f>
        <v>2E5A15E7-F</v>
      </c>
      <c r="C2079" s="17"/>
      <c r="D2079" s="184"/>
      <c r="E2079" s="197"/>
      <c r="F2079" s="19"/>
      <c r="G2079" s="20"/>
      <c r="H2079" s="217"/>
    </row>
    <row r="2080" spans="1:8" ht="15">
      <c r="A2080" s="211" t="s">
        <v>490</v>
      </c>
      <c r="B2080" s="216" t="str">
        <f ca="1">_xlfn.CONCAT(B2072,A2080)</f>
        <v>2E5A15E7-G</v>
      </c>
      <c r="C2080" s="17"/>
      <c r="D2080" s="184"/>
      <c r="E2080" s="197"/>
      <c r="F2080" s="19"/>
      <c r="G2080" s="20"/>
      <c r="H2080" s="217"/>
    </row>
    <row r="2081" spans="1:8" ht="15">
      <c r="A2081" s="211" t="s">
        <v>491</v>
      </c>
      <c r="B2081" s="216" t="str">
        <f ca="1">_xlfn.CONCAT(B2072,A2081)</f>
        <v>2E5A15E7-H</v>
      </c>
      <c r="C2081" s="17"/>
      <c r="D2081" s="184"/>
      <c r="E2081" s="197"/>
      <c r="F2081" s="19"/>
      <c r="G2081" s="20"/>
      <c r="H2081" s="217"/>
    </row>
    <row r="2082" spans="1:8" ht="15">
      <c r="A2082" s="211" t="s">
        <v>492</v>
      </c>
      <c r="B2082" s="216" t="str">
        <f ca="1">_xlfn.CONCAT(B2072,A2082)</f>
        <v>2E5A15E7-I</v>
      </c>
      <c r="C2082" s="17"/>
      <c r="D2082" s="184"/>
      <c r="E2082" s="197"/>
      <c r="F2082" s="19"/>
      <c r="G2082" s="20"/>
      <c r="H2082" s="217"/>
    </row>
    <row r="2083" spans="1:8" ht="15">
      <c r="A2083" s="211" t="s">
        <v>493</v>
      </c>
      <c r="B2083" s="216" t="str">
        <f ca="1">_xlfn.CONCAT(B2072,A2083)</f>
        <v>2E5A15E7-J</v>
      </c>
      <c r="C2083" s="17"/>
      <c r="D2083" s="184"/>
      <c r="E2083" s="197"/>
      <c r="F2083" s="19"/>
      <c r="G2083" s="20"/>
      <c r="H2083" s="217"/>
    </row>
    <row r="2084" spans="1:8" ht="15">
      <c r="A2084" s="211" t="s">
        <v>494</v>
      </c>
      <c r="B2084" s="216" t="str">
        <f ca="1">_xlfn.CONCAT(B2072,A2084)</f>
        <v>2E5A15E7-K</v>
      </c>
      <c r="C2084" s="17"/>
      <c r="D2084" s="184"/>
      <c r="E2084" s="197"/>
      <c r="F2084" s="19"/>
      <c r="G2084" s="20"/>
      <c r="H2084" s="217"/>
    </row>
    <row r="2085" spans="1:8" ht="15">
      <c r="A2085" s="211" t="s">
        <v>495</v>
      </c>
      <c r="B2085" s="216" t="str">
        <f ca="1">_xlfn.CONCAT(B2072,A2085)</f>
        <v>2E5A15E7-L</v>
      </c>
      <c r="C2085" s="17"/>
      <c r="D2085" s="184"/>
      <c r="E2085" s="197"/>
      <c r="F2085" s="19"/>
      <c r="G2085" s="20"/>
      <c r="H2085" s="217"/>
    </row>
    <row r="2086" spans="1:8" ht="15">
      <c r="A2086" s="211" t="s">
        <v>496</v>
      </c>
      <c r="B2086" s="216" t="str">
        <f ca="1">_xlfn.CONCAT(B2072,A2086)</f>
        <v>2E5A15E7-M</v>
      </c>
      <c r="C2086" s="17"/>
      <c r="D2086" s="184"/>
      <c r="E2086" s="197"/>
      <c r="F2086" s="19"/>
      <c r="G2086" s="20"/>
      <c r="H2086" s="217"/>
    </row>
    <row r="2087" spans="1:8">
      <c r="A2087" s="211" t="s">
        <v>497</v>
      </c>
      <c r="B2087" s="216" t="str">
        <f ca="1">_xlfn.CONCAT(B2072,A2087)</f>
        <v>2E5A15E7-N</v>
      </c>
      <c r="C2087" s="17"/>
      <c r="D2087" s="184"/>
      <c r="E2087" s="197"/>
      <c r="F2087" s="19"/>
      <c r="G2087" s="20"/>
    </row>
    <row r="2088" spans="1:8">
      <c r="A2088" s="211" t="s">
        <v>498</v>
      </c>
      <c r="B2088" s="216" t="str">
        <f ca="1">_xlfn.CONCAT(B2072,A2088)</f>
        <v>2E5A15E7-O</v>
      </c>
      <c r="C2088" s="17"/>
      <c r="D2088" s="184"/>
      <c r="E2088" s="197"/>
      <c r="F2088" s="19"/>
      <c r="G2088" s="20"/>
    </row>
    <row r="2089" spans="1:8">
      <c r="A2089" s="211" t="s">
        <v>499</v>
      </c>
      <c r="B2089" s="216" t="str">
        <f ca="1">_xlfn.CONCAT(B2072,A2089)</f>
        <v>2E5A15E7-P</v>
      </c>
      <c r="C2089" s="17"/>
      <c r="D2089" s="184"/>
      <c r="E2089" s="197"/>
      <c r="F2089" s="19"/>
      <c r="G2089" s="20"/>
    </row>
    <row r="2090" spans="1:8">
      <c r="A2090" s="211" t="s">
        <v>500</v>
      </c>
      <c r="B2090" s="216" t="str">
        <f ca="1">_xlfn.CONCAT(B2072,A2090)</f>
        <v>2E5A15E7-Q</v>
      </c>
      <c r="C2090" s="17"/>
      <c r="D2090" s="184"/>
      <c r="E2090" s="197"/>
      <c r="F2090" s="19"/>
      <c r="G2090" s="20"/>
    </row>
    <row r="2091" spans="1:8">
      <c r="A2091" s="211" t="s">
        <v>501</v>
      </c>
      <c r="B2091" s="216" t="str">
        <f ca="1">_xlfn.CONCAT(B2072,A2091)</f>
        <v>2E5A15E7-R</v>
      </c>
      <c r="C2091" s="17"/>
      <c r="D2091" s="184"/>
      <c r="E2091" s="197"/>
      <c r="F2091" s="19"/>
      <c r="G2091" s="20"/>
    </row>
    <row r="2092" spans="1:8">
      <c r="A2092" s="211" t="s">
        <v>502</v>
      </c>
      <c r="B2092" s="216" t="str">
        <f ca="1">_xlfn.CONCAT(B2072,A2092)</f>
        <v>2E5A15E7-S</v>
      </c>
      <c r="C2092" s="17"/>
      <c r="D2092" s="184"/>
      <c r="E2092" s="197"/>
      <c r="F2092" s="19"/>
      <c r="G2092" s="20"/>
    </row>
    <row r="2093" spans="1:8">
      <c r="A2093" s="211" t="s">
        <v>503</v>
      </c>
      <c r="B2093" s="216" t="str">
        <f ca="1">_xlfn.CONCAT(B2072,A2093)</f>
        <v>2E5A15E7-T</v>
      </c>
      <c r="C2093" s="17"/>
      <c r="D2093" s="184"/>
      <c r="E2093" s="197"/>
      <c r="F2093" s="19"/>
      <c r="G2093" s="20"/>
    </row>
    <row r="2094" spans="1:8" ht="14.25" thickBot="1">
      <c r="A2094" s="211" t="s">
        <v>504</v>
      </c>
      <c r="B2094" s="216" t="str">
        <f ca="1">_xlfn.CONCAT(B2072,A2094)</f>
        <v>2E5A15E7-U</v>
      </c>
      <c r="C2094" s="17"/>
      <c r="D2094" s="184"/>
      <c r="E2094" s="197"/>
      <c r="F2094" s="19"/>
      <c r="G2094" s="20"/>
    </row>
    <row r="2095" spans="1:8" ht="16.5" customHeight="1" thickBot="1">
      <c r="A2095" s="211" t="s">
        <v>505</v>
      </c>
      <c r="B2095" s="216" t="str">
        <f ca="1">_xlfn.CONCAT(B2072,A2095)</f>
        <v>2E5A15E7-V</v>
      </c>
      <c r="C2095" s="17" t="s">
        <v>17</v>
      </c>
      <c r="D2095" s="192" t="s">
        <v>17</v>
      </c>
      <c r="E2095" s="18"/>
      <c r="F2095" s="22" t="s">
        <v>18</v>
      </c>
      <c r="G2095" s="23">
        <f>SUM(G2074:G2094)</f>
        <v>10164</v>
      </c>
    </row>
    <row r="2096" spans="1:8" ht="28.5" customHeight="1" thickBot="1">
      <c r="A2096" s="211" t="s">
        <v>506</v>
      </c>
      <c r="B2096" s="216" t="str">
        <f ca="1">_xlfn.CONCAT(B2072,A2096)</f>
        <v>2E5A15E7-W</v>
      </c>
      <c r="C2096" s="10" t="s">
        <v>19</v>
      </c>
      <c r="D2096" s="190"/>
      <c r="E2096" s="11"/>
      <c r="F2096" s="12"/>
      <c r="G2096" s="13"/>
    </row>
    <row r="2097" spans="1:8" s="47" customFormat="1" ht="23.25" customHeight="1" thickBot="1">
      <c r="A2097" s="211" t="s">
        <v>507</v>
      </c>
      <c r="B2097" s="216" t="str">
        <f ca="1">_xlfn.CONCAT(B2072,A2097)</f>
        <v>2E5A15E7-X</v>
      </c>
      <c r="C2097" s="14" t="s">
        <v>1</v>
      </c>
      <c r="D2097" s="15"/>
      <c r="E2097" s="15" t="s">
        <v>20</v>
      </c>
      <c r="F2097" s="16" t="s">
        <v>21</v>
      </c>
      <c r="G2097" s="15" t="s">
        <v>5</v>
      </c>
      <c r="H2097" s="215"/>
    </row>
    <row r="2098" spans="1:8">
      <c r="A2098" s="211" t="s">
        <v>508</v>
      </c>
      <c r="B2098" s="216" t="str">
        <f ca="1">_xlfn.CONCAT(B2072,A2098)</f>
        <v>2E5A15E7-Y</v>
      </c>
      <c r="C2098" s="24" t="s">
        <v>22</v>
      </c>
      <c r="D2098" s="184"/>
      <c r="E2098" s="25">
        <f>_xlfn.XLOOKUP(C2098,'H-MO'!B$7:B$30,'H-MO'!D$7:D$30,,0,1)</f>
        <v>2436.5624999999995</v>
      </c>
      <c r="F2098" s="19">
        <v>0.04</v>
      </c>
      <c r="G2098" s="33">
        <f t="shared" ref="G2098:G2103" si="64">+E2098*F2098</f>
        <v>97.462499999999977</v>
      </c>
    </row>
    <row r="2099" spans="1:8">
      <c r="A2099" s="211" t="s">
        <v>509</v>
      </c>
      <c r="B2099" s="216" t="str">
        <f ca="1">_xlfn.CONCAT(B2072,A2099)</f>
        <v>2E5A15E7-Z</v>
      </c>
      <c r="C2099" s="24" t="s">
        <v>23</v>
      </c>
      <c r="D2099" s="184"/>
      <c r="E2099" s="25">
        <f>_xlfn.XLOOKUP(C2099,'H-MO'!B$7:B$30,'H-MO'!D$7:D$30,,0,1)</f>
        <v>1461.9374999999998</v>
      </c>
      <c r="F2099" s="19">
        <v>0.03</v>
      </c>
      <c r="G2099" s="33">
        <f t="shared" si="64"/>
        <v>43.858124999999994</v>
      </c>
    </row>
    <row r="2100" spans="1:8">
      <c r="A2100" s="211" t="s">
        <v>510</v>
      </c>
      <c r="B2100" s="216" t="str">
        <f ca="1">_xlfn.CONCAT(B2072,A2100)</f>
        <v>2E5A15E7-aa</v>
      </c>
      <c r="C2100" s="24" t="s">
        <v>24</v>
      </c>
      <c r="D2100" s="185"/>
      <c r="E2100" s="25">
        <f>_xlfn.XLOOKUP(C2100,'H-MO'!B$7:B$30,'H-MO'!D$7:D$30,,0,1)</f>
        <v>29238.749999999996</v>
      </c>
      <c r="F2100" s="28">
        <v>7.0000000000000001E-3</v>
      </c>
      <c r="G2100" s="33">
        <f t="shared" si="64"/>
        <v>204.67124999999999</v>
      </c>
    </row>
    <row r="2101" spans="1:8">
      <c r="A2101" s="211" t="s">
        <v>511</v>
      </c>
      <c r="B2101" s="216" t="str">
        <f ca="1">_xlfn.CONCAT(B2072,A2101)</f>
        <v>2E5A15E7-ab</v>
      </c>
      <c r="C2101" s="24" t="s">
        <v>25</v>
      </c>
      <c r="D2101" s="185"/>
      <c r="E2101" s="25">
        <f>_xlfn.XLOOKUP(C2101,'H-MO'!B$7:B$30,'H-MO'!D$7:D$30,,0,1)</f>
        <v>2761.4374999999995</v>
      </c>
      <c r="F2101" s="28">
        <v>0.05</v>
      </c>
      <c r="G2101" s="33">
        <f t="shared" si="64"/>
        <v>138.07187499999998</v>
      </c>
    </row>
    <row r="2102" spans="1:8">
      <c r="A2102" s="211" t="s">
        <v>512</v>
      </c>
      <c r="B2102" s="216" t="str">
        <f ca="1">_xlfn.CONCAT(B2072,A2102)</f>
        <v>2E5A15E7-ac</v>
      </c>
      <c r="C2102" s="24"/>
      <c r="D2102" s="185"/>
      <c r="E2102" s="29"/>
      <c r="F2102" s="28"/>
      <c r="G2102" s="33">
        <f t="shared" si="64"/>
        <v>0</v>
      </c>
    </row>
    <row r="2103" spans="1:8" ht="14.25" thickBot="1">
      <c r="A2103" s="211" t="s">
        <v>513</v>
      </c>
      <c r="B2103" s="216" t="str">
        <f ca="1">_xlfn.CONCAT(B2072,A2103)</f>
        <v>2E5A15E7-ad</v>
      </c>
      <c r="C2103" s="24"/>
      <c r="D2103" s="185"/>
      <c r="E2103" s="29"/>
      <c r="F2103" s="28"/>
      <c r="G2103" s="33">
        <f t="shared" si="64"/>
        <v>0</v>
      </c>
    </row>
    <row r="2104" spans="1:8" ht="16.5" customHeight="1" thickBot="1">
      <c r="A2104" s="211" t="s">
        <v>514</v>
      </c>
      <c r="B2104" s="216" t="str">
        <f ca="1">_xlfn.CONCAT(B2072,A2104)</f>
        <v>2E5A15E7-ae</v>
      </c>
      <c r="C2104" s="17"/>
      <c r="D2104" s="192"/>
      <c r="E2104" s="18"/>
      <c r="F2104" s="22" t="s">
        <v>26</v>
      </c>
      <c r="G2104" s="23">
        <f>SUM(G2098:G2103)</f>
        <v>484.06374999999991</v>
      </c>
    </row>
    <row r="2105" spans="1:8" ht="28.5" customHeight="1" thickBot="1">
      <c r="A2105" s="211" t="s">
        <v>515</v>
      </c>
      <c r="B2105" s="216" t="str">
        <f ca="1">_xlfn.CONCAT(B2072,A2105)</f>
        <v>2E5A15E7-af</v>
      </c>
      <c r="C2105" s="10" t="s">
        <v>27</v>
      </c>
      <c r="D2105" s="190"/>
      <c r="E2105" s="11"/>
      <c r="F2105" s="12"/>
      <c r="G2105" s="13"/>
    </row>
    <row r="2106" spans="1:8" s="47" customFormat="1" ht="23.25" customHeight="1" thickBot="1">
      <c r="A2106" s="211" t="s">
        <v>516</v>
      </c>
      <c r="B2106" s="216" t="str">
        <f ca="1">_xlfn.CONCAT(B2072,A2106)</f>
        <v>2E5A15E7-ag</v>
      </c>
      <c r="C2106" s="14" t="s">
        <v>1</v>
      </c>
      <c r="D2106" s="15" t="s">
        <v>28</v>
      </c>
      <c r="E2106" s="15" t="s">
        <v>20</v>
      </c>
      <c r="F2106" s="16" t="s">
        <v>21</v>
      </c>
      <c r="G2106" s="15" t="s">
        <v>5</v>
      </c>
      <c r="H2106" s="215"/>
    </row>
    <row r="2107" spans="1:8">
      <c r="A2107" s="211" t="s">
        <v>517</v>
      </c>
      <c r="B2107" s="216" t="str">
        <f ca="1">_xlfn.CONCAT(B2072,A2107)</f>
        <v>2E5A15E7-ah</v>
      </c>
      <c r="C2107" s="30" t="s">
        <v>29</v>
      </c>
      <c r="D2107" s="186">
        <f>'H-MO'!$N$77</f>
        <v>725918.52892505517</v>
      </c>
      <c r="E2107" s="31">
        <f>+D2107/8</f>
        <v>90739.816115631897</v>
      </c>
      <c r="F2107" s="32">
        <v>0.05</v>
      </c>
      <c r="G2107" s="33">
        <f>+E2107*F2107</f>
        <v>4536.9908057815946</v>
      </c>
    </row>
    <row r="2108" spans="1:8">
      <c r="A2108" s="211" t="s">
        <v>518</v>
      </c>
      <c r="B2108" s="216" t="str">
        <f ca="1">_xlfn.CONCAT(B2072,A2108)</f>
        <v>2E5A15E7-ai</v>
      </c>
      <c r="C2108" s="34" t="s">
        <v>30</v>
      </c>
      <c r="D2108" s="187">
        <f>'H-MO'!$N$86</f>
        <v>685561.39085756091</v>
      </c>
      <c r="E2108" s="29">
        <f>+D2108/8</f>
        <v>85695.173857195114</v>
      </c>
      <c r="F2108" s="28">
        <v>0</v>
      </c>
      <c r="G2108" s="33">
        <f>+E2108*F2108</f>
        <v>0</v>
      </c>
    </row>
    <row r="2109" spans="1:8" ht="14.25" thickBot="1">
      <c r="A2109" s="211" t="s">
        <v>519</v>
      </c>
      <c r="B2109" s="216" t="str">
        <f ca="1">_xlfn.CONCAT(B2072,A2109)</f>
        <v>2E5A15E7-aj</v>
      </c>
      <c r="C2109" s="34"/>
      <c r="D2109" s="187"/>
      <c r="E2109" s="29"/>
      <c r="F2109" s="28"/>
      <c r="G2109" s="33">
        <f>+E2109*F2109</f>
        <v>0</v>
      </c>
    </row>
    <row r="2110" spans="1:8" ht="17.25" customHeight="1" thickBot="1">
      <c r="A2110" s="211" t="s">
        <v>520</v>
      </c>
      <c r="B2110" s="216" t="str">
        <f ca="1">_xlfn.CONCAT(B2072,A2110)</f>
        <v>2E5A15E7-ak</v>
      </c>
      <c r="C2110" s="34"/>
      <c r="D2110" s="185"/>
      <c r="E2110" s="26"/>
      <c r="F2110" s="36" t="s">
        <v>31</v>
      </c>
      <c r="G2110" s="23">
        <f>SUM(G2107:G2109)</f>
        <v>4536.9908057815946</v>
      </c>
    </row>
    <row r="2111" spans="1:8" ht="14.25" thickBot="1">
      <c r="A2111" s="211" t="s">
        <v>521</v>
      </c>
      <c r="B2111" s="216" t="str">
        <f ca="1">_xlfn.CONCAT(B2072,A2111)</f>
        <v>2E5A15E7-al</v>
      </c>
      <c r="C2111" s="37"/>
      <c r="E2111" s="38"/>
      <c r="F2111" s="22"/>
      <c r="G2111" s="39"/>
    </row>
    <row r="2112" spans="1:8" ht="23.25" customHeight="1" thickBot="1">
      <c r="A2112" s="211" t="s">
        <v>522</v>
      </c>
      <c r="B2112" s="216" t="str">
        <f ca="1">_xlfn.CONCAT(B2072,A2112)</f>
        <v>2E5A15E7-am</v>
      </c>
      <c r="C2112" s="40"/>
      <c r="D2112" s="193"/>
      <c r="E2112" s="41"/>
      <c r="F2112" s="42"/>
      <c r="G2112" s="43">
        <f>+G2095+G2104+G2110</f>
        <v>15185.054555781593</v>
      </c>
    </row>
    <row r="2113" spans="1:8" ht="21.75" thickBot="1">
      <c r="B2113" s="212" t="s">
        <v>550</v>
      </c>
      <c r="C2113" s="2"/>
      <c r="D2113" s="183"/>
      <c r="F2113" s="4"/>
      <c r="G2113" s="5"/>
    </row>
    <row r="2114" spans="1:8" s="45" customFormat="1" ht="34.5" customHeight="1">
      <c r="A2114" s="213"/>
      <c r="B2114" s="214">
        <v>49</v>
      </c>
      <c r="C2114" s="242" t="str">
        <f ca="1">_xlfn.XLOOKUP(B2114,Cantidades!$A$10:$A$314,Cantidades!$C$10:$C$314,,0,1)</f>
        <v>Suministro e instalación de tomacorriente doble monofásica polo a tierra. Incluye aparato y demás accesorios para su correcta instalación,  fincionamiento y señalización.</v>
      </c>
      <c r="D2114" s="243"/>
      <c r="E2114" s="243"/>
      <c r="F2114" s="243"/>
      <c r="G2114" s="244"/>
      <c r="H2114" s="213"/>
    </row>
    <row r="2115" spans="1:8" s="47" customFormat="1" ht="24.95" customHeight="1" thickBot="1">
      <c r="A2115" s="215"/>
      <c r="B2115" s="216" t="s">
        <v>550</v>
      </c>
      <c r="C2115" s="177"/>
      <c r="D2115" s="189"/>
      <c r="E2115" s="178"/>
      <c r="F2115" s="179" t="s">
        <v>636</v>
      </c>
      <c r="G2115" s="209" t="str">
        <f ca="1">B2116</f>
        <v>185615BA-</v>
      </c>
      <c r="H2115" s="215"/>
    </row>
    <row r="2116" spans="1:8" ht="28.5" customHeight="1" thickBot="1">
      <c r="B2116" s="212" t="str">
        <f ca="1">_xlfn.XLOOKUP(C2114,Cantidades!$C$1:$C$314,Cantidades!$B$1:$B$314,"",0,1)</f>
        <v>185615BA-</v>
      </c>
      <c r="C2116" s="10" t="s">
        <v>0</v>
      </c>
      <c r="D2116" s="190"/>
      <c r="E2116" s="11"/>
      <c r="F2116" s="12"/>
      <c r="G2116" s="13"/>
    </row>
    <row r="2117" spans="1:8" s="47" customFormat="1" ht="23.25" customHeight="1" thickBot="1">
      <c r="A2117" s="215"/>
      <c r="B2117" s="216" t="s">
        <v>550</v>
      </c>
      <c r="C2117" s="14" t="s">
        <v>1</v>
      </c>
      <c r="D2117" s="15" t="s">
        <v>2</v>
      </c>
      <c r="E2117" s="15" t="s">
        <v>3</v>
      </c>
      <c r="F2117" s="16" t="s">
        <v>4</v>
      </c>
      <c r="G2117" s="15" t="s">
        <v>5</v>
      </c>
      <c r="H2117" s="215"/>
    </row>
    <row r="2118" spans="1:8" ht="15">
      <c r="A2118" s="211" t="s">
        <v>484</v>
      </c>
      <c r="B2118" s="216" t="str">
        <f ca="1">_xlfn.CONCAT(B2116,A2118)</f>
        <v>185615BA-A</v>
      </c>
      <c r="C2118" s="17" t="str">
        <f>_xlfn.XLOOKUP(H2118,'Materiales unitario'!$A$1:$A$2500,'Materiales unitario'!B$1:B$2500,,0,1)</f>
        <v>Toma doble 15A polo a tierra Genesis</v>
      </c>
      <c r="D2118" s="184" t="str">
        <f>_xlfn.XLOOKUP(H2118,'Materiales unitario'!A$1:A$2500,'Materiales unitario'!C$1:C$2500,,0,1)</f>
        <v>un</v>
      </c>
      <c r="E2118" s="197">
        <f>_xlfn.XLOOKUP(H2118,'Materiales unitario'!$A$1:$A$2500,'Materiales unitario'!D$1:D$2500,,0,1)</f>
        <v>8100</v>
      </c>
      <c r="F2118" s="19">
        <v>1</v>
      </c>
      <c r="G2118" s="20">
        <f>+E2118*F2118</f>
        <v>8100</v>
      </c>
      <c r="H2118" s="217" t="s">
        <v>374</v>
      </c>
    </row>
    <row r="2119" spans="1:8" ht="15">
      <c r="A2119" s="211" t="s">
        <v>485</v>
      </c>
      <c r="B2119" s="216" t="str">
        <f ca="1">_xlfn.CONCAT(B2116,A2119)</f>
        <v>185615BA-B</v>
      </c>
      <c r="C2119" s="17" t="str">
        <f>_xlfn.XLOOKUP(H2119,'Materiales unitario'!$A$1:$A$2500,'Materiales unitario'!B$1:B$2500,,0,1)</f>
        <v>Marquillas para circuito</v>
      </c>
      <c r="D2119" s="184" t="str">
        <f>_xlfn.XLOOKUP(H2119,'Materiales unitario'!A$1:A$2500,'Materiales unitario'!C$1:C$2500,,0,1)</f>
        <v>un</v>
      </c>
      <c r="E2119" s="197">
        <f>_xlfn.XLOOKUP(H2119,'Materiales unitario'!$A$1:$A$2500,'Materiales unitario'!D$1:D$2500,,0,1)</f>
        <v>1000</v>
      </c>
      <c r="F2119" s="19">
        <v>1</v>
      </c>
      <c r="G2119" s="20">
        <f>+E2119*F2119</f>
        <v>1000</v>
      </c>
      <c r="H2119" s="217" t="s">
        <v>339</v>
      </c>
    </row>
    <row r="2120" spans="1:8" ht="15">
      <c r="A2120" s="211" t="s">
        <v>486</v>
      </c>
      <c r="B2120" s="216" t="str">
        <f ca="1">_xlfn.CONCAT(B2116,A2120)</f>
        <v>185615BA-C</v>
      </c>
      <c r="C2120" s="17"/>
      <c r="D2120" s="184"/>
      <c r="E2120" s="197"/>
      <c r="F2120" s="19"/>
      <c r="G2120" s="20"/>
      <c r="H2120" s="217"/>
    </row>
    <row r="2121" spans="1:8" ht="15">
      <c r="A2121" s="211" t="s">
        <v>487</v>
      </c>
      <c r="B2121" s="216" t="str">
        <f ca="1">_xlfn.CONCAT(B2116,A2121)</f>
        <v>185615BA-D</v>
      </c>
      <c r="C2121" s="17"/>
      <c r="D2121" s="184"/>
      <c r="E2121" s="197"/>
      <c r="F2121" s="19"/>
      <c r="G2121" s="20"/>
      <c r="H2121" s="217"/>
    </row>
    <row r="2122" spans="1:8" ht="15">
      <c r="A2122" s="211" t="s">
        <v>488</v>
      </c>
      <c r="B2122" s="216" t="str">
        <f ca="1">_xlfn.CONCAT(B2116,A2122)</f>
        <v>185615BA-E</v>
      </c>
      <c r="C2122" s="17"/>
      <c r="D2122" s="184"/>
      <c r="E2122" s="197"/>
      <c r="F2122" s="19"/>
      <c r="G2122" s="20"/>
      <c r="H2122" s="217"/>
    </row>
    <row r="2123" spans="1:8" ht="15">
      <c r="A2123" s="211" t="s">
        <v>489</v>
      </c>
      <c r="B2123" s="216" t="str">
        <f ca="1">_xlfn.CONCAT(B2116,A2123)</f>
        <v>185615BA-F</v>
      </c>
      <c r="C2123" s="17"/>
      <c r="D2123" s="184"/>
      <c r="E2123" s="197"/>
      <c r="F2123" s="19"/>
      <c r="G2123" s="20"/>
      <c r="H2123" s="217"/>
    </row>
    <row r="2124" spans="1:8" ht="15">
      <c r="A2124" s="211" t="s">
        <v>490</v>
      </c>
      <c r="B2124" s="216" t="str">
        <f ca="1">_xlfn.CONCAT(B2116,A2124)</f>
        <v>185615BA-G</v>
      </c>
      <c r="C2124" s="17"/>
      <c r="D2124" s="184"/>
      <c r="E2124" s="197"/>
      <c r="F2124" s="19"/>
      <c r="G2124" s="20"/>
      <c r="H2124" s="217"/>
    </row>
    <row r="2125" spans="1:8" ht="15">
      <c r="A2125" s="211" t="s">
        <v>491</v>
      </c>
      <c r="B2125" s="216" t="str">
        <f ca="1">_xlfn.CONCAT(B2116,A2125)</f>
        <v>185615BA-H</v>
      </c>
      <c r="C2125" s="17"/>
      <c r="D2125" s="184"/>
      <c r="E2125" s="197"/>
      <c r="F2125" s="19"/>
      <c r="G2125" s="20"/>
      <c r="H2125" s="217"/>
    </row>
    <row r="2126" spans="1:8" ht="15">
      <c r="A2126" s="211" t="s">
        <v>492</v>
      </c>
      <c r="B2126" s="216" t="str">
        <f ca="1">_xlfn.CONCAT(B2116,A2126)</f>
        <v>185615BA-I</v>
      </c>
      <c r="C2126" s="17"/>
      <c r="D2126" s="184"/>
      <c r="E2126" s="197"/>
      <c r="F2126" s="19"/>
      <c r="G2126" s="20"/>
      <c r="H2126" s="217"/>
    </row>
    <row r="2127" spans="1:8" ht="15">
      <c r="A2127" s="211" t="s">
        <v>493</v>
      </c>
      <c r="B2127" s="216" t="str">
        <f ca="1">_xlfn.CONCAT(B2116,A2127)</f>
        <v>185615BA-J</v>
      </c>
      <c r="C2127" s="17"/>
      <c r="D2127" s="184"/>
      <c r="E2127" s="197"/>
      <c r="F2127" s="19"/>
      <c r="G2127" s="20"/>
      <c r="H2127" s="217"/>
    </row>
    <row r="2128" spans="1:8" ht="15">
      <c r="A2128" s="211" t="s">
        <v>494</v>
      </c>
      <c r="B2128" s="216" t="str">
        <f ca="1">_xlfn.CONCAT(B2116,A2128)</f>
        <v>185615BA-K</v>
      </c>
      <c r="C2128" s="17"/>
      <c r="D2128" s="184"/>
      <c r="E2128" s="197"/>
      <c r="F2128" s="19"/>
      <c r="G2128" s="20"/>
      <c r="H2128" s="217"/>
    </row>
    <row r="2129" spans="1:8" ht="15">
      <c r="A2129" s="211" t="s">
        <v>495</v>
      </c>
      <c r="B2129" s="216" t="str">
        <f ca="1">_xlfn.CONCAT(B2116,A2129)</f>
        <v>185615BA-L</v>
      </c>
      <c r="C2129" s="17"/>
      <c r="D2129" s="184"/>
      <c r="E2129" s="197"/>
      <c r="F2129" s="19"/>
      <c r="G2129" s="20"/>
      <c r="H2129" s="217"/>
    </row>
    <row r="2130" spans="1:8" ht="15">
      <c r="A2130" s="211" t="s">
        <v>496</v>
      </c>
      <c r="B2130" s="216" t="str">
        <f ca="1">_xlfn.CONCAT(B2116,A2130)</f>
        <v>185615BA-M</v>
      </c>
      <c r="C2130" s="17"/>
      <c r="D2130" s="184"/>
      <c r="E2130" s="197"/>
      <c r="F2130" s="19"/>
      <c r="G2130" s="20"/>
      <c r="H2130" s="217"/>
    </row>
    <row r="2131" spans="1:8">
      <c r="A2131" s="211" t="s">
        <v>497</v>
      </c>
      <c r="B2131" s="216" t="str">
        <f ca="1">_xlfn.CONCAT(B2116,A2131)</f>
        <v>185615BA-N</v>
      </c>
      <c r="C2131" s="17"/>
      <c r="D2131" s="184"/>
      <c r="E2131" s="197"/>
      <c r="F2131" s="19"/>
      <c r="G2131" s="20"/>
    </row>
    <row r="2132" spans="1:8">
      <c r="A2132" s="211" t="s">
        <v>498</v>
      </c>
      <c r="B2132" s="216" t="str">
        <f ca="1">_xlfn.CONCAT(B2116,A2132)</f>
        <v>185615BA-O</v>
      </c>
      <c r="C2132" s="17"/>
      <c r="D2132" s="184"/>
      <c r="E2132" s="197"/>
      <c r="F2132" s="19"/>
      <c r="G2132" s="20"/>
    </row>
    <row r="2133" spans="1:8">
      <c r="A2133" s="211" t="s">
        <v>499</v>
      </c>
      <c r="B2133" s="216" t="str">
        <f ca="1">_xlfn.CONCAT(B2116,A2133)</f>
        <v>185615BA-P</v>
      </c>
      <c r="C2133" s="17"/>
      <c r="D2133" s="184"/>
      <c r="E2133" s="197"/>
      <c r="F2133" s="19"/>
      <c r="G2133" s="20"/>
    </row>
    <row r="2134" spans="1:8">
      <c r="A2134" s="211" t="s">
        <v>500</v>
      </c>
      <c r="B2134" s="216" t="str">
        <f ca="1">_xlfn.CONCAT(B2116,A2134)</f>
        <v>185615BA-Q</v>
      </c>
      <c r="C2134" s="17"/>
      <c r="D2134" s="184"/>
      <c r="E2134" s="197"/>
      <c r="F2134" s="19"/>
      <c r="G2134" s="20"/>
    </row>
    <row r="2135" spans="1:8">
      <c r="A2135" s="211" t="s">
        <v>501</v>
      </c>
      <c r="B2135" s="216" t="str">
        <f ca="1">_xlfn.CONCAT(B2116,A2135)</f>
        <v>185615BA-R</v>
      </c>
      <c r="C2135" s="17"/>
      <c r="D2135" s="184"/>
      <c r="E2135" s="197"/>
      <c r="F2135" s="19"/>
      <c r="G2135" s="20"/>
    </row>
    <row r="2136" spans="1:8">
      <c r="A2136" s="211" t="s">
        <v>502</v>
      </c>
      <c r="B2136" s="216" t="str">
        <f ca="1">_xlfn.CONCAT(B2116,A2136)</f>
        <v>185615BA-S</v>
      </c>
      <c r="C2136" s="17"/>
      <c r="D2136" s="184"/>
      <c r="E2136" s="197"/>
      <c r="F2136" s="19"/>
      <c r="G2136" s="20"/>
    </row>
    <row r="2137" spans="1:8">
      <c r="A2137" s="211" t="s">
        <v>503</v>
      </c>
      <c r="B2137" s="216" t="str">
        <f ca="1">_xlfn.CONCAT(B2116,A2137)</f>
        <v>185615BA-T</v>
      </c>
      <c r="C2137" s="17"/>
      <c r="D2137" s="184"/>
      <c r="E2137" s="197"/>
      <c r="F2137" s="19"/>
      <c r="G2137" s="20"/>
    </row>
    <row r="2138" spans="1:8" ht="14.25" thickBot="1">
      <c r="A2138" s="211" t="s">
        <v>504</v>
      </c>
      <c r="B2138" s="216" t="str">
        <f ca="1">_xlfn.CONCAT(B2116,A2138)</f>
        <v>185615BA-U</v>
      </c>
      <c r="C2138" s="17"/>
      <c r="D2138" s="184"/>
      <c r="E2138" s="197"/>
      <c r="F2138" s="19"/>
      <c r="G2138" s="20"/>
    </row>
    <row r="2139" spans="1:8" ht="16.5" customHeight="1" thickBot="1">
      <c r="A2139" s="211" t="s">
        <v>505</v>
      </c>
      <c r="B2139" s="216" t="str">
        <f ca="1">_xlfn.CONCAT(B2116,A2139)</f>
        <v>185615BA-V</v>
      </c>
      <c r="C2139" s="17" t="s">
        <v>17</v>
      </c>
      <c r="D2139" s="192" t="s">
        <v>17</v>
      </c>
      <c r="E2139" s="18"/>
      <c r="F2139" s="22" t="s">
        <v>18</v>
      </c>
      <c r="G2139" s="23">
        <f>SUM(G2118:G2138)</f>
        <v>9100</v>
      </c>
    </row>
    <row r="2140" spans="1:8" ht="28.5" customHeight="1" thickBot="1">
      <c r="A2140" s="211" t="s">
        <v>506</v>
      </c>
      <c r="B2140" s="216" t="str">
        <f ca="1">_xlfn.CONCAT(B2116,A2140)</f>
        <v>185615BA-W</v>
      </c>
      <c r="C2140" s="10" t="s">
        <v>19</v>
      </c>
      <c r="D2140" s="190"/>
      <c r="E2140" s="11"/>
      <c r="F2140" s="12"/>
      <c r="G2140" s="13"/>
    </row>
    <row r="2141" spans="1:8" s="47" customFormat="1" ht="23.25" customHeight="1" thickBot="1">
      <c r="A2141" s="211" t="s">
        <v>507</v>
      </c>
      <c r="B2141" s="216" t="str">
        <f ca="1">_xlfn.CONCAT(B2116,A2141)</f>
        <v>185615BA-X</v>
      </c>
      <c r="C2141" s="14" t="s">
        <v>1</v>
      </c>
      <c r="D2141" s="15"/>
      <c r="E2141" s="15" t="s">
        <v>20</v>
      </c>
      <c r="F2141" s="16" t="s">
        <v>21</v>
      </c>
      <c r="G2141" s="15" t="s">
        <v>5</v>
      </c>
      <c r="H2141" s="215"/>
    </row>
    <row r="2142" spans="1:8">
      <c r="A2142" s="211" t="s">
        <v>508</v>
      </c>
      <c r="B2142" s="216" t="str">
        <f ca="1">_xlfn.CONCAT(B2116,A2142)</f>
        <v>185615BA-Y</v>
      </c>
      <c r="C2142" s="24" t="s">
        <v>22</v>
      </c>
      <c r="D2142" s="184"/>
      <c r="E2142" s="25">
        <f>_xlfn.XLOOKUP(C2142,'H-MO'!B$7:B$30,'H-MO'!D$7:D$30,,0,1)</f>
        <v>2436.5624999999995</v>
      </c>
      <c r="F2142" s="19">
        <v>0.04</v>
      </c>
      <c r="G2142" s="33">
        <f t="shared" ref="G2142:G2147" si="65">+E2142*F2142</f>
        <v>97.462499999999977</v>
      </c>
    </row>
    <row r="2143" spans="1:8">
      <c r="A2143" s="211" t="s">
        <v>509</v>
      </c>
      <c r="B2143" s="216" t="str">
        <f ca="1">_xlfn.CONCAT(B2116,A2143)</f>
        <v>185615BA-Z</v>
      </c>
      <c r="C2143" s="24" t="s">
        <v>23</v>
      </c>
      <c r="D2143" s="184"/>
      <c r="E2143" s="25">
        <f>_xlfn.XLOOKUP(C2143,'H-MO'!B$7:B$30,'H-MO'!D$7:D$30,,0,1)</f>
        <v>1461.9374999999998</v>
      </c>
      <c r="F2143" s="19">
        <v>0.03</v>
      </c>
      <c r="G2143" s="33">
        <f t="shared" si="65"/>
        <v>43.858124999999994</v>
      </c>
    </row>
    <row r="2144" spans="1:8">
      <c r="A2144" s="211" t="s">
        <v>510</v>
      </c>
      <c r="B2144" s="216" t="str">
        <f ca="1">_xlfn.CONCAT(B2116,A2144)</f>
        <v>185615BA-aa</v>
      </c>
      <c r="C2144" s="24" t="s">
        <v>24</v>
      </c>
      <c r="D2144" s="185"/>
      <c r="E2144" s="25">
        <f>_xlfn.XLOOKUP(C2144,'H-MO'!B$7:B$30,'H-MO'!D$7:D$30,,0,1)</f>
        <v>29238.749999999996</v>
      </c>
      <c r="F2144" s="28">
        <v>7.0000000000000001E-3</v>
      </c>
      <c r="G2144" s="33">
        <f t="shared" si="65"/>
        <v>204.67124999999999</v>
      </c>
    </row>
    <row r="2145" spans="1:8">
      <c r="A2145" s="211" t="s">
        <v>511</v>
      </c>
      <c r="B2145" s="216" t="str">
        <f ca="1">_xlfn.CONCAT(B2116,A2145)</f>
        <v>185615BA-ab</v>
      </c>
      <c r="C2145" s="24" t="s">
        <v>25</v>
      </c>
      <c r="D2145" s="185"/>
      <c r="E2145" s="25">
        <f>_xlfn.XLOOKUP(C2145,'H-MO'!B$7:B$30,'H-MO'!D$7:D$30,,0,1)</f>
        <v>2761.4374999999995</v>
      </c>
      <c r="F2145" s="28">
        <v>0.05</v>
      </c>
      <c r="G2145" s="33">
        <f t="shared" si="65"/>
        <v>138.07187499999998</v>
      </c>
    </row>
    <row r="2146" spans="1:8">
      <c r="A2146" s="211" t="s">
        <v>512</v>
      </c>
      <c r="B2146" s="216" t="str">
        <f ca="1">_xlfn.CONCAT(B2116,A2146)</f>
        <v>185615BA-ac</v>
      </c>
      <c r="C2146" s="24"/>
      <c r="D2146" s="185"/>
      <c r="E2146" s="29"/>
      <c r="F2146" s="28"/>
      <c r="G2146" s="33">
        <f t="shared" si="65"/>
        <v>0</v>
      </c>
    </row>
    <row r="2147" spans="1:8" ht="14.25" thickBot="1">
      <c r="A2147" s="211" t="s">
        <v>513</v>
      </c>
      <c r="B2147" s="216" t="str">
        <f ca="1">_xlfn.CONCAT(B2116,A2147)</f>
        <v>185615BA-ad</v>
      </c>
      <c r="C2147" s="24"/>
      <c r="D2147" s="185"/>
      <c r="E2147" s="29"/>
      <c r="F2147" s="28"/>
      <c r="G2147" s="33">
        <f t="shared" si="65"/>
        <v>0</v>
      </c>
    </row>
    <row r="2148" spans="1:8" ht="16.5" customHeight="1" thickBot="1">
      <c r="A2148" s="211" t="s">
        <v>514</v>
      </c>
      <c r="B2148" s="216" t="str">
        <f ca="1">_xlfn.CONCAT(B2116,A2148)</f>
        <v>185615BA-ae</v>
      </c>
      <c r="C2148" s="17"/>
      <c r="D2148" s="192"/>
      <c r="E2148" s="18"/>
      <c r="F2148" s="22" t="s">
        <v>26</v>
      </c>
      <c r="G2148" s="23">
        <f>SUM(G2142:G2147)</f>
        <v>484.06374999999991</v>
      </c>
    </row>
    <row r="2149" spans="1:8" ht="28.5" customHeight="1" thickBot="1">
      <c r="A2149" s="211" t="s">
        <v>515</v>
      </c>
      <c r="B2149" s="216" t="str">
        <f ca="1">_xlfn.CONCAT(B2116,A2149)</f>
        <v>185615BA-af</v>
      </c>
      <c r="C2149" s="10" t="s">
        <v>27</v>
      </c>
      <c r="D2149" s="190"/>
      <c r="E2149" s="11"/>
      <c r="F2149" s="12"/>
      <c r="G2149" s="13"/>
    </row>
    <row r="2150" spans="1:8" s="47" customFormat="1" ht="23.25" customHeight="1" thickBot="1">
      <c r="A2150" s="211" t="s">
        <v>516</v>
      </c>
      <c r="B2150" s="216" t="str">
        <f ca="1">_xlfn.CONCAT(B2116,A2150)</f>
        <v>185615BA-ag</v>
      </c>
      <c r="C2150" s="14" t="s">
        <v>1</v>
      </c>
      <c r="D2150" s="15" t="s">
        <v>28</v>
      </c>
      <c r="E2150" s="15" t="s">
        <v>20</v>
      </c>
      <c r="F2150" s="16" t="s">
        <v>21</v>
      </c>
      <c r="G2150" s="15" t="s">
        <v>5</v>
      </c>
      <c r="H2150" s="215"/>
    </row>
    <row r="2151" spans="1:8">
      <c r="A2151" s="211" t="s">
        <v>517</v>
      </c>
      <c r="B2151" s="216" t="str">
        <f ca="1">_xlfn.CONCAT(B2116,A2151)</f>
        <v>185615BA-ah</v>
      </c>
      <c r="C2151" s="30" t="s">
        <v>29</v>
      </c>
      <c r="D2151" s="186">
        <f>'H-MO'!$N$77</f>
        <v>725918.52892505517</v>
      </c>
      <c r="E2151" s="31">
        <f>+D2151/8</f>
        <v>90739.816115631897</v>
      </c>
      <c r="F2151" s="32">
        <v>0.06</v>
      </c>
      <c r="G2151" s="33">
        <f>+E2151*F2151</f>
        <v>5444.3889669379132</v>
      </c>
    </row>
    <row r="2152" spans="1:8">
      <c r="A2152" s="211" t="s">
        <v>518</v>
      </c>
      <c r="B2152" s="216" t="str">
        <f ca="1">_xlfn.CONCAT(B2116,A2152)</f>
        <v>185615BA-ai</v>
      </c>
      <c r="C2152" s="34" t="s">
        <v>30</v>
      </c>
      <c r="D2152" s="187">
        <f>'H-MO'!$N$86</f>
        <v>685561.39085756091</v>
      </c>
      <c r="E2152" s="29">
        <f>+D2152/8</f>
        <v>85695.173857195114</v>
      </c>
      <c r="F2152" s="28">
        <v>0</v>
      </c>
      <c r="G2152" s="33">
        <f>+E2152*F2152</f>
        <v>0</v>
      </c>
    </row>
    <row r="2153" spans="1:8" ht="14.25" thickBot="1">
      <c r="A2153" s="211" t="s">
        <v>519</v>
      </c>
      <c r="B2153" s="216" t="str">
        <f ca="1">_xlfn.CONCAT(B2116,A2153)</f>
        <v>185615BA-aj</v>
      </c>
      <c r="C2153" s="34"/>
      <c r="D2153" s="187"/>
      <c r="E2153" s="29"/>
      <c r="F2153" s="28"/>
      <c r="G2153" s="33">
        <f>+E2153*F2153</f>
        <v>0</v>
      </c>
    </row>
    <row r="2154" spans="1:8" ht="17.25" customHeight="1" thickBot="1">
      <c r="A2154" s="211" t="s">
        <v>520</v>
      </c>
      <c r="B2154" s="216" t="str">
        <f ca="1">_xlfn.CONCAT(B2116,A2154)</f>
        <v>185615BA-ak</v>
      </c>
      <c r="C2154" s="34"/>
      <c r="D2154" s="185"/>
      <c r="E2154" s="26"/>
      <c r="F2154" s="36" t="s">
        <v>31</v>
      </c>
      <c r="G2154" s="23">
        <f>SUM(G2151:G2153)</f>
        <v>5444.3889669379132</v>
      </c>
    </row>
    <row r="2155" spans="1:8" ht="14.25" thickBot="1">
      <c r="A2155" s="211" t="s">
        <v>521</v>
      </c>
      <c r="B2155" s="216" t="str">
        <f ca="1">_xlfn.CONCAT(B2116,A2155)</f>
        <v>185615BA-al</v>
      </c>
      <c r="C2155" s="37"/>
      <c r="E2155" s="38"/>
      <c r="F2155" s="22"/>
      <c r="G2155" s="39"/>
    </row>
    <row r="2156" spans="1:8" ht="23.25" customHeight="1" thickBot="1">
      <c r="A2156" s="211" t="s">
        <v>522</v>
      </c>
      <c r="B2156" s="216" t="str">
        <f ca="1">_xlfn.CONCAT(B2116,A2156)</f>
        <v>185615BA-am</v>
      </c>
      <c r="C2156" s="40"/>
      <c r="D2156" s="193"/>
      <c r="E2156" s="41"/>
      <c r="F2156" s="42"/>
      <c r="G2156" s="43">
        <f>+G2139+G2148+G2154</f>
        <v>15028.452716937913</v>
      </c>
    </row>
    <row r="2157" spans="1:8" ht="21.75" thickBot="1">
      <c r="B2157" s="212" t="s">
        <v>550</v>
      </c>
      <c r="C2157" s="2"/>
      <c r="D2157" s="183"/>
      <c r="F2157" s="4"/>
      <c r="G2157" s="5"/>
    </row>
    <row r="2158" spans="1:8" s="45" customFormat="1" ht="34.5" customHeight="1">
      <c r="A2158" s="213"/>
      <c r="B2158" s="214">
        <v>50</v>
      </c>
      <c r="C2158" s="242" t="str">
        <f ca="1">_xlfn.XLOOKUP(B2158,Cantidades!$A$10:$A$314,Cantidades!$C$10:$C$314,,0,1)</f>
        <v>Suministro e instalación de tomacorriente doble monofásica polo a tierra GFCI. Incluye aparato y demás accesorios para su correcta instalación,  fincionamiento y señalización.</v>
      </c>
      <c r="D2158" s="243"/>
      <c r="E2158" s="243"/>
      <c r="F2158" s="243"/>
      <c r="G2158" s="244"/>
      <c r="H2158" s="213"/>
    </row>
    <row r="2159" spans="1:8" s="47" customFormat="1" ht="24.95" customHeight="1" thickBot="1">
      <c r="A2159" s="215"/>
      <c r="B2159" s="216" t="s">
        <v>550</v>
      </c>
      <c r="C2159" s="177"/>
      <c r="D2159" s="189"/>
      <c r="E2159" s="178"/>
      <c r="F2159" s="179" t="s">
        <v>636</v>
      </c>
      <c r="G2159" s="209" t="str">
        <f ca="1">B2160</f>
        <v>20D6EE03-</v>
      </c>
      <c r="H2159" s="215"/>
    </row>
    <row r="2160" spans="1:8" ht="28.5" customHeight="1" thickBot="1">
      <c r="B2160" s="212" t="str">
        <f ca="1">_xlfn.XLOOKUP(C2158,Cantidades!$C$1:$C$314,Cantidades!$B$1:$B$314,"",0,1)</f>
        <v>20D6EE03-</v>
      </c>
      <c r="C2160" s="10" t="s">
        <v>0</v>
      </c>
      <c r="D2160" s="190"/>
      <c r="E2160" s="11"/>
      <c r="F2160" s="12"/>
      <c r="G2160" s="13"/>
    </row>
    <row r="2161" spans="1:8" s="47" customFormat="1" ht="23.25" customHeight="1" thickBot="1">
      <c r="A2161" s="215"/>
      <c r="B2161" s="216" t="s">
        <v>550</v>
      </c>
      <c r="C2161" s="14" t="s">
        <v>1</v>
      </c>
      <c r="D2161" s="15" t="s">
        <v>2</v>
      </c>
      <c r="E2161" s="15" t="s">
        <v>3</v>
      </c>
      <c r="F2161" s="16" t="s">
        <v>4</v>
      </c>
      <c r="G2161" s="15" t="s">
        <v>5</v>
      </c>
      <c r="H2161" s="215"/>
    </row>
    <row r="2162" spans="1:8" ht="15">
      <c r="A2162" s="211" t="s">
        <v>484</v>
      </c>
      <c r="B2162" s="216" t="str">
        <f ca="1">_xlfn.CONCAT(B2160,A2162)</f>
        <v>20D6EE03-A</v>
      </c>
      <c r="C2162" s="17" t="str">
        <f>_xlfn.XLOOKUP(H2162,'Materiales unitario'!$A$1:$A$2500,'Materiales unitario'!B$1:B$2500,,0,1)</f>
        <v>Toma doble Genesis GFCI</v>
      </c>
      <c r="D2162" s="184" t="str">
        <f>_xlfn.XLOOKUP(H2162,'Materiales unitario'!A$1:A$2500,'Materiales unitario'!C$1:C$2500,,0,1)</f>
        <v>un</v>
      </c>
      <c r="E2162" s="197">
        <f>_xlfn.XLOOKUP(H2162,'Materiales unitario'!$A$1:$A$2500,'Materiales unitario'!D$1:D$2500,,0,1)</f>
        <v>58000</v>
      </c>
      <c r="F2162" s="19">
        <v>1</v>
      </c>
      <c r="G2162" s="20">
        <f>+E2162*F2162</f>
        <v>58000</v>
      </c>
      <c r="H2162" s="217" t="s">
        <v>665</v>
      </c>
    </row>
    <row r="2163" spans="1:8" ht="15">
      <c r="A2163" s="211" t="s">
        <v>485</v>
      </c>
      <c r="B2163" s="216" t="str">
        <f ca="1">_xlfn.CONCAT(B2160,A2163)</f>
        <v>20D6EE03-B</v>
      </c>
      <c r="C2163" s="17" t="str">
        <f>_xlfn.XLOOKUP(H2163,'Materiales unitario'!$A$1:$A$2500,'Materiales unitario'!B$1:B$2500,,0,1)</f>
        <v>Marquillas para circuito</v>
      </c>
      <c r="D2163" s="184" t="str">
        <f>_xlfn.XLOOKUP(H2163,'Materiales unitario'!A$1:A$2500,'Materiales unitario'!C$1:C$2500,,0,1)</f>
        <v>un</v>
      </c>
      <c r="E2163" s="197">
        <f>_xlfn.XLOOKUP(H2163,'Materiales unitario'!$A$1:$A$2500,'Materiales unitario'!D$1:D$2500,,0,1)</f>
        <v>1000</v>
      </c>
      <c r="F2163" s="19">
        <v>1</v>
      </c>
      <c r="G2163" s="20">
        <f>+E2163*F2163</f>
        <v>1000</v>
      </c>
      <c r="H2163" s="217" t="s">
        <v>339</v>
      </c>
    </row>
    <row r="2164" spans="1:8" ht="15">
      <c r="A2164" s="211" t="s">
        <v>486</v>
      </c>
      <c r="B2164" s="216" t="str">
        <f ca="1">_xlfn.CONCAT(B2160,A2164)</f>
        <v>20D6EE03-C</v>
      </c>
      <c r="C2164" s="17"/>
      <c r="D2164" s="184"/>
      <c r="E2164" s="197"/>
      <c r="F2164" s="19"/>
      <c r="G2164" s="20"/>
      <c r="H2164" s="217"/>
    </row>
    <row r="2165" spans="1:8" ht="15">
      <c r="A2165" s="211" t="s">
        <v>487</v>
      </c>
      <c r="B2165" s="216" t="str">
        <f ca="1">_xlfn.CONCAT(B2160,A2165)</f>
        <v>20D6EE03-D</v>
      </c>
      <c r="C2165" s="17"/>
      <c r="D2165" s="184"/>
      <c r="E2165" s="197"/>
      <c r="F2165" s="19"/>
      <c r="G2165" s="20"/>
      <c r="H2165" s="217"/>
    </row>
    <row r="2166" spans="1:8" ht="15">
      <c r="A2166" s="211" t="s">
        <v>488</v>
      </c>
      <c r="B2166" s="216" t="str">
        <f ca="1">_xlfn.CONCAT(B2160,A2166)</f>
        <v>20D6EE03-E</v>
      </c>
      <c r="C2166" s="17"/>
      <c r="D2166" s="184"/>
      <c r="E2166" s="197"/>
      <c r="F2166" s="19"/>
      <c r="G2166" s="20"/>
      <c r="H2166" s="217"/>
    </row>
    <row r="2167" spans="1:8" ht="15">
      <c r="A2167" s="211" t="s">
        <v>489</v>
      </c>
      <c r="B2167" s="216" t="str">
        <f ca="1">_xlfn.CONCAT(B2160,A2167)</f>
        <v>20D6EE03-F</v>
      </c>
      <c r="C2167" s="17"/>
      <c r="D2167" s="184"/>
      <c r="E2167" s="197"/>
      <c r="F2167" s="19"/>
      <c r="G2167" s="20"/>
      <c r="H2167" s="217"/>
    </row>
    <row r="2168" spans="1:8" ht="15">
      <c r="A2168" s="211" t="s">
        <v>490</v>
      </c>
      <c r="B2168" s="216" t="str">
        <f ca="1">_xlfn.CONCAT(B2160,A2168)</f>
        <v>20D6EE03-G</v>
      </c>
      <c r="C2168" s="17"/>
      <c r="D2168" s="184"/>
      <c r="E2168" s="197"/>
      <c r="F2168" s="19"/>
      <c r="G2168" s="20"/>
      <c r="H2168" s="217"/>
    </row>
    <row r="2169" spans="1:8" ht="15">
      <c r="A2169" s="211" t="s">
        <v>491</v>
      </c>
      <c r="B2169" s="216" t="str">
        <f ca="1">_xlfn.CONCAT(B2160,A2169)</f>
        <v>20D6EE03-H</v>
      </c>
      <c r="C2169" s="17"/>
      <c r="D2169" s="184"/>
      <c r="E2169" s="197"/>
      <c r="F2169" s="19"/>
      <c r="G2169" s="20"/>
      <c r="H2169" s="217"/>
    </row>
    <row r="2170" spans="1:8" ht="15">
      <c r="A2170" s="211" t="s">
        <v>492</v>
      </c>
      <c r="B2170" s="216" t="str">
        <f ca="1">_xlfn.CONCAT(B2160,A2170)</f>
        <v>20D6EE03-I</v>
      </c>
      <c r="C2170" s="17"/>
      <c r="D2170" s="184"/>
      <c r="E2170" s="197"/>
      <c r="F2170" s="19"/>
      <c r="G2170" s="20"/>
      <c r="H2170" s="217"/>
    </row>
    <row r="2171" spans="1:8" ht="15">
      <c r="A2171" s="211" t="s">
        <v>493</v>
      </c>
      <c r="B2171" s="216" t="str">
        <f ca="1">_xlfn.CONCAT(B2160,A2171)</f>
        <v>20D6EE03-J</v>
      </c>
      <c r="C2171" s="17"/>
      <c r="D2171" s="184"/>
      <c r="E2171" s="197"/>
      <c r="F2171" s="19"/>
      <c r="G2171" s="20"/>
      <c r="H2171" s="217"/>
    </row>
    <row r="2172" spans="1:8" ht="15">
      <c r="A2172" s="211" t="s">
        <v>494</v>
      </c>
      <c r="B2172" s="216" t="str">
        <f ca="1">_xlfn.CONCAT(B2160,A2172)</f>
        <v>20D6EE03-K</v>
      </c>
      <c r="C2172" s="17"/>
      <c r="D2172" s="184"/>
      <c r="E2172" s="197"/>
      <c r="F2172" s="19"/>
      <c r="G2172" s="20"/>
      <c r="H2172" s="217"/>
    </row>
    <row r="2173" spans="1:8" ht="15">
      <c r="A2173" s="211" t="s">
        <v>495</v>
      </c>
      <c r="B2173" s="216" t="str">
        <f ca="1">_xlfn.CONCAT(B2160,A2173)</f>
        <v>20D6EE03-L</v>
      </c>
      <c r="C2173" s="17"/>
      <c r="D2173" s="184"/>
      <c r="E2173" s="197"/>
      <c r="F2173" s="19"/>
      <c r="G2173" s="20"/>
      <c r="H2173" s="217"/>
    </row>
    <row r="2174" spans="1:8" ht="15">
      <c r="A2174" s="211" t="s">
        <v>496</v>
      </c>
      <c r="B2174" s="216" t="str">
        <f ca="1">_xlfn.CONCAT(B2160,A2174)</f>
        <v>20D6EE03-M</v>
      </c>
      <c r="C2174" s="17"/>
      <c r="D2174" s="184"/>
      <c r="E2174" s="197"/>
      <c r="F2174" s="19"/>
      <c r="G2174" s="20"/>
      <c r="H2174" s="217"/>
    </row>
    <row r="2175" spans="1:8">
      <c r="A2175" s="211" t="s">
        <v>497</v>
      </c>
      <c r="B2175" s="216" t="str">
        <f ca="1">_xlfn.CONCAT(B2160,A2175)</f>
        <v>20D6EE03-N</v>
      </c>
      <c r="C2175" s="17"/>
      <c r="D2175" s="184"/>
      <c r="E2175" s="197"/>
      <c r="F2175" s="19"/>
      <c r="G2175" s="20"/>
    </row>
    <row r="2176" spans="1:8">
      <c r="A2176" s="211" t="s">
        <v>498</v>
      </c>
      <c r="B2176" s="216" t="str">
        <f ca="1">_xlfn.CONCAT(B2160,A2176)</f>
        <v>20D6EE03-O</v>
      </c>
      <c r="C2176" s="17"/>
      <c r="D2176" s="184"/>
      <c r="E2176" s="197"/>
      <c r="F2176" s="19"/>
      <c r="G2176" s="20"/>
    </row>
    <row r="2177" spans="1:8">
      <c r="A2177" s="211" t="s">
        <v>499</v>
      </c>
      <c r="B2177" s="216" t="str">
        <f ca="1">_xlfn.CONCAT(B2160,A2177)</f>
        <v>20D6EE03-P</v>
      </c>
      <c r="C2177" s="17"/>
      <c r="D2177" s="184"/>
      <c r="E2177" s="197"/>
      <c r="F2177" s="19"/>
      <c r="G2177" s="20"/>
    </row>
    <row r="2178" spans="1:8">
      <c r="A2178" s="211" t="s">
        <v>500</v>
      </c>
      <c r="B2178" s="216" t="str">
        <f ca="1">_xlfn.CONCAT(B2160,A2178)</f>
        <v>20D6EE03-Q</v>
      </c>
      <c r="C2178" s="17"/>
      <c r="D2178" s="184"/>
      <c r="E2178" s="197"/>
      <c r="F2178" s="19"/>
      <c r="G2178" s="20"/>
    </row>
    <row r="2179" spans="1:8">
      <c r="A2179" s="211" t="s">
        <v>501</v>
      </c>
      <c r="B2179" s="216" t="str">
        <f ca="1">_xlfn.CONCAT(B2160,A2179)</f>
        <v>20D6EE03-R</v>
      </c>
      <c r="C2179" s="17"/>
      <c r="D2179" s="184"/>
      <c r="E2179" s="197"/>
      <c r="F2179" s="19"/>
      <c r="G2179" s="20"/>
    </row>
    <row r="2180" spans="1:8">
      <c r="A2180" s="211" t="s">
        <v>502</v>
      </c>
      <c r="B2180" s="216" t="str">
        <f ca="1">_xlfn.CONCAT(B2160,A2180)</f>
        <v>20D6EE03-S</v>
      </c>
      <c r="C2180" s="17"/>
      <c r="D2180" s="184"/>
      <c r="E2180" s="197"/>
      <c r="F2180" s="19"/>
      <c r="G2180" s="20"/>
    </row>
    <row r="2181" spans="1:8">
      <c r="A2181" s="211" t="s">
        <v>503</v>
      </c>
      <c r="B2181" s="216" t="str">
        <f ca="1">_xlfn.CONCAT(B2160,A2181)</f>
        <v>20D6EE03-T</v>
      </c>
      <c r="C2181" s="17"/>
      <c r="D2181" s="184"/>
      <c r="E2181" s="197"/>
      <c r="F2181" s="19"/>
      <c r="G2181" s="20"/>
    </row>
    <row r="2182" spans="1:8" ht="14.25" thickBot="1">
      <c r="A2182" s="211" t="s">
        <v>504</v>
      </c>
      <c r="B2182" s="216" t="str">
        <f ca="1">_xlfn.CONCAT(B2160,A2182)</f>
        <v>20D6EE03-U</v>
      </c>
      <c r="C2182" s="17"/>
      <c r="D2182" s="184"/>
      <c r="E2182" s="197"/>
      <c r="F2182" s="19"/>
      <c r="G2182" s="20"/>
    </row>
    <row r="2183" spans="1:8" ht="16.5" customHeight="1" thickBot="1">
      <c r="A2183" s="211" t="s">
        <v>505</v>
      </c>
      <c r="B2183" s="216" t="str">
        <f ca="1">_xlfn.CONCAT(B2160,A2183)</f>
        <v>20D6EE03-V</v>
      </c>
      <c r="C2183" s="17" t="s">
        <v>17</v>
      </c>
      <c r="D2183" s="192" t="s">
        <v>17</v>
      </c>
      <c r="E2183" s="18"/>
      <c r="F2183" s="22" t="s">
        <v>18</v>
      </c>
      <c r="G2183" s="23">
        <f>SUM(G2162:G2182)</f>
        <v>59000</v>
      </c>
    </row>
    <row r="2184" spans="1:8" ht="28.5" customHeight="1" thickBot="1">
      <c r="A2184" s="211" t="s">
        <v>506</v>
      </c>
      <c r="B2184" s="216" t="str">
        <f ca="1">_xlfn.CONCAT(B2160,A2184)</f>
        <v>20D6EE03-W</v>
      </c>
      <c r="C2184" s="10" t="s">
        <v>19</v>
      </c>
      <c r="D2184" s="190"/>
      <c r="E2184" s="11"/>
      <c r="F2184" s="12"/>
      <c r="G2184" s="13"/>
    </row>
    <row r="2185" spans="1:8" s="47" customFormat="1" ht="23.25" customHeight="1" thickBot="1">
      <c r="A2185" s="211" t="s">
        <v>507</v>
      </c>
      <c r="B2185" s="216" t="str">
        <f ca="1">_xlfn.CONCAT(B2160,A2185)</f>
        <v>20D6EE03-X</v>
      </c>
      <c r="C2185" s="14" t="s">
        <v>1</v>
      </c>
      <c r="D2185" s="15"/>
      <c r="E2185" s="15" t="s">
        <v>20</v>
      </c>
      <c r="F2185" s="16" t="s">
        <v>21</v>
      </c>
      <c r="G2185" s="15" t="s">
        <v>5</v>
      </c>
      <c r="H2185" s="215"/>
    </row>
    <row r="2186" spans="1:8">
      <c r="A2186" s="211" t="s">
        <v>508</v>
      </c>
      <c r="B2186" s="216" t="str">
        <f ca="1">_xlfn.CONCAT(B2160,A2186)</f>
        <v>20D6EE03-Y</v>
      </c>
      <c r="C2186" s="24" t="s">
        <v>22</v>
      </c>
      <c r="D2186" s="184"/>
      <c r="E2186" s="25">
        <f>_xlfn.XLOOKUP(C2186,'H-MO'!B$7:B$30,'H-MO'!D$7:D$30,,0,1)</f>
        <v>2436.5624999999995</v>
      </c>
      <c r="F2186" s="19">
        <v>0.04</v>
      </c>
      <c r="G2186" s="33">
        <f t="shared" ref="G2186:G2191" si="66">+E2186*F2186</f>
        <v>97.462499999999977</v>
      </c>
    </row>
    <row r="2187" spans="1:8">
      <c r="A2187" s="211" t="s">
        <v>509</v>
      </c>
      <c r="B2187" s="216" t="str">
        <f ca="1">_xlfn.CONCAT(B2160,A2187)</f>
        <v>20D6EE03-Z</v>
      </c>
      <c r="C2187" s="24" t="s">
        <v>23</v>
      </c>
      <c r="D2187" s="184"/>
      <c r="E2187" s="25">
        <f>_xlfn.XLOOKUP(C2187,'H-MO'!B$7:B$30,'H-MO'!D$7:D$30,,0,1)</f>
        <v>1461.9374999999998</v>
      </c>
      <c r="F2187" s="19">
        <v>0.03</v>
      </c>
      <c r="G2187" s="33">
        <f t="shared" si="66"/>
        <v>43.858124999999994</v>
      </c>
    </row>
    <row r="2188" spans="1:8">
      <c r="A2188" s="211" t="s">
        <v>510</v>
      </c>
      <c r="B2188" s="216" t="str">
        <f ca="1">_xlfn.CONCAT(B2160,A2188)</f>
        <v>20D6EE03-aa</v>
      </c>
      <c r="C2188" s="24" t="s">
        <v>24</v>
      </c>
      <c r="D2188" s="185"/>
      <c r="E2188" s="25">
        <f>_xlfn.XLOOKUP(C2188,'H-MO'!B$7:B$30,'H-MO'!D$7:D$30,,0,1)</f>
        <v>29238.749999999996</v>
      </c>
      <c r="F2188" s="28">
        <v>7.0000000000000001E-3</v>
      </c>
      <c r="G2188" s="33">
        <f t="shared" si="66"/>
        <v>204.67124999999999</v>
      </c>
    </row>
    <row r="2189" spans="1:8">
      <c r="A2189" s="211" t="s">
        <v>511</v>
      </c>
      <c r="B2189" s="216" t="str">
        <f ca="1">_xlfn.CONCAT(B2160,A2189)</f>
        <v>20D6EE03-ab</v>
      </c>
      <c r="C2189" s="24" t="s">
        <v>25</v>
      </c>
      <c r="D2189" s="185"/>
      <c r="E2189" s="25">
        <f>_xlfn.XLOOKUP(C2189,'H-MO'!B$7:B$30,'H-MO'!D$7:D$30,,0,1)</f>
        <v>2761.4374999999995</v>
      </c>
      <c r="F2189" s="28">
        <v>0.05</v>
      </c>
      <c r="G2189" s="33">
        <f t="shared" si="66"/>
        <v>138.07187499999998</v>
      </c>
    </row>
    <row r="2190" spans="1:8">
      <c r="A2190" s="211" t="s">
        <v>512</v>
      </c>
      <c r="B2190" s="216" t="str">
        <f ca="1">_xlfn.CONCAT(B2160,A2190)</f>
        <v>20D6EE03-ac</v>
      </c>
      <c r="C2190" s="24"/>
      <c r="D2190" s="185"/>
      <c r="E2190" s="29"/>
      <c r="F2190" s="28"/>
      <c r="G2190" s="33">
        <f t="shared" si="66"/>
        <v>0</v>
      </c>
    </row>
    <row r="2191" spans="1:8" ht="14.25" thickBot="1">
      <c r="A2191" s="211" t="s">
        <v>513</v>
      </c>
      <c r="B2191" s="216" t="str">
        <f ca="1">_xlfn.CONCAT(B2160,A2191)</f>
        <v>20D6EE03-ad</v>
      </c>
      <c r="C2191" s="24"/>
      <c r="D2191" s="185"/>
      <c r="E2191" s="29"/>
      <c r="F2191" s="28"/>
      <c r="G2191" s="33">
        <f t="shared" si="66"/>
        <v>0</v>
      </c>
    </row>
    <row r="2192" spans="1:8" ht="16.5" customHeight="1" thickBot="1">
      <c r="A2192" s="211" t="s">
        <v>514</v>
      </c>
      <c r="B2192" s="216" t="str">
        <f ca="1">_xlfn.CONCAT(B2160,A2192)</f>
        <v>20D6EE03-ae</v>
      </c>
      <c r="C2192" s="17"/>
      <c r="D2192" s="192"/>
      <c r="E2192" s="18"/>
      <c r="F2192" s="22" t="s">
        <v>26</v>
      </c>
      <c r="G2192" s="23">
        <f>SUM(G2186:G2191)</f>
        <v>484.06374999999991</v>
      </c>
    </row>
    <row r="2193" spans="1:8" ht="28.5" customHeight="1" thickBot="1">
      <c r="A2193" s="211" t="s">
        <v>515</v>
      </c>
      <c r="B2193" s="216" t="str">
        <f ca="1">_xlfn.CONCAT(B2160,A2193)</f>
        <v>20D6EE03-af</v>
      </c>
      <c r="C2193" s="10" t="s">
        <v>27</v>
      </c>
      <c r="D2193" s="190"/>
      <c r="E2193" s="11"/>
      <c r="F2193" s="12"/>
      <c r="G2193" s="13"/>
    </row>
    <row r="2194" spans="1:8" s="47" customFormat="1" ht="23.25" customHeight="1" thickBot="1">
      <c r="A2194" s="211" t="s">
        <v>516</v>
      </c>
      <c r="B2194" s="216" t="str">
        <f ca="1">_xlfn.CONCAT(B2160,A2194)</f>
        <v>20D6EE03-ag</v>
      </c>
      <c r="C2194" s="14" t="s">
        <v>1</v>
      </c>
      <c r="D2194" s="15" t="s">
        <v>28</v>
      </c>
      <c r="E2194" s="15" t="s">
        <v>20</v>
      </c>
      <c r="F2194" s="16" t="s">
        <v>21</v>
      </c>
      <c r="G2194" s="15" t="s">
        <v>5</v>
      </c>
      <c r="H2194" s="215"/>
    </row>
    <row r="2195" spans="1:8">
      <c r="A2195" s="211" t="s">
        <v>517</v>
      </c>
      <c r="B2195" s="216" t="str">
        <f ca="1">_xlfn.CONCAT(B2160,A2195)</f>
        <v>20D6EE03-ah</v>
      </c>
      <c r="C2195" s="30" t="s">
        <v>29</v>
      </c>
      <c r="D2195" s="186">
        <f>'H-MO'!$N$77</f>
        <v>725918.52892505517</v>
      </c>
      <c r="E2195" s="31">
        <f>+D2195/8</f>
        <v>90739.816115631897</v>
      </c>
      <c r="F2195" s="32">
        <v>6.5000000000000002E-2</v>
      </c>
      <c r="G2195" s="33">
        <f>+E2195*F2195</f>
        <v>5898.0880475160739</v>
      </c>
    </row>
    <row r="2196" spans="1:8">
      <c r="A2196" s="211" t="s">
        <v>518</v>
      </c>
      <c r="B2196" s="216" t="str">
        <f ca="1">_xlfn.CONCAT(B2160,A2196)</f>
        <v>20D6EE03-ai</v>
      </c>
      <c r="C2196" s="34" t="s">
        <v>30</v>
      </c>
      <c r="D2196" s="187">
        <f>'H-MO'!$N$86</f>
        <v>685561.39085756091</v>
      </c>
      <c r="E2196" s="29">
        <f>+D2196/8</f>
        <v>85695.173857195114</v>
      </c>
      <c r="F2196" s="28">
        <v>0</v>
      </c>
      <c r="G2196" s="33">
        <f>+E2196*F2196</f>
        <v>0</v>
      </c>
    </row>
    <row r="2197" spans="1:8" ht="14.25" thickBot="1">
      <c r="A2197" s="211" t="s">
        <v>519</v>
      </c>
      <c r="B2197" s="216" t="str">
        <f ca="1">_xlfn.CONCAT(B2160,A2197)</f>
        <v>20D6EE03-aj</v>
      </c>
      <c r="C2197" s="34"/>
      <c r="D2197" s="187"/>
      <c r="E2197" s="29"/>
      <c r="F2197" s="28"/>
      <c r="G2197" s="33">
        <f>+E2197*F2197</f>
        <v>0</v>
      </c>
    </row>
    <row r="2198" spans="1:8" ht="17.25" customHeight="1" thickBot="1">
      <c r="A2198" s="211" t="s">
        <v>520</v>
      </c>
      <c r="B2198" s="216" t="str">
        <f ca="1">_xlfn.CONCAT(B2160,A2198)</f>
        <v>20D6EE03-ak</v>
      </c>
      <c r="C2198" s="34"/>
      <c r="D2198" s="185"/>
      <c r="E2198" s="26"/>
      <c r="F2198" s="36" t="s">
        <v>31</v>
      </c>
      <c r="G2198" s="23">
        <f>SUM(G2195:G2197)</f>
        <v>5898.0880475160739</v>
      </c>
    </row>
    <row r="2199" spans="1:8" ht="14.25" thickBot="1">
      <c r="A2199" s="211" t="s">
        <v>521</v>
      </c>
      <c r="B2199" s="216" t="str">
        <f ca="1">_xlfn.CONCAT(B2160,A2199)</f>
        <v>20D6EE03-al</v>
      </c>
      <c r="C2199" s="37"/>
      <c r="E2199" s="38"/>
      <c r="F2199" s="22"/>
      <c r="G2199" s="39"/>
    </row>
    <row r="2200" spans="1:8" ht="23.25" customHeight="1" thickBot="1">
      <c r="A2200" s="211" t="s">
        <v>522</v>
      </c>
      <c r="B2200" s="216" t="str">
        <f ca="1">_xlfn.CONCAT(B2160,A2200)</f>
        <v>20D6EE03-am</v>
      </c>
      <c r="C2200" s="40"/>
      <c r="D2200" s="193"/>
      <c r="E2200" s="41"/>
      <c r="F2200" s="42"/>
      <c r="G2200" s="43">
        <f>+G2183+G2192+G2198</f>
        <v>65382.151797516075</v>
      </c>
    </row>
    <row r="2201" spans="1:8" ht="21.75" thickBot="1">
      <c r="B2201" s="212" t="s">
        <v>550</v>
      </c>
      <c r="C2201" s="2"/>
      <c r="D2201" s="183"/>
      <c r="F2201" s="4"/>
      <c r="G2201" s="5"/>
    </row>
    <row r="2202" spans="1:8" s="45" customFormat="1" ht="34.5" customHeight="1">
      <c r="A2202" s="213"/>
      <c r="B2202" s="214">
        <v>51</v>
      </c>
      <c r="C2202" s="242" t="str">
        <f ca="1">_xlfn.XLOOKUP(B2202,Cantidades!$A$10:$A$314,Cantidades!$C$10:$C$314,,0,1)</f>
        <v>Suministro e instalación de interruptor sencillo. Incluye aparato y demás accesorios para su correcta instalación,  fincionamiento y señalización.</v>
      </c>
      <c r="D2202" s="243"/>
      <c r="E2202" s="243"/>
      <c r="F2202" s="243"/>
      <c r="G2202" s="244"/>
      <c r="H2202" s="213"/>
    </row>
    <row r="2203" spans="1:8" s="47" customFormat="1" ht="24.95" customHeight="1" thickBot="1">
      <c r="A2203" s="215"/>
      <c r="B2203" s="216" t="s">
        <v>550</v>
      </c>
      <c r="C2203" s="177"/>
      <c r="D2203" s="189"/>
      <c r="E2203" s="178"/>
      <c r="F2203" s="179" t="s">
        <v>636</v>
      </c>
      <c r="G2203" s="209" t="str">
        <f ca="1">B2204</f>
        <v>107EDD33-</v>
      </c>
      <c r="H2203" s="215"/>
    </row>
    <row r="2204" spans="1:8" ht="28.5" customHeight="1" thickBot="1">
      <c r="B2204" s="212" t="str">
        <f ca="1">_xlfn.XLOOKUP(C2202,Cantidades!$C$1:$C$314,Cantidades!$B$1:$B$314,"",0,1)</f>
        <v>107EDD33-</v>
      </c>
      <c r="C2204" s="10" t="s">
        <v>0</v>
      </c>
      <c r="D2204" s="190"/>
      <c r="E2204" s="11"/>
      <c r="F2204" s="12"/>
      <c r="G2204" s="13"/>
    </row>
    <row r="2205" spans="1:8" s="47" customFormat="1" ht="23.25" customHeight="1" thickBot="1">
      <c r="A2205" s="215"/>
      <c r="B2205" s="216" t="s">
        <v>550</v>
      </c>
      <c r="C2205" s="14" t="s">
        <v>1</v>
      </c>
      <c r="D2205" s="15" t="s">
        <v>2</v>
      </c>
      <c r="E2205" s="15" t="s">
        <v>3</v>
      </c>
      <c r="F2205" s="16" t="s">
        <v>4</v>
      </c>
      <c r="G2205" s="15" t="s">
        <v>5</v>
      </c>
      <c r="H2205" s="215"/>
    </row>
    <row r="2206" spans="1:8" ht="15">
      <c r="A2206" s="211" t="s">
        <v>484</v>
      </c>
      <c r="B2206" s="216" t="str">
        <f ca="1">_xlfn.CONCAT(B2204,A2206)</f>
        <v>107EDD33-A</v>
      </c>
      <c r="C2206" s="17" t="str">
        <f>_xlfn.XLOOKUP(H2206,'Materiales unitario'!$A$1:$A$2500,'Materiales unitario'!B$1:B$2500,,0,1)</f>
        <v>Interruptor sencillo Genesis</v>
      </c>
      <c r="D2206" s="184" t="str">
        <f>_xlfn.XLOOKUP(H2206,'Materiales unitario'!A$1:A$2500,'Materiales unitario'!C$1:C$2500,,0,1)</f>
        <v>un</v>
      </c>
      <c r="E2206" s="197">
        <f>_xlfn.XLOOKUP(H2206,'Materiales unitario'!$A$1:$A$2500,'Materiales unitario'!D$1:D$2500,,0,1)</f>
        <v>6820</v>
      </c>
      <c r="F2206" s="19">
        <v>1</v>
      </c>
      <c r="G2206" s="20">
        <f>+E2206*F2206</f>
        <v>6820</v>
      </c>
      <c r="H2206" s="217" t="s">
        <v>670</v>
      </c>
    </row>
    <row r="2207" spans="1:8" ht="15">
      <c r="A2207" s="211" t="s">
        <v>485</v>
      </c>
      <c r="B2207" s="216" t="str">
        <f ca="1">_xlfn.CONCAT(B2204,A2207)</f>
        <v>107EDD33-B</v>
      </c>
      <c r="C2207" s="17" t="str">
        <f>_xlfn.XLOOKUP(H2207,'Materiales unitario'!$A$1:$A$2500,'Materiales unitario'!B$1:B$2500,,0,1)</f>
        <v>Marquillas para circuito</v>
      </c>
      <c r="D2207" s="184" t="str">
        <f>_xlfn.XLOOKUP(H2207,'Materiales unitario'!A$1:A$2500,'Materiales unitario'!C$1:C$2500,,0,1)</f>
        <v>un</v>
      </c>
      <c r="E2207" s="197">
        <f>_xlfn.XLOOKUP(H2207,'Materiales unitario'!$A$1:$A$2500,'Materiales unitario'!D$1:D$2500,,0,1)</f>
        <v>1000</v>
      </c>
      <c r="F2207" s="19">
        <v>1</v>
      </c>
      <c r="G2207" s="20">
        <f>+E2207*F2207</f>
        <v>1000</v>
      </c>
      <c r="H2207" s="217" t="s">
        <v>339</v>
      </c>
    </row>
    <row r="2208" spans="1:8" ht="15">
      <c r="A2208" s="211" t="s">
        <v>486</v>
      </c>
      <c r="B2208" s="216" t="str">
        <f ca="1">_xlfn.CONCAT(B2204,A2208)</f>
        <v>107EDD33-C</v>
      </c>
      <c r="C2208" s="17"/>
      <c r="D2208" s="184"/>
      <c r="E2208" s="197"/>
      <c r="F2208" s="19"/>
      <c r="G2208" s="20"/>
      <c r="H2208" s="217"/>
    </row>
    <row r="2209" spans="1:8" ht="15">
      <c r="A2209" s="211" t="s">
        <v>487</v>
      </c>
      <c r="B2209" s="216" t="str">
        <f ca="1">_xlfn.CONCAT(B2204,A2209)</f>
        <v>107EDD33-D</v>
      </c>
      <c r="C2209" s="17"/>
      <c r="D2209" s="184"/>
      <c r="E2209" s="197"/>
      <c r="F2209" s="19"/>
      <c r="G2209" s="20"/>
      <c r="H2209" s="217"/>
    </row>
    <row r="2210" spans="1:8" ht="15">
      <c r="A2210" s="211" t="s">
        <v>488</v>
      </c>
      <c r="B2210" s="216" t="str">
        <f ca="1">_xlfn.CONCAT(B2204,A2210)</f>
        <v>107EDD33-E</v>
      </c>
      <c r="C2210" s="17"/>
      <c r="D2210" s="184"/>
      <c r="E2210" s="197"/>
      <c r="F2210" s="19"/>
      <c r="G2210" s="20"/>
      <c r="H2210" s="217"/>
    </row>
    <row r="2211" spans="1:8" ht="15">
      <c r="A2211" s="211" t="s">
        <v>489</v>
      </c>
      <c r="B2211" s="216" t="str">
        <f ca="1">_xlfn.CONCAT(B2204,A2211)</f>
        <v>107EDD33-F</v>
      </c>
      <c r="C2211" s="17"/>
      <c r="D2211" s="184"/>
      <c r="E2211" s="197"/>
      <c r="F2211" s="19"/>
      <c r="G2211" s="20"/>
      <c r="H2211" s="217"/>
    </row>
    <row r="2212" spans="1:8" ht="15">
      <c r="A2212" s="211" t="s">
        <v>490</v>
      </c>
      <c r="B2212" s="216" t="str">
        <f ca="1">_xlfn.CONCAT(B2204,A2212)</f>
        <v>107EDD33-G</v>
      </c>
      <c r="C2212" s="17"/>
      <c r="D2212" s="184"/>
      <c r="E2212" s="197"/>
      <c r="F2212" s="19"/>
      <c r="G2212" s="20"/>
      <c r="H2212" s="217"/>
    </row>
    <row r="2213" spans="1:8" ht="15">
      <c r="A2213" s="211" t="s">
        <v>491</v>
      </c>
      <c r="B2213" s="216" t="str">
        <f ca="1">_xlfn.CONCAT(B2204,A2213)</f>
        <v>107EDD33-H</v>
      </c>
      <c r="C2213" s="17"/>
      <c r="D2213" s="184"/>
      <c r="E2213" s="197"/>
      <c r="F2213" s="19"/>
      <c r="G2213" s="20"/>
      <c r="H2213" s="217"/>
    </row>
    <row r="2214" spans="1:8" ht="15">
      <c r="A2214" s="211" t="s">
        <v>492</v>
      </c>
      <c r="B2214" s="216" t="str">
        <f ca="1">_xlfn.CONCAT(B2204,A2214)</f>
        <v>107EDD33-I</v>
      </c>
      <c r="C2214" s="17"/>
      <c r="D2214" s="184"/>
      <c r="E2214" s="197"/>
      <c r="F2214" s="19"/>
      <c r="G2214" s="20"/>
      <c r="H2214" s="217"/>
    </row>
    <row r="2215" spans="1:8" ht="15">
      <c r="A2215" s="211" t="s">
        <v>493</v>
      </c>
      <c r="B2215" s="216" t="str">
        <f ca="1">_xlfn.CONCAT(B2204,A2215)</f>
        <v>107EDD33-J</v>
      </c>
      <c r="C2215" s="17"/>
      <c r="D2215" s="184"/>
      <c r="E2215" s="197"/>
      <c r="F2215" s="19"/>
      <c r="G2215" s="20"/>
      <c r="H2215" s="217"/>
    </row>
    <row r="2216" spans="1:8" ht="15">
      <c r="A2216" s="211" t="s">
        <v>494</v>
      </c>
      <c r="B2216" s="216" t="str">
        <f ca="1">_xlfn.CONCAT(B2204,A2216)</f>
        <v>107EDD33-K</v>
      </c>
      <c r="C2216" s="17"/>
      <c r="D2216" s="184"/>
      <c r="E2216" s="197"/>
      <c r="F2216" s="19"/>
      <c r="G2216" s="20"/>
      <c r="H2216" s="217"/>
    </row>
    <row r="2217" spans="1:8" ht="15">
      <c r="A2217" s="211" t="s">
        <v>495</v>
      </c>
      <c r="B2217" s="216" t="str">
        <f ca="1">_xlfn.CONCAT(B2204,A2217)</f>
        <v>107EDD33-L</v>
      </c>
      <c r="C2217" s="17"/>
      <c r="D2217" s="184"/>
      <c r="E2217" s="197"/>
      <c r="F2217" s="19"/>
      <c r="G2217" s="20"/>
      <c r="H2217" s="217"/>
    </row>
    <row r="2218" spans="1:8" ht="15">
      <c r="A2218" s="211" t="s">
        <v>496</v>
      </c>
      <c r="B2218" s="216" t="str">
        <f ca="1">_xlfn.CONCAT(B2204,A2218)</f>
        <v>107EDD33-M</v>
      </c>
      <c r="C2218" s="17"/>
      <c r="D2218" s="184"/>
      <c r="E2218" s="197"/>
      <c r="F2218" s="19"/>
      <c r="G2218" s="20"/>
      <c r="H2218" s="217"/>
    </row>
    <row r="2219" spans="1:8">
      <c r="A2219" s="211" t="s">
        <v>497</v>
      </c>
      <c r="B2219" s="216" t="str">
        <f ca="1">_xlfn.CONCAT(B2204,A2219)</f>
        <v>107EDD33-N</v>
      </c>
      <c r="C2219" s="17"/>
      <c r="D2219" s="184"/>
      <c r="E2219" s="197"/>
      <c r="F2219" s="19"/>
      <c r="G2219" s="20"/>
    </row>
    <row r="2220" spans="1:8">
      <c r="A2220" s="211" t="s">
        <v>498</v>
      </c>
      <c r="B2220" s="216" t="str">
        <f ca="1">_xlfn.CONCAT(B2204,A2220)</f>
        <v>107EDD33-O</v>
      </c>
      <c r="C2220" s="17"/>
      <c r="D2220" s="184"/>
      <c r="E2220" s="197"/>
      <c r="F2220" s="19"/>
      <c r="G2220" s="20"/>
    </row>
    <row r="2221" spans="1:8">
      <c r="A2221" s="211" t="s">
        <v>499</v>
      </c>
      <c r="B2221" s="216" t="str">
        <f ca="1">_xlfn.CONCAT(B2204,A2221)</f>
        <v>107EDD33-P</v>
      </c>
      <c r="C2221" s="17"/>
      <c r="D2221" s="184"/>
      <c r="E2221" s="197"/>
      <c r="F2221" s="19"/>
      <c r="G2221" s="20"/>
    </row>
    <row r="2222" spans="1:8">
      <c r="A2222" s="211" t="s">
        <v>500</v>
      </c>
      <c r="B2222" s="216" t="str">
        <f ca="1">_xlfn.CONCAT(B2204,A2222)</f>
        <v>107EDD33-Q</v>
      </c>
      <c r="C2222" s="17"/>
      <c r="D2222" s="184"/>
      <c r="E2222" s="197"/>
      <c r="F2222" s="19"/>
      <c r="G2222" s="20"/>
    </row>
    <row r="2223" spans="1:8">
      <c r="A2223" s="211" t="s">
        <v>501</v>
      </c>
      <c r="B2223" s="216" t="str">
        <f ca="1">_xlfn.CONCAT(B2204,A2223)</f>
        <v>107EDD33-R</v>
      </c>
      <c r="C2223" s="17"/>
      <c r="D2223" s="184"/>
      <c r="E2223" s="197"/>
      <c r="F2223" s="19"/>
      <c r="G2223" s="20"/>
    </row>
    <row r="2224" spans="1:8">
      <c r="A2224" s="211" t="s">
        <v>502</v>
      </c>
      <c r="B2224" s="216" t="str">
        <f ca="1">_xlfn.CONCAT(B2204,A2224)</f>
        <v>107EDD33-S</v>
      </c>
      <c r="C2224" s="17"/>
      <c r="D2224" s="184"/>
      <c r="E2224" s="197"/>
      <c r="F2224" s="19"/>
      <c r="G2224" s="20"/>
    </row>
    <row r="2225" spans="1:8">
      <c r="A2225" s="211" t="s">
        <v>503</v>
      </c>
      <c r="B2225" s="216" t="str">
        <f ca="1">_xlfn.CONCAT(B2204,A2225)</f>
        <v>107EDD33-T</v>
      </c>
      <c r="C2225" s="17"/>
      <c r="D2225" s="184"/>
      <c r="E2225" s="197"/>
      <c r="F2225" s="19"/>
      <c r="G2225" s="20"/>
    </row>
    <row r="2226" spans="1:8" ht="14.25" thickBot="1">
      <c r="A2226" s="211" t="s">
        <v>504</v>
      </c>
      <c r="B2226" s="216" t="str">
        <f ca="1">_xlfn.CONCAT(B2204,A2226)</f>
        <v>107EDD33-U</v>
      </c>
      <c r="C2226" s="17"/>
      <c r="D2226" s="184"/>
      <c r="E2226" s="197"/>
      <c r="F2226" s="19"/>
      <c r="G2226" s="20"/>
    </row>
    <row r="2227" spans="1:8" ht="16.5" customHeight="1" thickBot="1">
      <c r="A2227" s="211" t="s">
        <v>505</v>
      </c>
      <c r="B2227" s="216" t="str">
        <f ca="1">_xlfn.CONCAT(B2204,A2227)</f>
        <v>107EDD33-V</v>
      </c>
      <c r="C2227" s="17" t="s">
        <v>17</v>
      </c>
      <c r="D2227" s="192" t="s">
        <v>17</v>
      </c>
      <c r="E2227" s="18"/>
      <c r="F2227" s="22" t="s">
        <v>18</v>
      </c>
      <c r="G2227" s="23">
        <f>SUM(G2206:G2226)</f>
        <v>7820</v>
      </c>
    </row>
    <row r="2228" spans="1:8" ht="28.5" customHeight="1" thickBot="1">
      <c r="A2228" s="211" t="s">
        <v>506</v>
      </c>
      <c r="B2228" s="216" t="str">
        <f ca="1">_xlfn.CONCAT(B2204,A2228)</f>
        <v>107EDD33-W</v>
      </c>
      <c r="C2228" s="10" t="s">
        <v>19</v>
      </c>
      <c r="D2228" s="190"/>
      <c r="E2228" s="11"/>
      <c r="F2228" s="12"/>
      <c r="G2228" s="13"/>
    </row>
    <row r="2229" spans="1:8" s="47" customFormat="1" ht="23.25" customHeight="1" thickBot="1">
      <c r="A2229" s="211" t="s">
        <v>507</v>
      </c>
      <c r="B2229" s="216" t="str">
        <f ca="1">_xlfn.CONCAT(B2204,A2229)</f>
        <v>107EDD33-X</v>
      </c>
      <c r="C2229" s="14" t="s">
        <v>1</v>
      </c>
      <c r="D2229" s="15"/>
      <c r="E2229" s="15" t="s">
        <v>20</v>
      </c>
      <c r="F2229" s="16" t="s">
        <v>21</v>
      </c>
      <c r="G2229" s="15" t="s">
        <v>5</v>
      </c>
      <c r="H2229" s="215"/>
    </row>
    <row r="2230" spans="1:8">
      <c r="A2230" s="211" t="s">
        <v>508</v>
      </c>
      <c r="B2230" s="216" t="str">
        <f ca="1">_xlfn.CONCAT(B2204,A2230)</f>
        <v>107EDD33-Y</v>
      </c>
      <c r="C2230" s="24" t="s">
        <v>22</v>
      </c>
      <c r="D2230" s="184"/>
      <c r="E2230" s="25">
        <f>_xlfn.XLOOKUP(C2230,'H-MO'!B$7:B$30,'H-MO'!D$7:D$30,,0,1)</f>
        <v>2436.5624999999995</v>
      </c>
      <c r="F2230" s="19">
        <v>0.04</v>
      </c>
      <c r="G2230" s="33">
        <f t="shared" ref="G2230:G2235" si="67">+E2230*F2230</f>
        <v>97.462499999999977</v>
      </c>
    </row>
    <row r="2231" spans="1:8">
      <c r="A2231" s="211" t="s">
        <v>509</v>
      </c>
      <c r="B2231" s="216" t="str">
        <f ca="1">_xlfn.CONCAT(B2204,A2231)</f>
        <v>107EDD33-Z</v>
      </c>
      <c r="C2231" s="24" t="s">
        <v>23</v>
      </c>
      <c r="D2231" s="184"/>
      <c r="E2231" s="25">
        <f>_xlfn.XLOOKUP(C2231,'H-MO'!B$7:B$30,'H-MO'!D$7:D$30,,0,1)</f>
        <v>1461.9374999999998</v>
      </c>
      <c r="F2231" s="19">
        <v>0.03</v>
      </c>
      <c r="G2231" s="33">
        <f t="shared" si="67"/>
        <v>43.858124999999994</v>
      </c>
    </row>
    <row r="2232" spans="1:8">
      <c r="A2232" s="211" t="s">
        <v>510</v>
      </c>
      <c r="B2232" s="216" t="str">
        <f ca="1">_xlfn.CONCAT(B2204,A2232)</f>
        <v>107EDD33-aa</v>
      </c>
      <c r="C2232" s="24" t="s">
        <v>24</v>
      </c>
      <c r="D2232" s="185"/>
      <c r="E2232" s="25">
        <f>_xlfn.XLOOKUP(C2232,'H-MO'!B$7:B$30,'H-MO'!D$7:D$30,,0,1)</f>
        <v>29238.749999999996</v>
      </c>
      <c r="F2232" s="28">
        <v>7.0000000000000001E-3</v>
      </c>
      <c r="G2232" s="33">
        <f t="shared" si="67"/>
        <v>204.67124999999999</v>
      </c>
    </row>
    <row r="2233" spans="1:8">
      <c r="A2233" s="211" t="s">
        <v>511</v>
      </c>
      <c r="B2233" s="216" t="str">
        <f ca="1">_xlfn.CONCAT(B2204,A2233)</f>
        <v>107EDD33-ab</v>
      </c>
      <c r="C2233" s="24" t="s">
        <v>25</v>
      </c>
      <c r="D2233" s="185"/>
      <c r="E2233" s="25">
        <f>_xlfn.XLOOKUP(C2233,'H-MO'!B$7:B$30,'H-MO'!D$7:D$30,,0,1)</f>
        <v>2761.4374999999995</v>
      </c>
      <c r="F2233" s="28">
        <v>0.05</v>
      </c>
      <c r="G2233" s="33">
        <f t="shared" si="67"/>
        <v>138.07187499999998</v>
      </c>
    </row>
    <row r="2234" spans="1:8">
      <c r="A2234" s="211" t="s">
        <v>512</v>
      </c>
      <c r="B2234" s="216" t="str">
        <f ca="1">_xlfn.CONCAT(B2204,A2234)</f>
        <v>107EDD33-ac</v>
      </c>
      <c r="C2234" s="24"/>
      <c r="D2234" s="185"/>
      <c r="E2234" s="29"/>
      <c r="F2234" s="28"/>
      <c r="G2234" s="33">
        <f t="shared" si="67"/>
        <v>0</v>
      </c>
    </row>
    <row r="2235" spans="1:8" ht="14.25" thickBot="1">
      <c r="A2235" s="211" t="s">
        <v>513</v>
      </c>
      <c r="B2235" s="216" t="str">
        <f ca="1">_xlfn.CONCAT(B2204,A2235)</f>
        <v>107EDD33-ad</v>
      </c>
      <c r="C2235" s="24"/>
      <c r="D2235" s="185"/>
      <c r="E2235" s="29"/>
      <c r="F2235" s="28"/>
      <c r="G2235" s="33">
        <f t="shared" si="67"/>
        <v>0</v>
      </c>
    </row>
    <row r="2236" spans="1:8" ht="16.5" customHeight="1" thickBot="1">
      <c r="A2236" s="211" t="s">
        <v>514</v>
      </c>
      <c r="B2236" s="216" t="str">
        <f ca="1">_xlfn.CONCAT(B2204,A2236)</f>
        <v>107EDD33-ae</v>
      </c>
      <c r="C2236" s="17"/>
      <c r="D2236" s="192"/>
      <c r="E2236" s="18"/>
      <c r="F2236" s="22" t="s">
        <v>26</v>
      </c>
      <c r="G2236" s="23">
        <f>SUM(G2230:G2235)</f>
        <v>484.06374999999991</v>
      </c>
    </row>
    <row r="2237" spans="1:8" ht="28.5" customHeight="1" thickBot="1">
      <c r="A2237" s="211" t="s">
        <v>515</v>
      </c>
      <c r="B2237" s="216" t="str">
        <f ca="1">_xlfn.CONCAT(B2204,A2237)</f>
        <v>107EDD33-af</v>
      </c>
      <c r="C2237" s="10" t="s">
        <v>27</v>
      </c>
      <c r="D2237" s="190"/>
      <c r="E2237" s="11"/>
      <c r="F2237" s="12"/>
      <c r="G2237" s="13"/>
    </row>
    <row r="2238" spans="1:8" s="47" customFormat="1" ht="23.25" customHeight="1" thickBot="1">
      <c r="A2238" s="211" t="s">
        <v>516</v>
      </c>
      <c r="B2238" s="216" t="str">
        <f ca="1">_xlfn.CONCAT(B2204,A2238)</f>
        <v>107EDD33-ag</v>
      </c>
      <c r="C2238" s="14" t="s">
        <v>1</v>
      </c>
      <c r="D2238" s="15" t="s">
        <v>28</v>
      </c>
      <c r="E2238" s="15" t="s">
        <v>20</v>
      </c>
      <c r="F2238" s="16" t="s">
        <v>21</v>
      </c>
      <c r="G2238" s="15" t="s">
        <v>5</v>
      </c>
      <c r="H2238" s="215"/>
    </row>
    <row r="2239" spans="1:8">
      <c r="A2239" s="211" t="s">
        <v>517</v>
      </c>
      <c r="B2239" s="216" t="str">
        <f ca="1">_xlfn.CONCAT(B2204,A2239)</f>
        <v>107EDD33-ah</v>
      </c>
      <c r="C2239" s="30" t="s">
        <v>29</v>
      </c>
      <c r="D2239" s="186">
        <f>'H-MO'!$N$77</f>
        <v>725918.52892505517</v>
      </c>
      <c r="E2239" s="31">
        <f>+D2239/8</f>
        <v>90739.816115631897</v>
      </c>
      <c r="F2239" s="32">
        <v>0.05</v>
      </c>
      <c r="G2239" s="33">
        <f>+E2239*F2239</f>
        <v>4536.9908057815946</v>
      </c>
    </row>
    <row r="2240" spans="1:8">
      <c r="A2240" s="211" t="s">
        <v>518</v>
      </c>
      <c r="B2240" s="216" t="str">
        <f ca="1">_xlfn.CONCAT(B2204,A2240)</f>
        <v>107EDD33-ai</v>
      </c>
      <c r="C2240" s="34" t="s">
        <v>30</v>
      </c>
      <c r="D2240" s="187">
        <f>'H-MO'!$N$86</f>
        <v>685561.39085756091</v>
      </c>
      <c r="E2240" s="29">
        <f>+D2240/8</f>
        <v>85695.173857195114</v>
      </c>
      <c r="F2240" s="28">
        <v>0</v>
      </c>
      <c r="G2240" s="33">
        <f>+E2240*F2240</f>
        <v>0</v>
      </c>
    </row>
    <row r="2241" spans="1:8" ht="14.25" thickBot="1">
      <c r="A2241" s="211" t="s">
        <v>519</v>
      </c>
      <c r="B2241" s="216" t="str">
        <f ca="1">_xlfn.CONCAT(B2204,A2241)</f>
        <v>107EDD33-aj</v>
      </c>
      <c r="C2241" s="34"/>
      <c r="D2241" s="187"/>
      <c r="E2241" s="29"/>
      <c r="F2241" s="28"/>
      <c r="G2241" s="33">
        <f>+E2241*F2241</f>
        <v>0</v>
      </c>
    </row>
    <row r="2242" spans="1:8" ht="17.25" customHeight="1" thickBot="1">
      <c r="A2242" s="211" t="s">
        <v>520</v>
      </c>
      <c r="B2242" s="216" t="str">
        <f ca="1">_xlfn.CONCAT(B2204,A2242)</f>
        <v>107EDD33-ak</v>
      </c>
      <c r="C2242" s="34"/>
      <c r="D2242" s="185"/>
      <c r="E2242" s="26"/>
      <c r="F2242" s="36" t="s">
        <v>31</v>
      </c>
      <c r="G2242" s="23">
        <f>SUM(G2239:G2241)</f>
        <v>4536.9908057815946</v>
      </c>
    </row>
    <row r="2243" spans="1:8" ht="14.25" thickBot="1">
      <c r="A2243" s="211" t="s">
        <v>521</v>
      </c>
      <c r="B2243" s="216" t="str">
        <f ca="1">_xlfn.CONCAT(B2204,A2243)</f>
        <v>107EDD33-al</v>
      </c>
      <c r="C2243" s="37"/>
      <c r="E2243" s="38"/>
      <c r="F2243" s="22"/>
      <c r="G2243" s="39"/>
    </row>
    <row r="2244" spans="1:8" ht="23.25" customHeight="1" thickBot="1">
      <c r="A2244" s="211" t="s">
        <v>522</v>
      </c>
      <c r="B2244" s="216" t="str">
        <f ca="1">_xlfn.CONCAT(B2204,A2244)</f>
        <v>107EDD33-am</v>
      </c>
      <c r="C2244" s="40"/>
      <c r="D2244" s="193"/>
      <c r="E2244" s="41"/>
      <c r="F2244" s="42"/>
      <c r="G2244" s="43">
        <f>+G2227+G2236+G2242</f>
        <v>12841.054555781593</v>
      </c>
    </row>
    <row r="2245" spans="1:8" ht="21.75" thickBot="1">
      <c r="B2245" s="212" t="s">
        <v>550</v>
      </c>
      <c r="C2245" s="2"/>
      <c r="D2245" s="183"/>
      <c r="F2245" s="4"/>
      <c r="G2245" s="5"/>
    </row>
    <row r="2246" spans="1:8" s="45" customFormat="1" ht="34.5" customHeight="1">
      <c r="A2246" s="213"/>
      <c r="B2246" s="214">
        <v>52</v>
      </c>
      <c r="C2246" s="242" t="str">
        <f ca="1">_xlfn.XLOOKUP(B2246,Cantidades!$A$10:$A$314,Cantidades!$C$10:$C$314,,0,1)</f>
        <v>Suministro e instalación de interruptor doble. Incluye aparato y demás accesorios para su correcta instalación,  fincionamiento y señalización.</v>
      </c>
      <c r="D2246" s="243"/>
      <c r="E2246" s="243"/>
      <c r="F2246" s="243"/>
      <c r="G2246" s="244"/>
      <c r="H2246" s="213"/>
    </row>
    <row r="2247" spans="1:8" s="47" customFormat="1" ht="24.95" customHeight="1" thickBot="1">
      <c r="A2247" s="215"/>
      <c r="B2247" s="216" t="s">
        <v>550</v>
      </c>
      <c r="C2247" s="177"/>
      <c r="D2247" s="189"/>
      <c r="E2247" s="178"/>
      <c r="F2247" s="179" t="s">
        <v>636</v>
      </c>
      <c r="G2247" s="209" t="str">
        <f ca="1">B2248</f>
        <v>33B4D718-</v>
      </c>
      <c r="H2247" s="215"/>
    </row>
    <row r="2248" spans="1:8" ht="28.5" customHeight="1" thickBot="1">
      <c r="B2248" s="212" t="str">
        <f ca="1">_xlfn.XLOOKUP(C2246,Cantidades!$C$1:$C$314,Cantidades!$B$1:$B$314,"",0,1)</f>
        <v>33B4D718-</v>
      </c>
      <c r="C2248" s="10" t="s">
        <v>0</v>
      </c>
      <c r="D2248" s="190"/>
      <c r="E2248" s="11"/>
      <c r="F2248" s="12"/>
      <c r="G2248" s="13"/>
    </row>
    <row r="2249" spans="1:8" s="47" customFormat="1" ht="23.25" customHeight="1" thickBot="1">
      <c r="A2249" s="215"/>
      <c r="B2249" s="216" t="s">
        <v>550</v>
      </c>
      <c r="C2249" s="14" t="s">
        <v>1</v>
      </c>
      <c r="D2249" s="15" t="s">
        <v>2</v>
      </c>
      <c r="E2249" s="15" t="s">
        <v>3</v>
      </c>
      <c r="F2249" s="16" t="s">
        <v>4</v>
      </c>
      <c r="G2249" s="15" t="s">
        <v>5</v>
      </c>
      <c r="H2249" s="215"/>
    </row>
    <row r="2250" spans="1:8" ht="15">
      <c r="A2250" s="211" t="s">
        <v>484</v>
      </c>
      <c r="B2250" s="216" t="str">
        <f ca="1">_xlfn.CONCAT(B2248,A2250)</f>
        <v>33B4D718-A</v>
      </c>
      <c r="C2250" s="17" t="str">
        <f>_xlfn.XLOOKUP(H2250,'Materiales unitario'!$A$1:$A$2500,'Materiales unitario'!B$1:B$2500,,0,1)</f>
        <v>Interruptor doble Genesis</v>
      </c>
      <c r="D2250" s="184" t="str">
        <f>_xlfn.XLOOKUP(H2250,'Materiales unitario'!A$1:A$2500,'Materiales unitario'!C$1:C$2500,,0,1)</f>
        <v>un</v>
      </c>
      <c r="E2250" s="197">
        <f>_xlfn.XLOOKUP(H2250,'Materiales unitario'!$A$1:$A$2500,'Materiales unitario'!D$1:D$2500,,0,1)</f>
        <v>11712</v>
      </c>
      <c r="F2250" s="19">
        <v>1</v>
      </c>
      <c r="G2250" s="20">
        <f>+E2250*F2250</f>
        <v>11712</v>
      </c>
      <c r="H2250" s="217" t="s">
        <v>674</v>
      </c>
    </row>
    <row r="2251" spans="1:8" ht="15">
      <c r="A2251" s="211" t="s">
        <v>485</v>
      </c>
      <c r="B2251" s="216" t="str">
        <f ca="1">_xlfn.CONCAT(B2248,A2251)</f>
        <v>33B4D718-B</v>
      </c>
      <c r="C2251" s="17" t="str">
        <f>_xlfn.XLOOKUP(H2251,'Materiales unitario'!$A$1:$A$2500,'Materiales unitario'!B$1:B$2500,,0,1)</f>
        <v>Marquillas para circuito</v>
      </c>
      <c r="D2251" s="184" t="str">
        <f>_xlfn.XLOOKUP(H2251,'Materiales unitario'!A$1:A$2500,'Materiales unitario'!C$1:C$2500,,0,1)</f>
        <v>un</v>
      </c>
      <c r="E2251" s="197">
        <f>_xlfn.XLOOKUP(H2251,'Materiales unitario'!$A$1:$A$2500,'Materiales unitario'!D$1:D$2500,,0,1)</f>
        <v>1000</v>
      </c>
      <c r="F2251" s="19">
        <v>1</v>
      </c>
      <c r="G2251" s="20">
        <f>+E2251*F2251</f>
        <v>1000</v>
      </c>
      <c r="H2251" s="217" t="s">
        <v>339</v>
      </c>
    </row>
    <row r="2252" spans="1:8" ht="15">
      <c r="A2252" s="211" t="s">
        <v>486</v>
      </c>
      <c r="B2252" s="216" t="str">
        <f ca="1">_xlfn.CONCAT(B2248,A2252)</f>
        <v>33B4D718-C</v>
      </c>
      <c r="C2252" s="17"/>
      <c r="D2252" s="184"/>
      <c r="E2252" s="197"/>
      <c r="F2252" s="19"/>
      <c r="G2252" s="20"/>
      <c r="H2252" s="217"/>
    </row>
    <row r="2253" spans="1:8" ht="15">
      <c r="A2253" s="211" t="s">
        <v>487</v>
      </c>
      <c r="B2253" s="216" t="str">
        <f ca="1">_xlfn.CONCAT(B2248,A2253)</f>
        <v>33B4D718-D</v>
      </c>
      <c r="C2253" s="17"/>
      <c r="D2253" s="184"/>
      <c r="E2253" s="197"/>
      <c r="F2253" s="19"/>
      <c r="G2253" s="20"/>
      <c r="H2253" s="217"/>
    </row>
    <row r="2254" spans="1:8" ht="15">
      <c r="A2254" s="211" t="s">
        <v>488</v>
      </c>
      <c r="B2254" s="216" t="str">
        <f ca="1">_xlfn.CONCAT(B2248,A2254)</f>
        <v>33B4D718-E</v>
      </c>
      <c r="C2254" s="17"/>
      <c r="D2254" s="184"/>
      <c r="E2254" s="197"/>
      <c r="F2254" s="19"/>
      <c r="G2254" s="20"/>
      <c r="H2254" s="217"/>
    </row>
    <row r="2255" spans="1:8" ht="15">
      <c r="A2255" s="211" t="s">
        <v>489</v>
      </c>
      <c r="B2255" s="216" t="str">
        <f ca="1">_xlfn.CONCAT(B2248,A2255)</f>
        <v>33B4D718-F</v>
      </c>
      <c r="C2255" s="17"/>
      <c r="D2255" s="184"/>
      <c r="E2255" s="197"/>
      <c r="F2255" s="19"/>
      <c r="G2255" s="20"/>
      <c r="H2255" s="217"/>
    </row>
    <row r="2256" spans="1:8" ht="15">
      <c r="A2256" s="211" t="s">
        <v>490</v>
      </c>
      <c r="B2256" s="216" t="str">
        <f ca="1">_xlfn.CONCAT(B2248,A2256)</f>
        <v>33B4D718-G</v>
      </c>
      <c r="C2256" s="17"/>
      <c r="D2256" s="184"/>
      <c r="E2256" s="197"/>
      <c r="F2256" s="19"/>
      <c r="G2256" s="20"/>
      <c r="H2256" s="217"/>
    </row>
    <row r="2257" spans="1:8" ht="15">
      <c r="A2257" s="211" t="s">
        <v>491</v>
      </c>
      <c r="B2257" s="216" t="str">
        <f ca="1">_xlfn.CONCAT(B2248,A2257)</f>
        <v>33B4D718-H</v>
      </c>
      <c r="C2257" s="17"/>
      <c r="D2257" s="184"/>
      <c r="E2257" s="197"/>
      <c r="F2257" s="19"/>
      <c r="G2257" s="20"/>
      <c r="H2257" s="217"/>
    </row>
    <row r="2258" spans="1:8" ht="15">
      <c r="A2258" s="211" t="s">
        <v>492</v>
      </c>
      <c r="B2258" s="216" t="str">
        <f ca="1">_xlfn.CONCAT(B2248,A2258)</f>
        <v>33B4D718-I</v>
      </c>
      <c r="C2258" s="17"/>
      <c r="D2258" s="184"/>
      <c r="E2258" s="197"/>
      <c r="F2258" s="19"/>
      <c r="G2258" s="20"/>
      <c r="H2258" s="217"/>
    </row>
    <row r="2259" spans="1:8" ht="15">
      <c r="A2259" s="211" t="s">
        <v>493</v>
      </c>
      <c r="B2259" s="216" t="str">
        <f ca="1">_xlfn.CONCAT(B2248,A2259)</f>
        <v>33B4D718-J</v>
      </c>
      <c r="C2259" s="17"/>
      <c r="D2259" s="184"/>
      <c r="E2259" s="197"/>
      <c r="F2259" s="19"/>
      <c r="G2259" s="20"/>
      <c r="H2259" s="217"/>
    </row>
    <row r="2260" spans="1:8" ht="15">
      <c r="A2260" s="211" t="s">
        <v>494</v>
      </c>
      <c r="B2260" s="216" t="str">
        <f ca="1">_xlfn.CONCAT(B2248,A2260)</f>
        <v>33B4D718-K</v>
      </c>
      <c r="C2260" s="17"/>
      <c r="D2260" s="184"/>
      <c r="E2260" s="197"/>
      <c r="F2260" s="19"/>
      <c r="G2260" s="20"/>
      <c r="H2260" s="217"/>
    </row>
    <row r="2261" spans="1:8" ht="15">
      <c r="A2261" s="211" t="s">
        <v>495</v>
      </c>
      <c r="B2261" s="216" t="str">
        <f ca="1">_xlfn.CONCAT(B2248,A2261)</f>
        <v>33B4D718-L</v>
      </c>
      <c r="C2261" s="17"/>
      <c r="D2261" s="184"/>
      <c r="E2261" s="197"/>
      <c r="F2261" s="19"/>
      <c r="G2261" s="20"/>
      <c r="H2261" s="217"/>
    </row>
    <row r="2262" spans="1:8" ht="15">
      <c r="A2262" s="211" t="s">
        <v>496</v>
      </c>
      <c r="B2262" s="216" t="str">
        <f ca="1">_xlfn.CONCAT(B2248,A2262)</f>
        <v>33B4D718-M</v>
      </c>
      <c r="C2262" s="17"/>
      <c r="D2262" s="184"/>
      <c r="E2262" s="197"/>
      <c r="F2262" s="19"/>
      <c r="G2262" s="20"/>
      <c r="H2262" s="217"/>
    </row>
    <row r="2263" spans="1:8">
      <c r="A2263" s="211" t="s">
        <v>497</v>
      </c>
      <c r="B2263" s="216" t="str">
        <f ca="1">_xlfn.CONCAT(B2248,A2263)</f>
        <v>33B4D718-N</v>
      </c>
      <c r="C2263" s="17"/>
      <c r="D2263" s="184"/>
      <c r="E2263" s="197"/>
      <c r="F2263" s="19"/>
      <c r="G2263" s="20"/>
    </row>
    <row r="2264" spans="1:8">
      <c r="A2264" s="211" t="s">
        <v>498</v>
      </c>
      <c r="B2264" s="216" t="str">
        <f ca="1">_xlfn.CONCAT(B2248,A2264)</f>
        <v>33B4D718-O</v>
      </c>
      <c r="C2264" s="17"/>
      <c r="D2264" s="184"/>
      <c r="E2264" s="197"/>
      <c r="F2264" s="19"/>
      <c r="G2264" s="20"/>
    </row>
    <row r="2265" spans="1:8">
      <c r="A2265" s="211" t="s">
        <v>499</v>
      </c>
      <c r="B2265" s="216" t="str">
        <f ca="1">_xlfn.CONCAT(B2248,A2265)</f>
        <v>33B4D718-P</v>
      </c>
      <c r="C2265" s="17"/>
      <c r="D2265" s="184"/>
      <c r="E2265" s="197"/>
      <c r="F2265" s="19"/>
      <c r="G2265" s="20"/>
    </row>
    <row r="2266" spans="1:8">
      <c r="A2266" s="211" t="s">
        <v>500</v>
      </c>
      <c r="B2266" s="216" t="str">
        <f ca="1">_xlfn.CONCAT(B2248,A2266)</f>
        <v>33B4D718-Q</v>
      </c>
      <c r="C2266" s="17"/>
      <c r="D2266" s="184"/>
      <c r="E2266" s="197"/>
      <c r="F2266" s="19"/>
      <c r="G2266" s="20"/>
    </row>
    <row r="2267" spans="1:8">
      <c r="A2267" s="211" t="s">
        <v>501</v>
      </c>
      <c r="B2267" s="216" t="str">
        <f ca="1">_xlfn.CONCAT(B2248,A2267)</f>
        <v>33B4D718-R</v>
      </c>
      <c r="C2267" s="17"/>
      <c r="D2267" s="184"/>
      <c r="E2267" s="197"/>
      <c r="F2267" s="19"/>
      <c r="G2267" s="20"/>
    </row>
    <row r="2268" spans="1:8">
      <c r="A2268" s="211" t="s">
        <v>502</v>
      </c>
      <c r="B2268" s="216" t="str">
        <f ca="1">_xlfn.CONCAT(B2248,A2268)</f>
        <v>33B4D718-S</v>
      </c>
      <c r="C2268" s="17"/>
      <c r="D2268" s="184"/>
      <c r="E2268" s="197"/>
      <c r="F2268" s="19"/>
      <c r="G2268" s="20"/>
    </row>
    <row r="2269" spans="1:8">
      <c r="A2269" s="211" t="s">
        <v>503</v>
      </c>
      <c r="B2269" s="216" t="str">
        <f ca="1">_xlfn.CONCAT(B2248,A2269)</f>
        <v>33B4D718-T</v>
      </c>
      <c r="C2269" s="17"/>
      <c r="D2269" s="184"/>
      <c r="E2269" s="197"/>
      <c r="F2269" s="19"/>
      <c r="G2269" s="20"/>
    </row>
    <row r="2270" spans="1:8" ht="14.25" thickBot="1">
      <c r="A2270" s="211" t="s">
        <v>504</v>
      </c>
      <c r="B2270" s="216" t="str">
        <f ca="1">_xlfn.CONCAT(B2248,A2270)</f>
        <v>33B4D718-U</v>
      </c>
      <c r="C2270" s="17"/>
      <c r="D2270" s="184"/>
      <c r="E2270" s="197"/>
      <c r="F2270" s="19"/>
      <c r="G2270" s="20"/>
    </row>
    <row r="2271" spans="1:8" ht="16.5" customHeight="1" thickBot="1">
      <c r="A2271" s="211" t="s">
        <v>505</v>
      </c>
      <c r="B2271" s="216" t="str">
        <f ca="1">_xlfn.CONCAT(B2248,A2271)</f>
        <v>33B4D718-V</v>
      </c>
      <c r="C2271" s="17" t="s">
        <v>17</v>
      </c>
      <c r="D2271" s="192" t="s">
        <v>17</v>
      </c>
      <c r="E2271" s="18"/>
      <c r="F2271" s="22" t="s">
        <v>18</v>
      </c>
      <c r="G2271" s="23">
        <f>SUM(G2250:G2270)</f>
        <v>12712</v>
      </c>
    </row>
    <row r="2272" spans="1:8" ht="28.5" customHeight="1" thickBot="1">
      <c r="A2272" s="211" t="s">
        <v>506</v>
      </c>
      <c r="B2272" s="216" t="str">
        <f ca="1">_xlfn.CONCAT(B2248,A2272)</f>
        <v>33B4D718-W</v>
      </c>
      <c r="C2272" s="10" t="s">
        <v>19</v>
      </c>
      <c r="D2272" s="190"/>
      <c r="E2272" s="11"/>
      <c r="F2272" s="12"/>
      <c r="G2272" s="13"/>
    </row>
    <row r="2273" spans="1:8" s="47" customFormat="1" ht="23.25" customHeight="1" thickBot="1">
      <c r="A2273" s="211" t="s">
        <v>507</v>
      </c>
      <c r="B2273" s="216" t="str">
        <f ca="1">_xlfn.CONCAT(B2248,A2273)</f>
        <v>33B4D718-X</v>
      </c>
      <c r="C2273" s="14" t="s">
        <v>1</v>
      </c>
      <c r="D2273" s="15"/>
      <c r="E2273" s="15" t="s">
        <v>20</v>
      </c>
      <c r="F2273" s="16" t="s">
        <v>21</v>
      </c>
      <c r="G2273" s="15" t="s">
        <v>5</v>
      </c>
      <c r="H2273" s="215"/>
    </row>
    <row r="2274" spans="1:8">
      <c r="A2274" s="211" t="s">
        <v>508</v>
      </c>
      <c r="B2274" s="216" t="str">
        <f ca="1">_xlfn.CONCAT(B2248,A2274)</f>
        <v>33B4D718-Y</v>
      </c>
      <c r="C2274" s="24" t="s">
        <v>22</v>
      </c>
      <c r="D2274" s="184"/>
      <c r="E2274" s="25">
        <f>_xlfn.XLOOKUP(C2274,'H-MO'!B$7:B$30,'H-MO'!D$7:D$30,,0,1)</f>
        <v>2436.5624999999995</v>
      </c>
      <c r="F2274" s="19">
        <v>0.04</v>
      </c>
      <c r="G2274" s="33">
        <f t="shared" ref="G2274:G2279" si="68">+E2274*F2274</f>
        <v>97.462499999999977</v>
      </c>
    </row>
    <row r="2275" spans="1:8">
      <c r="A2275" s="211" t="s">
        <v>509</v>
      </c>
      <c r="B2275" s="216" t="str">
        <f ca="1">_xlfn.CONCAT(B2248,A2275)</f>
        <v>33B4D718-Z</v>
      </c>
      <c r="C2275" s="24" t="s">
        <v>23</v>
      </c>
      <c r="D2275" s="184"/>
      <c r="E2275" s="25">
        <f>_xlfn.XLOOKUP(C2275,'H-MO'!B$7:B$30,'H-MO'!D$7:D$30,,0,1)</f>
        <v>1461.9374999999998</v>
      </c>
      <c r="F2275" s="19">
        <v>0.03</v>
      </c>
      <c r="G2275" s="33">
        <f t="shared" si="68"/>
        <v>43.858124999999994</v>
      </c>
    </row>
    <row r="2276" spans="1:8">
      <c r="A2276" s="211" t="s">
        <v>510</v>
      </c>
      <c r="B2276" s="216" t="str">
        <f ca="1">_xlfn.CONCAT(B2248,A2276)</f>
        <v>33B4D718-aa</v>
      </c>
      <c r="C2276" s="24" t="s">
        <v>24</v>
      </c>
      <c r="D2276" s="185"/>
      <c r="E2276" s="25">
        <f>_xlfn.XLOOKUP(C2276,'H-MO'!B$7:B$30,'H-MO'!D$7:D$30,,0,1)</f>
        <v>29238.749999999996</v>
      </c>
      <c r="F2276" s="28">
        <v>7.0000000000000001E-3</v>
      </c>
      <c r="G2276" s="33">
        <f t="shared" si="68"/>
        <v>204.67124999999999</v>
      </c>
    </row>
    <row r="2277" spans="1:8">
      <c r="A2277" s="211" t="s">
        <v>511</v>
      </c>
      <c r="B2277" s="216" t="str">
        <f ca="1">_xlfn.CONCAT(B2248,A2277)</f>
        <v>33B4D718-ab</v>
      </c>
      <c r="C2277" s="24" t="s">
        <v>25</v>
      </c>
      <c r="D2277" s="185"/>
      <c r="E2277" s="25">
        <f>_xlfn.XLOOKUP(C2277,'H-MO'!B$7:B$30,'H-MO'!D$7:D$30,,0,1)</f>
        <v>2761.4374999999995</v>
      </c>
      <c r="F2277" s="28">
        <v>0.05</v>
      </c>
      <c r="G2277" s="33">
        <f t="shared" si="68"/>
        <v>138.07187499999998</v>
      </c>
    </row>
    <row r="2278" spans="1:8">
      <c r="A2278" s="211" t="s">
        <v>512</v>
      </c>
      <c r="B2278" s="216" t="str">
        <f ca="1">_xlfn.CONCAT(B2248,A2278)</f>
        <v>33B4D718-ac</v>
      </c>
      <c r="C2278" s="24"/>
      <c r="D2278" s="185"/>
      <c r="E2278" s="29"/>
      <c r="F2278" s="28"/>
      <c r="G2278" s="33">
        <f t="shared" si="68"/>
        <v>0</v>
      </c>
    </row>
    <row r="2279" spans="1:8" ht="14.25" thickBot="1">
      <c r="A2279" s="211" t="s">
        <v>513</v>
      </c>
      <c r="B2279" s="216" t="str">
        <f ca="1">_xlfn.CONCAT(B2248,A2279)</f>
        <v>33B4D718-ad</v>
      </c>
      <c r="C2279" s="24"/>
      <c r="D2279" s="185"/>
      <c r="E2279" s="29"/>
      <c r="F2279" s="28"/>
      <c r="G2279" s="33">
        <f t="shared" si="68"/>
        <v>0</v>
      </c>
    </row>
    <row r="2280" spans="1:8" ht="16.5" customHeight="1" thickBot="1">
      <c r="A2280" s="211" t="s">
        <v>514</v>
      </c>
      <c r="B2280" s="216" t="str">
        <f ca="1">_xlfn.CONCAT(B2248,A2280)</f>
        <v>33B4D718-ae</v>
      </c>
      <c r="C2280" s="17"/>
      <c r="D2280" s="192"/>
      <c r="E2280" s="18"/>
      <c r="F2280" s="22" t="s">
        <v>26</v>
      </c>
      <c r="G2280" s="23">
        <f>SUM(G2274:G2279)</f>
        <v>484.06374999999991</v>
      </c>
    </row>
    <row r="2281" spans="1:8" ht="28.5" customHeight="1" thickBot="1">
      <c r="A2281" s="211" t="s">
        <v>515</v>
      </c>
      <c r="B2281" s="216" t="str">
        <f ca="1">_xlfn.CONCAT(B2248,A2281)</f>
        <v>33B4D718-af</v>
      </c>
      <c r="C2281" s="10" t="s">
        <v>27</v>
      </c>
      <c r="D2281" s="190"/>
      <c r="E2281" s="11"/>
      <c r="F2281" s="12"/>
      <c r="G2281" s="13"/>
    </row>
    <row r="2282" spans="1:8" s="47" customFormat="1" ht="23.25" customHeight="1" thickBot="1">
      <c r="A2282" s="211" t="s">
        <v>516</v>
      </c>
      <c r="B2282" s="216" t="str">
        <f ca="1">_xlfn.CONCAT(B2248,A2282)</f>
        <v>33B4D718-ag</v>
      </c>
      <c r="C2282" s="14" t="s">
        <v>1</v>
      </c>
      <c r="D2282" s="15" t="s">
        <v>28</v>
      </c>
      <c r="E2282" s="15" t="s">
        <v>20</v>
      </c>
      <c r="F2282" s="16" t="s">
        <v>21</v>
      </c>
      <c r="G2282" s="15" t="s">
        <v>5</v>
      </c>
      <c r="H2282" s="215"/>
    </row>
    <row r="2283" spans="1:8">
      <c r="A2283" s="211" t="s">
        <v>517</v>
      </c>
      <c r="B2283" s="216" t="str">
        <f ca="1">_xlfn.CONCAT(B2248,A2283)</f>
        <v>33B4D718-ah</v>
      </c>
      <c r="C2283" s="30" t="s">
        <v>29</v>
      </c>
      <c r="D2283" s="186">
        <f>'H-MO'!$N$77</f>
        <v>725918.52892505517</v>
      </c>
      <c r="E2283" s="31">
        <f>+D2283/8</f>
        <v>90739.816115631897</v>
      </c>
      <c r="F2283" s="32">
        <v>0.06</v>
      </c>
      <c r="G2283" s="33">
        <f>+E2283*F2283</f>
        <v>5444.3889669379132</v>
      </c>
    </row>
    <row r="2284" spans="1:8">
      <c r="A2284" s="211" t="s">
        <v>518</v>
      </c>
      <c r="B2284" s="216" t="str">
        <f ca="1">_xlfn.CONCAT(B2248,A2284)</f>
        <v>33B4D718-ai</v>
      </c>
      <c r="C2284" s="34" t="s">
        <v>30</v>
      </c>
      <c r="D2284" s="187">
        <f>'H-MO'!$N$86</f>
        <v>685561.39085756091</v>
      </c>
      <c r="E2284" s="29">
        <f>+D2284/8</f>
        <v>85695.173857195114</v>
      </c>
      <c r="F2284" s="28">
        <v>0</v>
      </c>
      <c r="G2284" s="33">
        <f>+E2284*F2284</f>
        <v>0</v>
      </c>
    </row>
    <row r="2285" spans="1:8" ht="14.25" thickBot="1">
      <c r="A2285" s="211" t="s">
        <v>519</v>
      </c>
      <c r="B2285" s="216" t="str">
        <f ca="1">_xlfn.CONCAT(B2248,A2285)</f>
        <v>33B4D718-aj</v>
      </c>
      <c r="C2285" s="34"/>
      <c r="D2285" s="187"/>
      <c r="E2285" s="29"/>
      <c r="F2285" s="28"/>
      <c r="G2285" s="33">
        <f>+E2285*F2285</f>
        <v>0</v>
      </c>
    </row>
    <row r="2286" spans="1:8" ht="17.25" customHeight="1" thickBot="1">
      <c r="A2286" s="211" t="s">
        <v>520</v>
      </c>
      <c r="B2286" s="216" t="str">
        <f ca="1">_xlfn.CONCAT(B2248,A2286)</f>
        <v>33B4D718-ak</v>
      </c>
      <c r="C2286" s="34"/>
      <c r="D2286" s="185"/>
      <c r="E2286" s="26"/>
      <c r="F2286" s="36" t="s">
        <v>31</v>
      </c>
      <c r="G2286" s="23">
        <f>SUM(G2283:G2285)</f>
        <v>5444.3889669379132</v>
      </c>
    </row>
    <row r="2287" spans="1:8" ht="14.25" thickBot="1">
      <c r="A2287" s="211" t="s">
        <v>521</v>
      </c>
      <c r="B2287" s="216" t="str">
        <f ca="1">_xlfn.CONCAT(B2248,A2287)</f>
        <v>33B4D718-al</v>
      </c>
      <c r="C2287" s="37"/>
      <c r="E2287" s="38"/>
      <c r="F2287" s="22"/>
      <c r="G2287" s="39"/>
    </row>
    <row r="2288" spans="1:8" ht="23.25" customHeight="1" thickBot="1">
      <c r="A2288" s="211" t="s">
        <v>522</v>
      </c>
      <c r="B2288" s="216" t="str">
        <f ca="1">_xlfn.CONCAT(B2248,A2288)</f>
        <v>33B4D718-am</v>
      </c>
      <c r="C2288" s="40"/>
      <c r="D2288" s="193"/>
      <c r="E2288" s="41"/>
      <c r="F2288" s="42"/>
      <c r="G2288" s="43">
        <f>+G2271+G2280+G2286</f>
        <v>18640.452716937914</v>
      </c>
    </row>
    <row r="2289" spans="1:8" ht="21.75" thickBot="1">
      <c r="B2289" s="212" t="s">
        <v>550</v>
      </c>
      <c r="C2289" s="2"/>
      <c r="D2289" s="183"/>
      <c r="F2289" s="4"/>
      <c r="G2289" s="5"/>
    </row>
    <row r="2290" spans="1:8" s="45" customFormat="1" ht="34.5" customHeight="1">
      <c r="A2290" s="213"/>
      <c r="B2290" s="214">
        <v>53</v>
      </c>
      <c r="C2290" s="242" t="str">
        <f ca="1">_xlfn.XLOOKUP(B2290,Cantidades!$A$10:$A$314,Cantidades!$C$10:$C$314,,0,1)</f>
        <v>Suministro e instalación de roseta de 4" de porcelana. Incluye roseta de 4" de porcelana y demás accesorios para su correcta instalación,  fincionamiento y señalización.</v>
      </c>
      <c r="D2290" s="243"/>
      <c r="E2290" s="243"/>
      <c r="F2290" s="243"/>
      <c r="G2290" s="244"/>
      <c r="H2290" s="213"/>
    </row>
    <row r="2291" spans="1:8" s="47" customFormat="1" ht="24.95" customHeight="1" thickBot="1">
      <c r="A2291" s="215"/>
      <c r="B2291" s="216" t="s">
        <v>550</v>
      </c>
      <c r="C2291" s="177"/>
      <c r="D2291" s="189"/>
      <c r="E2291" s="178"/>
      <c r="F2291" s="179" t="s">
        <v>636</v>
      </c>
      <c r="G2291" s="209" t="str">
        <f ca="1">B2292</f>
        <v>145A0ECD-</v>
      </c>
      <c r="H2291" s="215"/>
    </row>
    <row r="2292" spans="1:8" ht="28.5" customHeight="1" thickBot="1">
      <c r="B2292" s="212" t="str">
        <f ca="1">_xlfn.XLOOKUP(C2290,Cantidades!$C$1:$C$314,Cantidades!$B$1:$B$314,"",0,1)</f>
        <v>145A0ECD-</v>
      </c>
      <c r="C2292" s="10" t="s">
        <v>0</v>
      </c>
      <c r="D2292" s="190"/>
      <c r="E2292" s="11"/>
      <c r="F2292" s="12"/>
      <c r="G2292" s="13"/>
    </row>
    <row r="2293" spans="1:8" s="47" customFormat="1" ht="23.25" customHeight="1" thickBot="1">
      <c r="A2293" s="215"/>
      <c r="B2293" s="216" t="s">
        <v>550</v>
      </c>
      <c r="C2293" s="14" t="s">
        <v>1</v>
      </c>
      <c r="D2293" s="15" t="s">
        <v>2</v>
      </c>
      <c r="E2293" s="15" t="s">
        <v>3</v>
      </c>
      <c r="F2293" s="16" t="s">
        <v>4</v>
      </c>
      <c r="G2293" s="15" t="s">
        <v>5</v>
      </c>
      <c r="H2293" s="215"/>
    </row>
    <row r="2294" spans="1:8" ht="15">
      <c r="A2294" s="211" t="s">
        <v>484</v>
      </c>
      <c r="B2294" s="216" t="str">
        <f ca="1">_xlfn.CONCAT(B2292,A2294)</f>
        <v>145A0ECD-A</v>
      </c>
      <c r="C2294" s="17" t="str">
        <f>_xlfn.XLOOKUP(H2294,'Materiales unitario'!$A$1:$A$2500,'Materiales unitario'!B$1:B$2500,,0,1)</f>
        <v>Roseta de porcelana</v>
      </c>
      <c r="D2294" s="184" t="str">
        <f>_xlfn.XLOOKUP(H2294,'Materiales unitario'!A$1:A$2500,'Materiales unitario'!C$1:C$2500,,0,1)</f>
        <v>un</v>
      </c>
      <c r="E2294" s="197">
        <f>_xlfn.XLOOKUP(H2294,'Materiales unitario'!$A$1:$A$2500,'Materiales unitario'!D$1:D$2500,,0,1)</f>
        <v>5100</v>
      </c>
      <c r="F2294" s="19">
        <v>1</v>
      </c>
      <c r="G2294" s="20">
        <f>+E2294*F2294</f>
        <v>5100</v>
      </c>
      <c r="H2294" s="217" t="s">
        <v>631</v>
      </c>
    </row>
    <row r="2295" spans="1:8" ht="15">
      <c r="A2295" s="211" t="s">
        <v>485</v>
      </c>
      <c r="B2295" s="216" t="str">
        <f ca="1">_xlfn.CONCAT(B2292,A2295)</f>
        <v>145A0ECD-B</v>
      </c>
      <c r="C2295" s="17" t="str">
        <f>_xlfn.XLOOKUP(H2295,'Materiales unitario'!$A$1:$A$2500,'Materiales unitario'!B$1:B$2500,,0,1)</f>
        <v>Marquillas para circuito</v>
      </c>
      <c r="D2295" s="184" t="str">
        <f>_xlfn.XLOOKUP(H2295,'Materiales unitario'!A$1:A$2500,'Materiales unitario'!C$1:C$2500,,0,1)</f>
        <v>un</v>
      </c>
      <c r="E2295" s="197">
        <f>_xlfn.XLOOKUP(H2295,'Materiales unitario'!$A$1:$A$2500,'Materiales unitario'!D$1:D$2500,,0,1)</f>
        <v>1000</v>
      </c>
      <c r="F2295" s="19">
        <v>1</v>
      </c>
      <c r="G2295" s="20">
        <f>+E2295*F2295</f>
        <v>1000</v>
      </c>
      <c r="H2295" s="217" t="s">
        <v>339</v>
      </c>
    </row>
    <row r="2296" spans="1:8" ht="15">
      <c r="A2296" s="211" t="s">
        <v>486</v>
      </c>
      <c r="B2296" s="216" t="str">
        <f ca="1">_xlfn.CONCAT(B2292,A2296)</f>
        <v>145A0ECD-C</v>
      </c>
      <c r="C2296" s="17"/>
      <c r="D2296" s="184"/>
      <c r="E2296" s="197"/>
      <c r="F2296" s="19"/>
      <c r="G2296" s="20"/>
      <c r="H2296" s="217"/>
    </row>
    <row r="2297" spans="1:8" ht="15">
      <c r="A2297" s="211" t="s">
        <v>487</v>
      </c>
      <c r="B2297" s="216" t="str">
        <f ca="1">_xlfn.CONCAT(B2292,A2297)</f>
        <v>145A0ECD-D</v>
      </c>
      <c r="C2297" s="17"/>
      <c r="D2297" s="184"/>
      <c r="E2297" s="197"/>
      <c r="F2297" s="19"/>
      <c r="G2297" s="20"/>
      <c r="H2297" s="217"/>
    </row>
    <row r="2298" spans="1:8" ht="15">
      <c r="A2298" s="211" t="s">
        <v>488</v>
      </c>
      <c r="B2298" s="216" t="str">
        <f ca="1">_xlfn.CONCAT(B2292,A2298)</f>
        <v>145A0ECD-E</v>
      </c>
      <c r="C2298" s="17"/>
      <c r="D2298" s="184"/>
      <c r="E2298" s="197"/>
      <c r="F2298" s="19"/>
      <c r="G2298" s="20"/>
      <c r="H2298" s="217"/>
    </row>
    <row r="2299" spans="1:8" ht="15">
      <c r="A2299" s="211" t="s">
        <v>489</v>
      </c>
      <c r="B2299" s="216" t="str">
        <f ca="1">_xlfn.CONCAT(B2292,A2299)</f>
        <v>145A0ECD-F</v>
      </c>
      <c r="C2299" s="17"/>
      <c r="D2299" s="184"/>
      <c r="E2299" s="197"/>
      <c r="F2299" s="19"/>
      <c r="G2299" s="20"/>
      <c r="H2299" s="217"/>
    </row>
    <row r="2300" spans="1:8" ht="15">
      <c r="A2300" s="211" t="s">
        <v>490</v>
      </c>
      <c r="B2300" s="216" t="str">
        <f ca="1">_xlfn.CONCAT(B2292,A2300)</f>
        <v>145A0ECD-G</v>
      </c>
      <c r="C2300" s="17"/>
      <c r="D2300" s="184"/>
      <c r="E2300" s="197"/>
      <c r="F2300" s="19"/>
      <c r="G2300" s="20"/>
      <c r="H2300" s="217"/>
    </row>
    <row r="2301" spans="1:8" ht="15">
      <c r="A2301" s="211" t="s">
        <v>491</v>
      </c>
      <c r="B2301" s="216" t="str">
        <f ca="1">_xlfn.CONCAT(B2292,A2301)</f>
        <v>145A0ECD-H</v>
      </c>
      <c r="C2301" s="17"/>
      <c r="D2301" s="184"/>
      <c r="E2301" s="197"/>
      <c r="F2301" s="19"/>
      <c r="G2301" s="20"/>
      <c r="H2301" s="217"/>
    </row>
    <row r="2302" spans="1:8" ht="15">
      <c r="A2302" s="211" t="s">
        <v>492</v>
      </c>
      <c r="B2302" s="216" t="str">
        <f ca="1">_xlfn.CONCAT(B2292,A2302)</f>
        <v>145A0ECD-I</v>
      </c>
      <c r="C2302" s="17"/>
      <c r="D2302" s="184"/>
      <c r="E2302" s="197"/>
      <c r="F2302" s="19"/>
      <c r="G2302" s="20"/>
      <c r="H2302" s="217"/>
    </row>
    <row r="2303" spans="1:8" ht="15">
      <c r="A2303" s="211" t="s">
        <v>493</v>
      </c>
      <c r="B2303" s="216" t="str">
        <f ca="1">_xlfn.CONCAT(B2292,A2303)</f>
        <v>145A0ECD-J</v>
      </c>
      <c r="C2303" s="17"/>
      <c r="D2303" s="184"/>
      <c r="E2303" s="197"/>
      <c r="F2303" s="19"/>
      <c r="G2303" s="20"/>
      <c r="H2303" s="217"/>
    </row>
    <row r="2304" spans="1:8" ht="15">
      <c r="A2304" s="211" t="s">
        <v>494</v>
      </c>
      <c r="B2304" s="216" t="str">
        <f ca="1">_xlfn.CONCAT(B2292,A2304)</f>
        <v>145A0ECD-K</v>
      </c>
      <c r="C2304" s="17"/>
      <c r="D2304" s="184"/>
      <c r="E2304" s="197"/>
      <c r="F2304" s="19"/>
      <c r="G2304" s="20"/>
      <c r="H2304" s="217"/>
    </row>
    <row r="2305" spans="1:8" ht="15">
      <c r="A2305" s="211" t="s">
        <v>495</v>
      </c>
      <c r="B2305" s="216" t="str">
        <f ca="1">_xlfn.CONCAT(B2292,A2305)</f>
        <v>145A0ECD-L</v>
      </c>
      <c r="C2305" s="17"/>
      <c r="D2305" s="184"/>
      <c r="E2305" s="197"/>
      <c r="F2305" s="19"/>
      <c r="G2305" s="20"/>
      <c r="H2305" s="217"/>
    </row>
    <row r="2306" spans="1:8" ht="15">
      <c r="A2306" s="211" t="s">
        <v>496</v>
      </c>
      <c r="B2306" s="216" t="str">
        <f ca="1">_xlfn.CONCAT(B2292,A2306)</f>
        <v>145A0ECD-M</v>
      </c>
      <c r="C2306" s="17"/>
      <c r="D2306" s="184"/>
      <c r="E2306" s="197"/>
      <c r="F2306" s="19"/>
      <c r="G2306" s="20"/>
      <c r="H2306" s="217"/>
    </row>
    <row r="2307" spans="1:8">
      <c r="A2307" s="211" t="s">
        <v>497</v>
      </c>
      <c r="B2307" s="216" t="str">
        <f ca="1">_xlfn.CONCAT(B2292,A2307)</f>
        <v>145A0ECD-N</v>
      </c>
      <c r="C2307" s="17"/>
      <c r="D2307" s="184"/>
      <c r="E2307" s="197"/>
      <c r="F2307" s="19"/>
      <c r="G2307" s="20"/>
    </row>
    <row r="2308" spans="1:8">
      <c r="A2308" s="211" t="s">
        <v>498</v>
      </c>
      <c r="B2308" s="216" t="str">
        <f ca="1">_xlfn.CONCAT(B2292,A2308)</f>
        <v>145A0ECD-O</v>
      </c>
      <c r="C2308" s="17"/>
      <c r="D2308" s="184"/>
      <c r="E2308" s="197"/>
      <c r="F2308" s="19"/>
      <c r="G2308" s="20"/>
    </row>
    <row r="2309" spans="1:8">
      <c r="A2309" s="211" t="s">
        <v>499</v>
      </c>
      <c r="B2309" s="216" t="str">
        <f ca="1">_xlfn.CONCAT(B2292,A2309)</f>
        <v>145A0ECD-P</v>
      </c>
      <c r="C2309" s="17"/>
      <c r="D2309" s="184"/>
      <c r="E2309" s="197"/>
      <c r="F2309" s="19"/>
      <c r="G2309" s="20"/>
    </row>
    <row r="2310" spans="1:8">
      <c r="A2310" s="211" t="s">
        <v>500</v>
      </c>
      <c r="B2310" s="216" t="str">
        <f ca="1">_xlfn.CONCAT(B2292,A2310)</f>
        <v>145A0ECD-Q</v>
      </c>
      <c r="C2310" s="17"/>
      <c r="D2310" s="184"/>
      <c r="E2310" s="197"/>
      <c r="F2310" s="19"/>
      <c r="G2310" s="20"/>
    </row>
    <row r="2311" spans="1:8">
      <c r="A2311" s="211" t="s">
        <v>501</v>
      </c>
      <c r="B2311" s="216" t="str">
        <f ca="1">_xlfn.CONCAT(B2292,A2311)</f>
        <v>145A0ECD-R</v>
      </c>
      <c r="C2311" s="17"/>
      <c r="D2311" s="184"/>
      <c r="E2311" s="197"/>
      <c r="F2311" s="19"/>
      <c r="G2311" s="20"/>
    </row>
    <row r="2312" spans="1:8">
      <c r="A2312" s="211" t="s">
        <v>502</v>
      </c>
      <c r="B2312" s="216" t="str">
        <f ca="1">_xlfn.CONCAT(B2292,A2312)</f>
        <v>145A0ECD-S</v>
      </c>
      <c r="C2312" s="17"/>
      <c r="D2312" s="184"/>
      <c r="E2312" s="197"/>
      <c r="F2312" s="19"/>
      <c r="G2312" s="20"/>
    </row>
    <row r="2313" spans="1:8">
      <c r="A2313" s="211" t="s">
        <v>503</v>
      </c>
      <c r="B2313" s="216" t="str">
        <f ca="1">_xlfn.CONCAT(B2292,A2313)</f>
        <v>145A0ECD-T</v>
      </c>
      <c r="C2313" s="17"/>
      <c r="D2313" s="184"/>
      <c r="E2313" s="197"/>
      <c r="F2313" s="19"/>
      <c r="G2313" s="20"/>
    </row>
    <row r="2314" spans="1:8" ht="14.25" thickBot="1">
      <c r="A2314" s="211" t="s">
        <v>504</v>
      </c>
      <c r="B2314" s="216" t="str">
        <f ca="1">_xlfn.CONCAT(B2292,A2314)</f>
        <v>145A0ECD-U</v>
      </c>
      <c r="C2314" s="17"/>
      <c r="D2314" s="184"/>
      <c r="E2314" s="197"/>
      <c r="F2314" s="19"/>
      <c r="G2314" s="20"/>
    </row>
    <row r="2315" spans="1:8" ht="16.5" customHeight="1" thickBot="1">
      <c r="A2315" s="211" t="s">
        <v>505</v>
      </c>
      <c r="B2315" s="216" t="str">
        <f ca="1">_xlfn.CONCAT(B2292,A2315)</f>
        <v>145A0ECD-V</v>
      </c>
      <c r="C2315" s="17" t="s">
        <v>17</v>
      </c>
      <c r="D2315" s="192" t="s">
        <v>17</v>
      </c>
      <c r="E2315" s="18"/>
      <c r="F2315" s="22" t="s">
        <v>18</v>
      </c>
      <c r="G2315" s="23">
        <f>SUM(G2294:G2314)</f>
        <v>6100</v>
      </c>
    </row>
    <row r="2316" spans="1:8" ht="28.5" customHeight="1" thickBot="1">
      <c r="A2316" s="211" t="s">
        <v>506</v>
      </c>
      <c r="B2316" s="216" t="str">
        <f ca="1">_xlfn.CONCAT(B2292,A2316)</f>
        <v>145A0ECD-W</v>
      </c>
      <c r="C2316" s="10" t="s">
        <v>19</v>
      </c>
      <c r="D2316" s="190"/>
      <c r="E2316" s="11"/>
      <c r="F2316" s="12"/>
      <c r="G2316" s="13"/>
    </row>
    <row r="2317" spans="1:8" s="47" customFormat="1" ht="23.25" customHeight="1" thickBot="1">
      <c r="A2317" s="211" t="s">
        <v>507</v>
      </c>
      <c r="B2317" s="216" t="str">
        <f ca="1">_xlfn.CONCAT(B2292,A2317)</f>
        <v>145A0ECD-X</v>
      </c>
      <c r="C2317" s="14" t="s">
        <v>1</v>
      </c>
      <c r="D2317" s="15"/>
      <c r="E2317" s="15" t="s">
        <v>20</v>
      </c>
      <c r="F2317" s="16" t="s">
        <v>21</v>
      </c>
      <c r="G2317" s="15" t="s">
        <v>5</v>
      </c>
      <c r="H2317" s="215"/>
    </row>
    <row r="2318" spans="1:8">
      <c r="A2318" s="211" t="s">
        <v>508</v>
      </c>
      <c r="B2318" s="216" t="str">
        <f ca="1">_xlfn.CONCAT(B2292,A2318)</f>
        <v>145A0ECD-Y</v>
      </c>
      <c r="C2318" s="24" t="s">
        <v>22</v>
      </c>
      <c r="D2318" s="184"/>
      <c r="E2318" s="25">
        <f>_xlfn.XLOOKUP(C2318,'H-MO'!B$7:B$30,'H-MO'!D$7:D$30,,0,1)</f>
        <v>2436.5624999999995</v>
      </c>
      <c r="F2318" s="19">
        <v>0.04</v>
      </c>
      <c r="G2318" s="33">
        <f t="shared" ref="G2318:G2323" si="69">+E2318*F2318</f>
        <v>97.462499999999977</v>
      </c>
    </row>
    <row r="2319" spans="1:8">
      <c r="A2319" s="211" t="s">
        <v>509</v>
      </c>
      <c r="B2319" s="216" t="str">
        <f ca="1">_xlfn.CONCAT(B2292,A2319)</f>
        <v>145A0ECD-Z</v>
      </c>
      <c r="C2319" s="24" t="s">
        <v>23</v>
      </c>
      <c r="D2319" s="184"/>
      <c r="E2319" s="25">
        <f>_xlfn.XLOOKUP(C2319,'H-MO'!B$7:B$30,'H-MO'!D$7:D$30,,0,1)</f>
        <v>1461.9374999999998</v>
      </c>
      <c r="F2319" s="19">
        <v>0.03</v>
      </c>
      <c r="G2319" s="33">
        <f t="shared" si="69"/>
        <v>43.858124999999994</v>
      </c>
    </row>
    <row r="2320" spans="1:8">
      <c r="A2320" s="211" t="s">
        <v>510</v>
      </c>
      <c r="B2320" s="216" t="str">
        <f ca="1">_xlfn.CONCAT(B2292,A2320)</f>
        <v>145A0ECD-aa</v>
      </c>
      <c r="C2320" s="24" t="s">
        <v>24</v>
      </c>
      <c r="D2320" s="185"/>
      <c r="E2320" s="25">
        <f>_xlfn.XLOOKUP(C2320,'H-MO'!B$7:B$30,'H-MO'!D$7:D$30,,0,1)</f>
        <v>29238.749999999996</v>
      </c>
      <c r="F2320" s="28">
        <v>7.0000000000000001E-3</v>
      </c>
      <c r="G2320" s="33">
        <f t="shared" si="69"/>
        <v>204.67124999999999</v>
      </c>
    </row>
    <row r="2321" spans="1:8">
      <c r="A2321" s="211" t="s">
        <v>511</v>
      </c>
      <c r="B2321" s="216" t="str">
        <f ca="1">_xlfn.CONCAT(B2292,A2321)</f>
        <v>145A0ECD-ab</v>
      </c>
      <c r="C2321" s="24" t="s">
        <v>25</v>
      </c>
      <c r="D2321" s="185"/>
      <c r="E2321" s="25">
        <f>_xlfn.XLOOKUP(C2321,'H-MO'!B$7:B$30,'H-MO'!D$7:D$30,,0,1)</f>
        <v>2761.4374999999995</v>
      </c>
      <c r="F2321" s="28">
        <v>0.05</v>
      </c>
      <c r="G2321" s="33">
        <f t="shared" si="69"/>
        <v>138.07187499999998</v>
      </c>
    </row>
    <row r="2322" spans="1:8">
      <c r="A2322" s="211" t="s">
        <v>512</v>
      </c>
      <c r="B2322" s="216" t="str">
        <f ca="1">_xlfn.CONCAT(B2292,A2322)</f>
        <v>145A0ECD-ac</v>
      </c>
      <c r="C2322" s="24"/>
      <c r="D2322" s="185"/>
      <c r="E2322" s="29"/>
      <c r="F2322" s="28"/>
      <c r="G2322" s="33">
        <f t="shared" si="69"/>
        <v>0</v>
      </c>
    </row>
    <row r="2323" spans="1:8" ht="14.25" thickBot="1">
      <c r="A2323" s="211" t="s">
        <v>513</v>
      </c>
      <c r="B2323" s="216" t="str">
        <f ca="1">_xlfn.CONCAT(B2292,A2323)</f>
        <v>145A0ECD-ad</v>
      </c>
      <c r="C2323" s="24"/>
      <c r="D2323" s="185"/>
      <c r="E2323" s="29"/>
      <c r="F2323" s="28"/>
      <c r="G2323" s="33">
        <f t="shared" si="69"/>
        <v>0</v>
      </c>
    </row>
    <row r="2324" spans="1:8" ht="16.5" customHeight="1" thickBot="1">
      <c r="A2324" s="211" t="s">
        <v>514</v>
      </c>
      <c r="B2324" s="216" t="str">
        <f ca="1">_xlfn.CONCAT(B2292,A2324)</f>
        <v>145A0ECD-ae</v>
      </c>
      <c r="C2324" s="17"/>
      <c r="D2324" s="192"/>
      <c r="E2324" s="18"/>
      <c r="F2324" s="22" t="s">
        <v>26</v>
      </c>
      <c r="G2324" s="23">
        <f>SUM(G2318:G2323)</f>
        <v>484.06374999999991</v>
      </c>
    </row>
    <row r="2325" spans="1:8" ht="28.5" customHeight="1" thickBot="1">
      <c r="A2325" s="211" t="s">
        <v>515</v>
      </c>
      <c r="B2325" s="216" t="str">
        <f ca="1">_xlfn.CONCAT(B2292,A2325)</f>
        <v>145A0ECD-af</v>
      </c>
      <c r="C2325" s="10" t="s">
        <v>27</v>
      </c>
      <c r="D2325" s="190"/>
      <c r="E2325" s="11"/>
      <c r="F2325" s="12"/>
      <c r="G2325" s="13"/>
    </row>
    <row r="2326" spans="1:8" s="47" customFormat="1" ht="23.25" customHeight="1" thickBot="1">
      <c r="A2326" s="211" t="s">
        <v>516</v>
      </c>
      <c r="B2326" s="216" t="str">
        <f ca="1">_xlfn.CONCAT(B2292,A2326)</f>
        <v>145A0ECD-ag</v>
      </c>
      <c r="C2326" s="14" t="s">
        <v>1</v>
      </c>
      <c r="D2326" s="15" t="s">
        <v>28</v>
      </c>
      <c r="E2326" s="15" t="s">
        <v>20</v>
      </c>
      <c r="F2326" s="16" t="s">
        <v>21</v>
      </c>
      <c r="G2326" s="15" t="s">
        <v>5</v>
      </c>
      <c r="H2326" s="215"/>
    </row>
    <row r="2327" spans="1:8">
      <c r="A2327" s="211" t="s">
        <v>517</v>
      </c>
      <c r="B2327" s="216" t="str">
        <f ca="1">_xlfn.CONCAT(B2292,A2327)</f>
        <v>145A0ECD-ah</v>
      </c>
      <c r="C2327" s="30" t="s">
        <v>29</v>
      </c>
      <c r="D2327" s="186">
        <f>'H-MO'!$N$77</f>
        <v>725918.52892505517</v>
      </c>
      <c r="E2327" s="31">
        <f>+D2327/8</f>
        <v>90739.816115631897</v>
      </c>
      <c r="F2327" s="32">
        <v>5.5E-2</v>
      </c>
      <c r="G2327" s="33">
        <f>+E2327*F2327</f>
        <v>4990.6898863597544</v>
      </c>
    </row>
    <row r="2328" spans="1:8">
      <c r="A2328" s="211" t="s">
        <v>518</v>
      </c>
      <c r="B2328" s="216" t="str">
        <f ca="1">_xlfn.CONCAT(B2292,A2328)</f>
        <v>145A0ECD-ai</v>
      </c>
      <c r="C2328" s="34" t="s">
        <v>30</v>
      </c>
      <c r="D2328" s="187">
        <f>'H-MO'!$N$86</f>
        <v>685561.39085756091</v>
      </c>
      <c r="E2328" s="29">
        <f>+D2328/8</f>
        <v>85695.173857195114</v>
      </c>
      <c r="F2328" s="28">
        <v>0</v>
      </c>
      <c r="G2328" s="33">
        <f>+E2328*F2328</f>
        <v>0</v>
      </c>
    </row>
    <row r="2329" spans="1:8" ht="14.25" thickBot="1">
      <c r="A2329" s="211" t="s">
        <v>519</v>
      </c>
      <c r="B2329" s="216" t="str">
        <f ca="1">_xlfn.CONCAT(B2292,A2329)</f>
        <v>145A0ECD-aj</v>
      </c>
      <c r="C2329" s="34"/>
      <c r="D2329" s="187"/>
      <c r="E2329" s="29"/>
      <c r="F2329" s="28"/>
      <c r="G2329" s="33">
        <f>+E2329*F2329</f>
        <v>0</v>
      </c>
    </row>
    <row r="2330" spans="1:8" ht="17.25" customHeight="1" thickBot="1">
      <c r="A2330" s="211" t="s">
        <v>520</v>
      </c>
      <c r="B2330" s="216" t="str">
        <f ca="1">_xlfn.CONCAT(B2292,A2330)</f>
        <v>145A0ECD-ak</v>
      </c>
      <c r="C2330" s="34"/>
      <c r="D2330" s="185"/>
      <c r="E2330" s="26"/>
      <c r="F2330" s="36" t="s">
        <v>31</v>
      </c>
      <c r="G2330" s="23">
        <f>SUM(G2327:G2329)</f>
        <v>4990.6898863597544</v>
      </c>
    </row>
    <row r="2331" spans="1:8" ht="14.25" thickBot="1">
      <c r="A2331" s="211" t="s">
        <v>521</v>
      </c>
      <c r="B2331" s="216" t="str">
        <f ca="1">_xlfn.CONCAT(B2292,A2331)</f>
        <v>145A0ECD-al</v>
      </c>
      <c r="C2331" s="37"/>
      <c r="E2331" s="38"/>
      <c r="F2331" s="22"/>
      <c r="G2331" s="39"/>
    </row>
    <row r="2332" spans="1:8" ht="23.25" customHeight="1" thickBot="1">
      <c r="A2332" s="211" t="s">
        <v>522</v>
      </c>
      <c r="B2332" s="216" t="str">
        <f ca="1">_xlfn.CONCAT(B2292,A2332)</f>
        <v>145A0ECD-am</v>
      </c>
      <c r="C2332" s="40"/>
      <c r="D2332" s="193"/>
      <c r="E2332" s="41"/>
      <c r="F2332" s="42"/>
      <c r="G2332" s="43">
        <f>+G2315+G2324+G2330</f>
        <v>11574.753636359754</v>
      </c>
    </row>
    <row r="2333" spans="1:8" ht="21.75" thickBot="1">
      <c r="B2333" s="212" t="s">
        <v>550</v>
      </c>
      <c r="C2333" s="2"/>
      <c r="D2333" s="183"/>
      <c r="F2333" s="4"/>
      <c r="G2333" s="5"/>
    </row>
    <row r="2334" spans="1:8" s="45" customFormat="1" ht="34.5" customHeight="1">
      <c r="A2334" s="213"/>
      <c r="B2334" s="214">
        <v>54</v>
      </c>
      <c r="C2334" s="242" t="str">
        <f ca="1">_xlfn.XLOOKUP(B2334,Cantidades!$A$10:$A$314,Cantidades!$C$10:$C$314,,0,1)</f>
        <v>Suministro e instalación de lámpara LED EMERGENCIA 48 PCS 2,8 W Sylvania. Incluye tapa salida de cordón, cable 3#16 AWG de cobre</v>
      </c>
      <c r="D2334" s="243"/>
      <c r="E2334" s="243"/>
      <c r="F2334" s="243"/>
      <c r="G2334" s="244"/>
      <c r="H2334" s="213"/>
    </row>
    <row r="2335" spans="1:8" s="47" customFormat="1" ht="24.95" customHeight="1" thickBot="1">
      <c r="A2335" s="215"/>
      <c r="B2335" s="216" t="s">
        <v>550</v>
      </c>
      <c r="C2335" s="177"/>
      <c r="D2335" s="189"/>
      <c r="E2335" s="178"/>
      <c r="F2335" s="179" t="s">
        <v>636</v>
      </c>
      <c r="G2335" s="209" t="str">
        <f ca="1">B2336</f>
        <v>E82DB5E-</v>
      </c>
      <c r="H2335" s="215"/>
    </row>
    <row r="2336" spans="1:8" ht="28.5" customHeight="1" thickBot="1">
      <c r="B2336" s="212" t="str">
        <f ca="1">_xlfn.XLOOKUP(C2334,Cantidades!$C$1:$C$314,Cantidades!$B$1:$B$314,"",0,1)</f>
        <v>E82DB5E-</v>
      </c>
      <c r="C2336" s="10" t="s">
        <v>0</v>
      </c>
      <c r="D2336" s="190"/>
      <c r="E2336" s="11"/>
      <c r="F2336" s="12"/>
      <c r="G2336" s="13"/>
    </row>
    <row r="2337" spans="1:8" s="47" customFormat="1" ht="23.25" customHeight="1" thickBot="1">
      <c r="A2337" s="215"/>
      <c r="B2337" s="216" t="s">
        <v>550</v>
      </c>
      <c r="C2337" s="14" t="s">
        <v>1</v>
      </c>
      <c r="D2337" s="15" t="s">
        <v>2</v>
      </c>
      <c r="E2337" s="15" t="s">
        <v>3</v>
      </c>
      <c r="F2337" s="16" t="s">
        <v>4</v>
      </c>
      <c r="G2337" s="15" t="s">
        <v>5</v>
      </c>
      <c r="H2337" s="215"/>
    </row>
    <row r="2338" spans="1:8" ht="15">
      <c r="A2338" s="211" t="s">
        <v>484</v>
      </c>
      <c r="B2338" s="216" t="str">
        <f ca="1">_xlfn.CONCAT(B2336,A2338)</f>
        <v>E82DB5E-A</v>
      </c>
      <c r="C2338" s="17" t="str">
        <f>_xlfn.XLOOKUP(H2338,'Materiales unitario'!$A$1:$A$2500,'Materiales unitario'!B$1:B$2500,,0,1)</f>
        <v>Lampara Led EMERGENCIA 48 PCS 2,8 W Sylvania</v>
      </c>
      <c r="D2338" s="184" t="str">
        <f>_xlfn.XLOOKUP(H2338,'Materiales unitario'!A$1:A$2500,'Materiales unitario'!C$1:C$2500,,0,1)</f>
        <v>un</v>
      </c>
      <c r="E2338" s="197">
        <f>_xlfn.XLOOKUP(H2338,'Materiales unitario'!$A$1:$A$2500,'Materiales unitario'!D$1:D$2500,,0,1)</f>
        <v>74600</v>
      </c>
      <c r="F2338" s="19">
        <v>1</v>
      </c>
      <c r="G2338" s="20">
        <f>+E2338*F2338</f>
        <v>74600</v>
      </c>
      <c r="H2338" s="217" t="s">
        <v>680</v>
      </c>
    </row>
    <row r="2339" spans="1:8" ht="15">
      <c r="A2339" s="211" t="s">
        <v>485</v>
      </c>
      <c r="B2339" s="216" t="str">
        <f ca="1">_xlfn.CONCAT(B2336,A2339)</f>
        <v>E82DB5E-B</v>
      </c>
      <c r="C2339" s="17" t="str">
        <f>_xlfn.XLOOKUP(H2339,'Materiales unitario'!$A$1:$A$2500,'Materiales unitario'!B$1:B$2500,,0,1)</f>
        <v>Conector de resorte naranja "N" 22-16 AWG</v>
      </c>
      <c r="D2339" s="184" t="str">
        <f>_xlfn.XLOOKUP(H2339,'Materiales unitario'!A$1:A$2500,'Materiales unitario'!C$1:C$2500,,0,1)</f>
        <v>un</v>
      </c>
      <c r="E2339" s="197">
        <f>_xlfn.XLOOKUP(H2339,'Materiales unitario'!$A$1:$A$2500,'Materiales unitario'!D$1:D$2500,,0,1)</f>
        <v>150</v>
      </c>
      <c r="F2339" s="19">
        <v>2</v>
      </c>
      <c r="G2339" s="20">
        <f>+E2339*F2339</f>
        <v>300</v>
      </c>
      <c r="H2339" s="217" t="s">
        <v>682</v>
      </c>
    </row>
    <row r="2340" spans="1:8" ht="15">
      <c r="A2340" s="211" t="s">
        <v>486</v>
      </c>
      <c r="B2340" s="216" t="str">
        <f ca="1">_xlfn.CONCAT(B2336,A2340)</f>
        <v>E82DB5E-C</v>
      </c>
      <c r="C2340" s="17" t="str">
        <f>_xlfn.XLOOKUP(H2340,'Materiales unitario'!$A$1:$A$2500,'Materiales unitario'!B$1:B$2500,,0,1)</f>
        <v>Cable flexible encauchetado ST-C 3x16 AWG</v>
      </c>
      <c r="D2340" s="184" t="str">
        <f>_xlfn.XLOOKUP(H2340,'Materiales unitario'!A$1:A$2500,'Materiales unitario'!C$1:C$2500,,0,1)</f>
        <v>ml</v>
      </c>
      <c r="E2340" s="197">
        <f>_xlfn.XLOOKUP(H2340,'Materiales unitario'!$A$1:$A$2500,'Materiales unitario'!D$1:D$2500,,0,1)</f>
        <v>4730</v>
      </c>
      <c r="F2340" s="19">
        <v>2</v>
      </c>
      <c r="G2340" s="20">
        <f>+E2340*F2340</f>
        <v>9460</v>
      </c>
      <c r="H2340" s="217" t="s">
        <v>278</v>
      </c>
    </row>
    <row r="2341" spans="1:8" ht="15">
      <c r="A2341" s="211" t="s">
        <v>487</v>
      </c>
      <c r="B2341" s="216" t="str">
        <f ca="1">_xlfn.CONCAT(B2336,A2341)</f>
        <v>E82DB5E-D</v>
      </c>
      <c r="C2341" s="17" t="str">
        <f>_xlfn.XLOOKUP(H2341,'Materiales unitario'!$A$1:$A$2500,'Materiales unitario'!B$1:B$2500,,0,1)</f>
        <v>Marquillas para circuito</v>
      </c>
      <c r="D2341" s="184" t="str">
        <f>_xlfn.XLOOKUP(H2341,'Materiales unitario'!A$1:A$2500,'Materiales unitario'!C$1:C$2500,,0,1)</f>
        <v>un</v>
      </c>
      <c r="E2341" s="197">
        <f>_xlfn.XLOOKUP(H2341,'Materiales unitario'!$A$1:$A$2500,'Materiales unitario'!D$1:D$2500,,0,1)</f>
        <v>1000</v>
      </c>
      <c r="F2341" s="19">
        <v>1</v>
      </c>
      <c r="G2341" s="20">
        <f>+E2341*F2341</f>
        <v>1000</v>
      </c>
      <c r="H2341" s="217" t="s">
        <v>339</v>
      </c>
    </row>
    <row r="2342" spans="1:8" ht="15">
      <c r="A2342" s="211" t="s">
        <v>488</v>
      </c>
      <c r="B2342" s="216" t="str">
        <f ca="1">_xlfn.CONCAT(B2336,A2342)</f>
        <v>E82DB5E-E</v>
      </c>
      <c r="C2342" s="17" t="str">
        <f>_xlfn.XLOOKUP(H2342,'Materiales unitario'!$A$1:$A$2500,'Materiales unitario'!B$1:B$2500,,0,1)</f>
        <v>Prensaestopa de 10 a 14 mm ø1/2"</v>
      </c>
      <c r="D2342" s="184" t="str">
        <f>_xlfn.XLOOKUP(H2342,'Materiales unitario'!A$1:A$2500,'Materiales unitario'!C$1:C$2500,,0,1)</f>
        <v>un</v>
      </c>
      <c r="E2342" s="197">
        <f>_xlfn.XLOOKUP(H2342,'Materiales unitario'!$A$1:$A$2500,'Materiales unitario'!D$1:D$2500,,0,1)</f>
        <v>1460</v>
      </c>
      <c r="F2342" s="19">
        <v>1</v>
      </c>
      <c r="G2342" s="20">
        <f>+E2342*F2342</f>
        <v>1460</v>
      </c>
      <c r="H2342" s="217" t="s">
        <v>351</v>
      </c>
    </row>
    <row r="2343" spans="1:8" ht="15">
      <c r="A2343" s="211" t="s">
        <v>489</v>
      </c>
      <c r="B2343" s="216" t="str">
        <f ca="1">_xlfn.CONCAT(B2336,A2343)</f>
        <v>E82DB5E-F</v>
      </c>
      <c r="C2343" s="17"/>
      <c r="D2343" s="184"/>
      <c r="E2343" s="197"/>
      <c r="F2343" s="19"/>
      <c r="G2343" s="20"/>
      <c r="H2343" s="217"/>
    </row>
    <row r="2344" spans="1:8" ht="15">
      <c r="A2344" s="211" t="s">
        <v>490</v>
      </c>
      <c r="B2344" s="216" t="str">
        <f ca="1">_xlfn.CONCAT(B2336,A2344)</f>
        <v>E82DB5E-G</v>
      </c>
      <c r="C2344" s="17"/>
      <c r="D2344" s="184"/>
      <c r="E2344" s="197"/>
      <c r="F2344" s="19"/>
      <c r="G2344" s="20"/>
      <c r="H2344" s="217"/>
    </row>
    <row r="2345" spans="1:8" ht="15">
      <c r="A2345" s="211" t="s">
        <v>491</v>
      </c>
      <c r="B2345" s="216" t="str">
        <f ca="1">_xlfn.CONCAT(B2336,A2345)</f>
        <v>E82DB5E-H</v>
      </c>
      <c r="C2345" s="17"/>
      <c r="D2345" s="184"/>
      <c r="E2345" s="197"/>
      <c r="F2345" s="19"/>
      <c r="G2345" s="20"/>
      <c r="H2345" s="217"/>
    </row>
    <row r="2346" spans="1:8" ht="15">
      <c r="A2346" s="211" t="s">
        <v>492</v>
      </c>
      <c r="B2346" s="216" t="str">
        <f ca="1">_xlfn.CONCAT(B2336,A2346)</f>
        <v>E82DB5E-I</v>
      </c>
      <c r="C2346" s="17"/>
      <c r="D2346" s="184"/>
      <c r="E2346" s="197"/>
      <c r="F2346" s="19"/>
      <c r="G2346" s="20"/>
      <c r="H2346" s="217"/>
    </row>
    <row r="2347" spans="1:8" ht="15">
      <c r="A2347" s="211" t="s">
        <v>493</v>
      </c>
      <c r="B2347" s="216" t="str">
        <f ca="1">_xlfn.CONCAT(B2336,A2347)</f>
        <v>E82DB5E-J</v>
      </c>
      <c r="C2347" s="17"/>
      <c r="D2347" s="184"/>
      <c r="E2347" s="197"/>
      <c r="F2347" s="19"/>
      <c r="G2347" s="20"/>
      <c r="H2347" s="217"/>
    </row>
    <row r="2348" spans="1:8" ht="15">
      <c r="A2348" s="211" t="s">
        <v>494</v>
      </c>
      <c r="B2348" s="216" t="str">
        <f ca="1">_xlfn.CONCAT(B2336,A2348)</f>
        <v>E82DB5E-K</v>
      </c>
      <c r="C2348" s="17"/>
      <c r="D2348" s="184"/>
      <c r="E2348" s="197"/>
      <c r="F2348" s="19"/>
      <c r="G2348" s="20"/>
      <c r="H2348" s="217"/>
    </row>
    <row r="2349" spans="1:8" ht="15">
      <c r="A2349" s="211" t="s">
        <v>495</v>
      </c>
      <c r="B2349" s="216" t="str">
        <f ca="1">_xlfn.CONCAT(B2336,A2349)</f>
        <v>E82DB5E-L</v>
      </c>
      <c r="C2349" s="17"/>
      <c r="D2349" s="184"/>
      <c r="E2349" s="197"/>
      <c r="F2349" s="19"/>
      <c r="G2349" s="20"/>
      <c r="H2349" s="217"/>
    </row>
    <row r="2350" spans="1:8" ht="15">
      <c r="A2350" s="211" t="s">
        <v>496</v>
      </c>
      <c r="B2350" s="216" t="str">
        <f ca="1">_xlfn.CONCAT(B2336,A2350)</f>
        <v>E82DB5E-M</v>
      </c>
      <c r="C2350" s="17"/>
      <c r="D2350" s="184"/>
      <c r="E2350" s="197"/>
      <c r="F2350" s="19"/>
      <c r="G2350" s="20"/>
      <c r="H2350" s="217"/>
    </row>
    <row r="2351" spans="1:8">
      <c r="A2351" s="211" t="s">
        <v>497</v>
      </c>
      <c r="B2351" s="216" t="str">
        <f ca="1">_xlfn.CONCAT(B2336,A2351)</f>
        <v>E82DB5E-N</v>
      </c>
      <c r="C2351" s="17"/>
      <c r="D2351" s="184"/>
      <c r="E2351" s="197"/>
      <c r="F2351" s="19"/>
      <c r="G2351" s="20"/>
    </row>
    <row r="2352" spans="1:8">
      <c r="A2352" s="211" t="s">
        <v>498</v>
      </c>
      <c r="B2352" s="216" t="str">
        <f ca="1">_xlfn.CONCAT(B2336,A2352)</f>
        <v>E82DB5E-O</v>
      </c>
      <c r="C2352" s="17"/>
      <c r="D2352" s="184"/>
      <c r="E2352" s="197"/>
      <c r="F2352" s="19"/>
      <c r="G2352" s="20"/>
    </row>
    <row r="2353" spans="1:8">
      <c r="A2353" s="211" t="s">
        <v>499</v>
      </c>
      <c r="B2353" s="216" t="str">
        <f ca="1">_xlfn.CONCAT(B2336,A2353)</f>
        <v>E82DB5E-P</v>
      </c>
      <c r="C2353" s="17"/>
      <c r="D2353" s="184"/>
      <c r="E2353" s="197"/>
      <c r="F2353" s="19"/>
      <c r="G2353" s="20"/>
    </row>
    <row r="2354" spans="1:8">
      <c r="A2354" s="211" t="s">
        <v>500</v>
      </c>
      <c r="B2354" s="216" t="str">
        <f ca="1">_xlfn.CONCAT(B2336,A2354)</f>
        <v>E82DB5E-Q</v>
      </c>
      <c r="C2354" s="17"/>
      <c r="D2354" s="184"/>
      <c r="E2354" s="197"/>
      <c r="F2354" s="19"/>
      <c r="G2354" s="20"/>
    </row>
    <row r="2355" spans="1:8">
      <c r="A2355" s="211" t="s">
        <v>501</v>
      </c>
      <c r="B2355" s="216" t="str">
        <f ca="1">_xlfn.CONCAT(B2336,A2355)</f>
        <v>E82DB5E-R</v>
      </c>
      <c r="C2355" s="17"/>
      <c r="D2355" s="184"/>
      <c r="E2355" s="197"/>
      <c r="F2355" s="19"/>
      <c r="G2355" s="20"/>
    </row>
    <row r="2356" spans="1:8">
      <c r="A2356" s="211" t="s">
        <v>502</v>
      </c>
      <c r="B2356" s="216" t="str">
        <f ca="1">_xlfn.CONCAT(B2336,A2356)</f>
        <v>E82DB5E-S</v>
      </c>
      <c r="C2356" s="17"/>
      <c r="D2356" s="184"/>
      <c r="E2356" s="197"/>
      <c r="F2356" s="19"/>
      <c r="G2356" s="20"/>
    </row>
    <row r="2357" spans="1:8">
      <c r="A2357" s="211" t="s">
        <v>503</v>
      </c>
      <c r="B2357" s="216" t="str">
        <f ca="1">_xlfn.CONCAT(B2336,A2357)</f>
        <v>E82DB5E-T</v>
      </c>
      <c r="C2357" s="17"/>
      <c r="D2357" s="184"/>
      <c r="E2357" s="197"/>
      <c r="F2357" s="19"/>
      <c r="G2357" s="20"/>
    </row>
    <row r="2358" spans="1:8" ht="14.25" thickBot="1">
      <c r="A2358" s="211" t="s">
        <v>504</v>
      </c>
      <c r="B2358" s="216" t="str">
        <f ca="1">_xlfn.CONCAT(B2336,A2358)</f>
        <v>E82DB5E-U</v>
      </c>
      <c r="C2358" s="17"/>
      <c r="D2358" s="184"/>
      <c r="E2358" s="197"/>
      <c r="F2358" s="19"/>
      <c r="G2358" s="20"/>
    </row>
    <row r="2359" spans="1:8" ht="16.5" customHeight="1" thickBot="1">
      <c r="A2359" s="211" t="s">
        <v>505</v>
      </c>
      <c r="B2359" s="216" t="str">
        <f ca="1">_xlfn.CONCAT(B2336,A2359)</f>
        <v>E82DB5E-V</v>
      </c>
      <c r="C2359" s="17" t="s">
        <v>17</v>
      </c>
      <c r="D2359" s="192" t="s">
        <v>17</v>
      </c>
      <c r="E2359" s="18"/>
      <c r="F2359" s="22" t="s">
        <v>18</v>
      </c>
      <c r="G2359" s="23">
        <f>SUM(G2338:G2358)</f>
        <v>86820</v>
      </c>
    </row>
    <row r="2360" spans="1:8" ht="28.5" customHeight="1" thickBot="1">
      <c r="A2360" s="211" t="s">
        <v>506</v>
      </c>
      <c r="B2360" s="216" t="str">
        <f ca="1">_xlfn.CONCAT(B2336,A2360)</f>
        <v>E82DB5E-W</v>
      </c>
      <c r="C2360" s="10" t="s">
        <v>19</v>
      </c>
      <c r="D2360" s="190"/>
      <c r="E2360" s="11"/>
      <c r="F2360" s="12"/>
      <c r="G2360" s="13"/>
    </row>
    <row r="2361" spans="1:8" s="47" customFormat="1" ht="23.25" customHeight="1" thickBot="1">
      <c r="A2361" s="211" t="s">
        <v>507</v>
      </c>
      <c r="B2361" s="216" t="str">
        <f ca="1">_xlfn.CONCAT(B2336,A2361)</f>
        <v>E82DB5E-X</v>
      </c>
      <c r="C2361" s="14" t="s">
        <v>1</v>
      </c>
      <c r="D2361" s="15"/>
      <c r="E2361" s="15" t="s">
        <v>20</v>
      </c>
      <c r="F2361" s="16" t="s">
        <v>21</v>
      </c>
      <c r="G2361" s="15" t="s">
        <v>5</v>
      </c>
      <c r="H2361" s="215"/>
    </row>
    <row r="2362" spans="1:8">
      <c r="A2362" s="211" t="s">
        <v>508</v>
      </c>
      <c r="B2362" s="216" t="str">
        <f ca="1">_xlfn.CONCAT(B2336,A2362)</f>
        <v>E82DB5E-Y</v>
      </c>
      <c r="C2362" s="24" t="s">
        <v>22</v>
      </c>
      <c r="D2362" s="184"/>
      <c r="E2362" s="25">
        <f>_xlfn.XLOOKUP(C2362,'H-MO'!B$7:B$30,'H-MO'!D$7:D$30,,0,1)</f>
        <v>2436.5624999999995</v>
      </c>
      <c r="F2362" s="19">
        <v>0.04</v>
      </c>
      <c r="G2362" s="33">
        <f t="shared" ref="G2362:G2367" si="70">+E2362*F2362</f>
        <v>97.462499999999977</v>
      </c>
    </row>
    <row r="2363" spans="1:8">
      <c r="A2363" s="211" t="s">
        <v>509</v>
      </c>
      <c r="B2363" s="216" t="str">
        <f ca="1">_xlfn.CONCAT(B2336,A2363)</f>
        <v>E82DB5E-Z</v>
      </c>
      <c r="C2363" s="24" t="s">
        <v>23</v>
      </c>
      <c r="D2363" s="184"/>
      <c r="E2363" s="25">
        <f>_xlfn.XLOOKUP(C2363,'H-MO'!B$7:B$30,'H-MO'!D$7:D$30,,0,1)</f>
        <v>1461.9374999999998</v>
      </c>
      <c r="F2363" s="19">
        <v>0.03</v>
      </c>
      <c r="G2363" s="33">
        <f t="shared" si="70"/>
        <v>43.858124999999994</v>
      </c>
    </row>
    <row r="2364" spans="1:8">
      <c r="A2364" s="211" t="s">
        <v>510</v>
      </c>
      <c r="B2364" s="216" t="str">
        <f ca="1">_xlfn.CONCAT(B2336,A2364)</f>
        <v>E82DB5E-aa</v>
      </c>
      <c r="C2364" s="24" t="s">
        <v>24</v>
      </c>
      <c r="D2364" s="185"/>
      <c r="E2364" s="25">
        <f>_xlfn.XLOOKUP(C2364,'H-MO'!B$7:B$30,'H-MO'!D$7:D$30,,0,1)</f>
        <v>29238.749999999996</v>
      </c>
      <c r="F2364" s="28">
        <v>7.0000000000000001E-3</v>
      </c>
      <c r="G2364" s="33">
        <f t="shared" si="70"/>
        <v>204.67124999999999</v>
      </c>
    </row>
    <row r="2365" spans="1:8">
      <c r="A2365" s="211" t="s">
        <v>511</v>
      </c>
      <c r="B2365" s="216" t="str">
        <f ca="1">_xlfn.CONCAT(B2336,A2365)</f>
        <v>E82DB5E-ab</v>
      </c>
      <c r="C2365" s="24" t="s">
        <v>25</v>
      </c>
      <c r="D2365" s="185"/>
      <c r="E2365" s="25">
        <f>_xlfn.XLOOKUP(C2365,'H-MO'!B$7:B$30,'H-MO'!D$7:D$30,,0,1)</f>
        <v>2761.4374999999995</v>
      </c>
      <c r="F2365" s="28">
        <v>0.05</v>
      </c>
      <c r="G2365" s="33">
        <f t="shared" si="70"/>
        <v>138.07187499999998</v>
      </c>
    </row>
    <row r="2366" spans="1:8">
      <c r="A2366" s="211" t="s">
        <v>512</v>
      </c>
      <c r="B2366" s="216" t="str">
        <f ca="1">_xlfn.CONCAT(B2336,A2366)</f>
        <v>E82DB5E-ac</v>
      </c>
      <c r="C2366" s="24"/>
      <c r="D2366" s="185"/>
      <c r="E2366" s="29"/>
      <c r="F2366" s="28"/>
      <c r="G2366" s="33">
        <f t="shared" si="70"/>
        <v>0</v>
      </c>
    </row>
    <row r="2367" spans="1:8" ht="14.25" thickBot="1">
      <c r="A2367" s="211" t="s">
        <v>513</v>
      </c>
      <c r="B2367" s="216" t="str">
        <f ca="1">_xlfn.CONCAT(B2336,A2367)</f>
        <v>E82DB5E-ad</v>
      </c>
      <c r="C2367" s="24"/>
      <c r="D2367" s="185"/>
      <c r="E2367" s="29"/>
      <c r="F2367" s="28"/>
      <c r="G2367" s="33">
        <f t="shared" si="70"/>
        <v>0</v>
      </c>
    </row>
    <row r="2368" spans="1:8" ht="16.5" customHeight="1" thickBot="1">
      <c r="A2368" s="211" t="s">
        <v>514</v>
      </c>
      <c r="B2368" s="216" t="str">
        <f ca="1">_xlfn.CONCAT(B2336,A2368)</f>
        <v>E82DB5E-ae</v>
      </c>
      <c r="C2368" s="17"/>
      <c r="D2368" s="192"/>
      <c r="E2368" s="18"/>
      <c r="F2368" s="22" t="s">
        <v>26</v>
      </c>
      <c r="G2368" s="23">
        <f>SUM(G2362:G2367)</f>
        <v>484.06374999999991</v>
      </c>
    </row>
    <row r="2369" spans="1:8" ht="28.5" customHeight="1" thickBot="1">
      <c r="A2369" s="211" t="s">
        <v>515</v>
      </c>
      <c r="B2369" s="216" t="str">
        <f ca="1">_xlfn.CONCAT(B2336,A2369)</f>
        <v>E82DB5E-af</v>
      </c>
      <c r="C2369" s="10" t="s">
        <v>27</v>
      </c>
      <c r="D2369" s="190"/>
      <c r="E2369" s="11"/>
      <c r="F2369" s="12"/>
      <c r="G2369" s="13"/>
    </row>
    <row r="2370" spans="1:8" s="47" customFormat="1" ht="23.25" customHeight="1" thickBot="1">
      <c r="A2370" s="211" t="s">
        <v>516</v>
      </c>
      <c r="B2370" s="216" t="str">
        <f ca="1">_xlfn.CONCAT(B2336,A2370)</f>
        <v>E82DB5E-ag</v>
      </c>
      <c r="C2370" s="14" t="s">
        <v>1</v>
      </c>
      <c r="D2370" s="15" t="s">
        <v>28</v>
      </c>
      <c r="E2370" s="15" t="s">
        <v>20</v>
      </c>
      <c r="F2370" s="16" t="s">
        <v>21</v>
      </c>
      <c r="G2370" s="15" t="s">
        <v>5</v>
      </c>
      <c r="H2370" s="215"/>
    </row>
    <row r="2371" spans="1:8">
      <c r="A2371" s="211" t="s">
        <v>517</v>
      </c>
      <c r="B2371" s="216" t="str">
        <f ca="1">_xlfn.CONCAT(B2336,A2371)</f>
        <v>E82DB5E-ah</v>
      </c>
      <c r="C2371" s="30" t="s">
        <v>29</v>
      </c>
      <c r="D2371" s="186">
        <f>'H-MO'!$N$77</f>
        <v>725918.52892505517</v>
      </c>
      <c r="E2371" s="31">
        <f>+D2371/8</f>
        <v>90739.816115631897</v>
      </c>
      <c r="F2371" s="32">
        <v>0.08</v>
      </c>
      <c r="G2371" s="33">
        <f>+E2371*F2371</f>
        <v>7259.1852892505522</v>
      </c>
    </row>
    <row r="2372" spans="1:8">
      <c r="A2372" s="211" t="s">
        <v>518</v>
      </c>
      <c r="B2372" s="216" t="str">
        <f ca="1">_xlfn.CONCAT(B2336,A2372)</f>
        <v>E82DB5E-ai</v>
      </c>
      <c r="C2372" s="34" t="s">
        <v>30</v>
      </c>
      <c r="D2372" s="187">
        <f>'H-MO'!$N$86</f>
        <v>685561.39085756091</v>
      </c>
      <c r="E2372" s="29">
        <f>+D2372/8</f>
        <v>85695.173857195114</v>
      </c>
      <c r="F2372" s="28">
        <v>0</v>
      </c>
      <c r="G2372" s="33">
        <f>+E2372*F2372</f>
        <v>0</v>
      </c>
    </row>
    <row r="2373" spans="1:8" ht="14.25" thickBot="1">
      <c r="A2373" s="211" t="s">
        <v>519</v>
      </c>
      <c r="B2373" s="216" t="str">
        <f ca="1">_xlfn.CONCAT(B2336,A2373)</f>
        <v>E82DB5E-aj</v>
      </c>
      <c r="C2373" s="34"/>
      <c r="D2373" s="187"/>
      <c r="E2373" s="29"/>
      <c r="F2373" s="28"/>
      <c r="G2373" s="33">
        <f>+E2373*F2373</f>
        <v>0</v>
      </c>
    </row>
    <row r="2374" spans="1:8" ht="17.25" customHeight="1" thickBot="1">
      <c r="A2374" s="211" t="s">
        <v>520</v>
      </c>
      <c r="B2374" s="216" t="str">
        <f ca="1">_xlfn.CONCAT(B2336,A2374)</f>
        <v>E82DB5E-ak</v>
      </c>
      <c r="C2374" s="34"/>
      <c r="D2374" s="185"/>
      <c r="E2374" s="26"/>
      <c r="F2374" s="36" t="s">
        <v>31</v>
      </c>
      <c r="G2374" s="23">
        <f>SUM(G2371:G2373)</f>
        <v>7259.1852892505522</v>
      </c>
    </row>
    <row r="2375" spans="1:8" ht="14.25" thickBot="1">
      <c r="A2375" s="211" t="s">
        <v>521</v>
      </c>
      <c r="B2375" s="216" t="str">
        <f ca="1">_xlfn.CONCAT(B2336,A2375)</f>
        <v>E82DB5E-al</v>
      </c>
      <c r="C2375" s="37"/>
      <c r="E2375" s="38"/>
      <c r="F2375" s="22"/>
      <c r="G2375" s="39"/>
    </row>
    <row r="2376" spans="1:8" ht="23.25" customHeight="1" thickBot="1">
      <c r="A2376" s="211" t="s">
        <v>522</v>
      </c>
      <c r="B2376" s="216" t="str">
        <f ca="1">_xlfn.CONCAT(B2336,A2376)</f>
        <v>E82DB5E-am</v>
      </c>
      <c r="C2376" s="40"/>
      <c r="D2376" s="193"/>
      <c r="E2376" s="41"/>
      <c r="F2376" s="42"/>
      <c r="G2376" s="43">
        <f>+G2359+G2368+G2374</f>
        <v>94563.249039250557</v>
      </c>
    </row>
    <row r="2377" spans="1:8" ht="21.75" thickBot="1">
      <c r="B2377" s="212" t="s">
        <v>550</v>
      </c>
      <c r="C2377" s="2"/>
      <c r="D2377" s="183"/>
      <c r="F2377" s="4"/>
      <c r="G2377" s="5"/>
    </row>
    <row r="2378" spans="1:8" s="45" customFormat="1" ht="34.5" customHeight="1">
      <c r="A2378" s="213"/>
      <c r="B2378" s="214">
        <v>55</v>
      </c>
      <c r="C2378" s="242" t="str">
        <f ca="1">_xlfn.XLOOKUP(B2378,Cantidades!$A$10:$A$314,Cantidades!$C$10:$C$314,,0,1)</f>
        <v xml:space="preserve">Suministro e instalación de lámpara LED EMERGENCIA R2 2 W Sylvania. Incluye tapa salida de cordón, prensaestopa, cable 3#16 AWG de cobre y demás elementos para su correcta instalación y fincionamiento. </v>
      </c>
      <c r="D2378" s="243"/>
      <c r="E2378" s="243"/>
      <c r="F2378" s="243"/>
      <c r="G2378" s="244"/>
      <c r="H2378" s="213"/>
    </row>
    <row r="2379" spans="1:8" s="47" customFormat="1" ht="24.95" customHeight="1" thickBot="1">
      <c r="A2379" s="215"/>
      <c r="B2379" s="216" t="s">
        <v>550</v>
      </c>
      <c r="C2379" s="177"/>
      <c r="D2379" s="189"/>
      <c r="E2379" s="178"/>
      <c r="F2379" s="179" t="s">
        <v>636</v>
      </c>
      <c r="G2379" s="209" t="str">
        <f ca="1">B2380</f>
        <v>12F23555-</v>
      </c>
      <c r="H2379" s="215"/>
    </row>
    <row r="2380" spans="1:8" ht="28.5" customHeight="1" thickBot="1">
      <c r="B2380" s="212" t="str">
        <f ca="1">_xlfn.XLOOKUP(C2378,Cantidades!$C$1:$C$314,Cantidades!$B$1:$B$314,"",0,1)</f>
        <v>12F23555-</v>
      </c>
      <c r="C2380" s="10" t="s">
        <v>0</v>
      </c>
      <c r="D2380" s="190"/>
      <c r="E2380" s="11"/>
      <c r="F2380" s="12"/>
      <c r="G2380" s="13"/>
    </row>
    <row r="2381" spans="1:8" s="47" customFormat="1" ht="23.25" customHeight="1" thickBot="1">
      <c r="A2381" s="215"/>
      <c r="B2381" s="216" t="s">
        <v>550</v>
      </c>
      <c r="C2381" s="14" t="s">
        <v>1</v>
      </c>
      <c r="D2381" s="15" t="s">
        <v>2</v>
      </c>
      <c r="E2381" s="15" t="s">
        <v>3</v>
      </c>
      <c r="F2381" s="16" t="s">
        <v>4</v>
      </c>
      <c r="G2381" s="15" t="s">
        <v>5</v>
      </c>
      <c r="H2381" s="215"/>
    </row>
    <row r="2382" spans="1:8" ht="15">
      <c r="A2382" s="211" t="s">
        <v>484</v>
      </c>
      <c r="B2382" s="216" t="str">
        <f ca="1">_xlfn.CONCAT(B2380,A2382)</f>
        <v>12F23555-A</v>
      </c>
      <c r="C2382" s="17" t="str">
        <f>_xlfn.XLOOKUP(H2382,'Materiales unitario'!$A$1:$A$2500,'Materiales unitario'!B$1:B$2500,,0,1)</f>
        <v>Lámpara Led EMERGENCIA R2 2 W Sylvania</v>
      </c>
      <c r="D2382" s="184" t="str">
        <f>_xlfn.XLOOKUP(H2382,'Materiales unitario'!A$1:A$2500,'Materiales unitario'!C$1:C$2500,,0,1)</f>
        <v>un</v>
      </c>
      <c r="E2382" s="197">
        <f>_xlfn.XLOOKUP(H2382,'Materiales unitario'!$A$1:$A$2500,'Materiales unitario'!D$1:D$2500,,0,1)</f>
        <v>79630</v>
      </c>
      <c r="F2382" s="19">
        <v>1</v>
      </c>
      <c r="G2382" s="20">
        <f>+E2382*F2382</f>
        <v>79630</v>
      </c>
      <c r="H2382" s="217" t="s">
        <v>685</v>
      </c>
    </row>
    <row r="2383" spans="1:8" ht="15">
      <c r="A2383" s="211" t="s">
        <v>485</v>
      </c>
      <c r="B2383" s="216" t="str">
        <f ca="1">_xlfn.CONCAT(B2380,A2383)</f>
        <v>12F23555-B</v>
      </c>
      <c r="C2383" s="17" t="str">
        <f>_xlfn.XLOOKUP(H2383,'Materiales unitario'!$A$1:$A$2500,'Materiales unitario'!B$1:B$2500,,0,1)</f>
        <v>Conector de resorte naranja "N" 22-16 AWG</v>
      </c>
      <c r="D2383" s="184" t="str">
        <f>_xlfn.XLOOKUP(H2383,'Materiales unitario'!A$1:A$2500,'Materiales unitario'!C$1:C$2500,,0,1)</f>
        <v>un</v>
      </c>
      <c r="E2383" s="197">
        <f>_xlfn.XLOOKUP(H2383,'Materiales unitario'!$A$1:$A$2500,'Materiales unitario'!D$1:D$2500,,0,1)</f>
        <v>150</v>
      </c>
      <c r="F2383" s="19">
        <v>2</v>
      </c>
      <c r="G2383" s="20">
        <f>+E2383*F2383</f>
        <v>300</v>
      </c>
      <c r="H2383" s="217" t="s">
        <v>682</v>
      </c>
    </row>
    <row r="2384" spans="1:8" ht="15">
      <c r="A2384" s="211" t="s">
        <v>486</v>
      </c>
      <c r="B2384" s="216" t="str">
        <f ca="1">_xlfn.CONCAT(B2380,A2384)</f>
        <v>12F23555-C</v>
      </c>
      <c r="C2384" s="17" t="str">
        <f>_xlfn.XLOOKUP(H2384,'Materiales unitario'!$A$1:$A$2500,'Materiales unitario'!B$1:B$2500,,0,1)</f>
        <v>Cable flexible encauchetado ST-C 3x16 AWG</v>
      </c>
      <c r="D2384" s="184" t="str">
        <f>_xlfn.XLOOKUP(H2384,'Materiales unitario'!A$1:A$2500,'Materiales unitario'!C$1:C$2500,,0,1)</f>
        <v>ml</v>
      </c>
      <c r="E2384" s="197">
        <f>_xlfn.XLOOKUP(H2384,'Materiales unitario'!$A$1:$A$2500,'Materiales unitario'!D$1:D$2500,,0,1)</f>
        <v>4730</v>
      </c>
      <c r="F2384" s="19">
        <v>2</v>
      </c>
      <c r="G2384" s="20">
        <f>+E2384*F2384</f>
        <v>9460</v>
      </c>
      <c r="H2384" s="217" t="s">
        <v>278</v>
      </c>
    </row>
    <row r="2385" spans="1:8" ht="15">
      <c r="A2385" s="211" t="s">
        <v>487</v>
      </c>
      <c r="B2385" s="216" t="str">
        <f ca="1">_xlfn.CONCAT(B2380,A2385)</f>
        <v>12F23555-D</v>
      </c>
      <c r="C2385" s="17" t="str">
        <f>_xlfn.XLOOKUP(H2385,'Materiales unitario'!$A$1:$A$2500,'Materiales unitario'!B$1:B$2500,,0,1)</f>
        <v>Marquillas para circuito</v>
      </c>
      <c r="D2385" s="184" t="str">
        <f>_xlfn.XLOOKUP(H2385,'Materiales unitario'!A$1:A$2500,'Materiales unitario'!C$1:C$2500,,0,1)</f>
        <v>un</v>
      </c>
      <c r="E2385" s="197">
        <f>_xlfn.XLOOKUP(H2385,'Materiales unitario'!$A$1:$A$2500,'Materiales unitario'!D$1:D$2500,,0,1)</f>
        <v>1000</v>
      </c>
      <c r="F2385" s="19">
        <v>1</v>
      </c>
      <c r="G2385" s="20">
        <f>+E2385*F2385</f>
        <v>1000</v>
      </c>
      <c r="H2385" s="217" t="s">
        <v>339</v>
      </c>
    </row>
    <row r="2386" spans="1:8" ht="15">
      <c r="A2386" s="211" t="s">
        <v>488</v>
      </c>
      <c r="B2386" s="216" t="str">
        <f ca="1">_xlfn.CONCAT(B2380,A2386)</f>
        <v>12F23555-E</v>
      </c>
      <c r="C2386" s="17" t="str">
        <f>_xlfn.XLOOKUP(H2386,'Materiales unitario'!$A$1:$A$2500,'Materiales unitario'!B$1:B$2500,,0,1)</f>
        <v>Prensaestopa de 10 a 14 mm ø1/2"</v>
      </c>
      <c r="D2386" s="184" t="str">
        <f>_xlfn.XLOOKUP(H2386,'Materiales unitario'!A$1:A$2500,'Materiales unitario'!C$1:C$2500,,0,1)</f>
        <v>un</v>
      </c>
      <c r="E2386" s="197">
        <f>_xlfn.XLOOKUP(H2386,'Materiales unitario'!$A$1:$A$2500,'Materiales unitario'!D$1:D$2500,,0,1)</f>
        <v>1460</v>
      </c>
      <c r="F2386" s="19">
        <v>1</v>
      </c>
      <c r="G2386" s="20">
        <f>+E2386*F2386</f>
        <v>1460</v>
      </c>
      <c r="H2386" s="217" t="s">
        <v>351</v>
      </c>
    </row>
    <row r="2387" spans="1:8" ht="15">
      <c r="A2387" s="211" t="s">
        <v>489</v>
      </c>
      <c r="B2387" s="216" t="str">
        <f ca="1">_xlfn.CONCAT(B2380,A2387)</f>
        <v>12F23555-F</v>
      </c>
      <c r="C2387" s="17"/>
      <c r="D2387" s="184"/>
      <c r="E2387" s="197"/>
      <c r="F2387" s="19"/>
      <c r="G2387" s="20"/>
      <c r="H2387" s="217"/>
    </row>
    <row r="2388" spans="1:8" ht="15">
      <c r="A2388" s="211" t="s">
        <v>490</v>
      </c>
      <c r="B2388" s="216" t="str">
        <f ca="1">_xlfn.CONCAT(B2380,A2388)</f>
        <v>12F23555-G</v>
      </c>
      <c r="C2388" s="17"/>
      <c r="D2388" s="184"/>
      <c r="E2388" s="197"/>
      <c r="F2388" s="19"/>
      <c r="G2388" s="20"/>
      <c r="H2388" s="217"/>
    </row>
    <row r="2389" spans="1:8" ht="15">
      <c r="A2389" s="211" t="s">
        <v>491</v>
      </c>
      <c r="B2389" s="216" t="str">
        <f ca="1">_xlfn.CONCAT(B2380,A2389)</f>
        <v>12F23555-H</v>
      </c>
      <c r="C2389" s="17"/>
      <c r="D2389" s="184"/>
      <c r="E2389" s="197"/>
      <c r="F2389" s="19"/>
      <c r="G2389" s="20"/>
      <c r="H2389" s="217"/>
    </row>
    <row r="2390" spans="1:8" ht="15">
      <c r="A2390" s="211" t="s">
        <v>492</v>
      </c>
      <c r="B2390" s="216" t="str">
        <f ca="1">_xlfn.CONCAT(B2380,A2390)</f>
        <v>12F23555-I</v>
      </c>
      <c r="C2390" s="17"/>
      <c r="D2390" s="184"/>
      <c r="E2390" s="197"/>
      <c r="F2390" s="19"/>
      <c r="G2390" s="20"/>
      <c r="H2390" s="217"/>
    </row>
    <row r="2391" spans="1:8" ht="15">
      <c r="A2391" s="211" t="s">
        <v>493</v>
      </c>
      <c r="B2391" s="216" t="str">
        <f ca="1">_xlfn.CONCAT(B2380,A2391)</f>
        <v>12F23555-J</v>
      </c>
      <c r="C2391" s="17"/>
      <c r="D2391" s="184"/>
      <c r="E2391" s="197"/>
      <c r="F2391" s="19"/>
      <c r="G2391" s="20"/>
      <c r="H2391" s="217"/>
    </row>
    <row r="2392" spans="1:8" ht="15">
      <c r="A2392" s="211" t="s">
        <v>494</v>
      </c>
      <c r="B2392" s="216" t="str">
        <f ca="1">_xlfn.CONCAT(B2380,A2392)</f>
        <v>12F23555-K</v>
      </c>
      <c r="C2392" s="17"/>
      <c r="D2392" s="184"/>
      <c r="E2392" s="197"/>
      <c r="F2392" s="19"/>
      <c r="G2392" s="20"/>
      <c r="H2392" s="217"/>
    </row>
    <row r="2393" spans="1:8" ht="15">
      <c r="A2393" s="211" t="s">
        <v>495</v>
      </c>
      <c r="B2393" s="216" t="str">
        <f ca="1">_xlfn.CONCAT(B2380,A2393)</f>
        <v>12F23555-L</v>
      </c>
      <c r="C2393" s="17"/>
      <c r="D2393" s="184"/>
      <c r="E2393" s="197"/>
      <c r="F2393" s="19"/>
      <c r="G2393" s="20"/>
      <c r="H2393" s="217"/>
    </row>
    <row r="2394" spans="1:8" ht="15">
      <c r="A2394" s="211" t="s">
        <v>496</v>
      </c>
      <c r="B2394" s="216" t="str">
        <f ca="1">_xlfn.CONCAT(B2380,A2394)</f>
        <v>12F23555-M</v>
      </c>
      <c r="C2394" s="17"/>
      <c r="D2394" s="184"/>
      <c r="E2394" s="197"/>
      <c r="F2394" s="19"/>
      <c r="G2394" s="20"/>
      <c r="H2394" s="217"/>
    </row>
    <row r="2395" spans="1:8">
      <c r="A2395" s="211" t="s">
        <v>497</v>
      </c>
      <c r="B2395" s="216" t="str">
        <f ca="1">_xlfn.CONCAT(B2380,A2395)</f>
        <v>12F23555-N</v>
      </c>
      <c r="C2395" s="17"/>
      <c r="D2395" s="184"/>
      <c r="E2395" s="197"/>
      <c r="F2395" s="19"/>
      <c r="G2395" s="20"/>
    </row>
    <row r="2396" spans="1:8">
      <c r="A2396" s="211" t="s">
        <v>498</v>
      </c>
      <c r="B2396" s="216" t="str">
        <f ca="1">_xlfn.CONCAT(B2380,A2396)</f>
        <v>12F23555-O</v>
      </c>
      <c r="C2396" s="17"/>
      <c r="D2396" s="184"/>
      <c r="E2396" s="197"/>
      <c r="F2396" s="19"/>
      <c r="G2396" s="20"/>
    </row>
    <row r="2397" spans="1:8">
      <c r="A2397" s="211" t="s">
        <v>499</v>
      </c>
      <c r="B2397" s="216" t="str">
        <f ca="1">_xlfn.CONCAT(B2380,A2397)</f>
        <v>12F23555-P</v>
      </c>
      <c r="C2397" s="17"/>
      <c r="D2397" s="184"/>
      <c r="E2397" s="197"/>
      <c r="F2397" s="19"/>
      <c r="G2397" s="20"/>
    </row>
    <row r="2398" spans="1:8">
      <c r="A2398" s="211" t="s">
        <v>500</v>
      </c>
      <c r="B2398" s="216" t="str">
        <f ca="1">_xlfn.CONCAT(B2380,A2398)</f>
        <v>12F23555-Q</v>
      </c>
      <c r="C2398" s="17"/>
      <c r="D2398" s="184"/>
      <c r="E2398" s="197"/>
      <c r="F2398" s="19"/>
      <c r="G2398" s="20"/>
    </row>
    <row r="2399" spans="1:8">
      <c r="A2399" s="211" t="s">
        <v>501</v>
      </c>
      <c r="B2399" s="216" t="str">
        <f ca="1">_xlfn.CONCAT(B2380,A2399)</f>
        <v>12F23555-R</v>
      </c>
      <c r="C2399" s="17"/>
      <c r="D2399" s="184"/>
      <c r="E2399" s="197"/>
      <c r="F2399" s="19"/>
      <c r="G2399" s="20"/>
    </row>
    <row r="2400" spans="1:8">
      <c r="A2400" s="211" t="s">
        <v>502</v>
      </c>
      <c r="B2400" s="216" t="str">
        <f ca="1">_xlfn.CONCAT(B2380,A2400)</f>
        <v>12F23555-S</v>
      </c>
      <c r="C2400" s="17"/>
      <c r="D2400" s="184"/>
      <c r="E2400" s="197"/>
      <c r="F2400" s="19"/>
      <c r="G2400" s="20"/>
    </row>
    <row r="2401" spans="1:8">
      <c r="A2401" s="211" t="s">
        <v>503</v>
      </c>
      <c r="B2401" s="216" t="str">
        <f ca="1">_xlfn.CONCAT(B2380,A2401)</f>
        <v>12F23555-T</v>
      </c>
      <c r="C2401" s="17"/>
      <c r="D2401" s="184"/>
      <c r="E2401" s="197"/>
      <c r="F2401" s="19"/>
      <c r="G2401" s="20"/>
    </row>
    <row r="2402" spans="1:8" ht="14.25" thickBot="1">
      <c r="A2402" s="211" t="s">
        <v>504</v>
      </c>
      <c r="B2402" s="216" t="str">
        <f ca="1">_xlfn.CONCAT(B2380,A2402)</f>
        <v>12F23555-U</v>
      </c>
      <c r="C2402" s="17"/>
      <c r="D2402" s="184"/>
      <c r="E2402" s="197"/>
      <c r="F2402" s="19"/>
      <c r="G2402" s="20"/>
    </row>
    <row r="2403" spans="1:8" ht="16.5" customHeight="1" thickBot="1">
      <c r="A2403" s="211" t="s">
        <v>505</v>
      </c>
      <c r="B2403" s="216" t="str">
        <f ca="1">_xlfn.CONCAT(B2380,A2403)</f>
        <v>12F23555-V</v>
      </c>
      <c r="C2403" s="17" t="s">
        <v>17</v>
      </c>
      <c r="D2403" s="192" t="s">
        <v>17</v>
      </c>
      <c r="E2403" s="18"/>
      <c r="F2403" s="22" t="s">
        <v>18</v>
      </c>
      <c r="G2403" s="23">
        <f>SUM(G2382:G2402)</f>
        <v>91850</v>
      </c>
    </row>
    <row r="2404" spans="1:8" ht="28.5" customHeight="1" thickBot="1">
      <c r="A2404" s="211" t="s">
        <v>506</v>
      </c>
      <c r="B2404" s="216" t="str">
        <f ca="1">_xlfn.CONCAT(B2380,A2404)</f>
        <v>12F23555-W</v>
      </c>
      <c r="C2404" s="10" t="s">
        <v>19</v>
      </c>
      <c r="D2404" s="190"/>
      <c r="E2404" s="11"/>
      <c r="F2404" s="12"/>
      <c r="G2404" s="13"/>
    </row>
    <row r="2405" spans="1:8" s="47" customFormat="1" ht="23.25" customHeight="1" thickBot="1">
      <c r="A2405" s="211" t="s">
        <v>507</v>
      </c>
      <c r="B2405" s="216" t="str">
        <f ca="1">_xlfn.CONCAT(B2380,A2405)</f>
        <v>12F23555-X</v>
      </c>
      <c r="C2405" s="14" t="s">
        <v>1</v>
      </c>
      <c r="D2405" s="15"/>
      <c r="E2405" s="15" t="s">
        <v>20</v>
      </c>
      <c r="F2405" s="16" t="s">
        <v>21</v>
      </c>
      <c r="G2405" s="15" t="s">
        <v>5</v>
      </c>
      <c r="H2405" s="215"/>
    </row>
    <row r="2406" spans="1:8">
      <c r="A2406" s="211" t="s">
        <v>508</v>
      </c>
      <c r="B2406" s="216" t="str">
        <f ca="1">_xlfn.CONCAT(B2380,A2406)</f>
        <v>12F23555-Y</v>
      </c>
      <c r="C2406" s="24" t="s">
        <v>22</v>
      </c>
      <c r="D2406" s="184"/>
      <c r="E2406" s="25">
        <f>_xlfn.XLOOKUP(C2406,'H-MO'!B$7:B$30,'H-MO'!D$7:D$30,,0,1)</f>
        <v>2436.5624999999995</v>
      </c>
      <c r="F2406" s="19">
        <v>0.04</v>
      </c>
      <c r="G2406" s="33">
        <f t="shared" ref="G2406:G2411" si="71">+E2406*F2406</f>
        <v>97.462499999999977</v>
      </c>
    </row>
    <row r="2407" spans="1:8">
      <c r="A2407" s="211" t="s">
        <v>509</v>
      </c>
      <c r="B2407" s="216" t="str">
        <f ca="1">_xlfn.CONCAT(B2380,A2407)</f>
        <v>12F23555-Z</v>
      </c>
      <c r="C2407" s="24" t="s">
        <v>23</v>
      </c>
      <c r="D2407" s="184"/>
      <c r="E2407" s="25">
        <f>_xlfn.XLOOKUP(C2407,'H-MO'!B$7:B$30,'H-MO'!D$7:D$30,,0,1)</f>
        <v>1461.9374999999998</v>
      </c>
      <c r="F2407" s="19">
        <v>0.03</v>
      </c>
      <c r="G2407" s="33">
        <f t="shared" si="71"/>
        <v>43.858124999999994</v>
      </c>
    </row>
    <row r="2408" spans="1:8">
      <c r="A2408" s="211" t="s">
        <v>510</v>
      </c>
      <c r="B2408" s="216" t="str">
        <f ca="1">_xlfn.CONCAT(B2380,A2408)</f>
        <v>12F23555-aa</v>
      </c>
      <c r="C2408" s="24" t="s">
        <v>24</v>
      </c>
      <c r="D2408" s="185"/>
      <c r="E2408" s="25">
        <f>_xlfn.XLOOKUP(C2408,'H-MO'!B$7:B$30,'H-MO'!D$7:D$30,,0,1)</f>
        <v>29238.749999999996</v>
      </c>
      <c r="F2408" s="28">
        <v>7.0000000000000001E-3</v>
      </c>
      <c r="G2408" s="33">
        <f t="shared" si="71"/>
        <v>204.67124999999999</v>
      </c>
    </row>
    <row r="2409" spans="1:8">
      <c r="A2409" s="211" t="s">
        <v>511</v>
      </c>
      <c r="B2409" s="216" t="str">
        <f ca="1">_xlfn.CONCAT(B2380,A2409)</f>
        <v>12F23555-ab</v>
      </c>
      <c r="C2409" s="24" t="s">
        <v>25</v>
      </c>
      <c r="D2409" s="185"/>
      <c r="E2409" s="25">
        <f>_xlfn.XLOOKUP(C2409,'H-MO'!B$7:B$30,'H-MO'!D$7:D$30,,0,1)</f>
        <v>2761.4374999999995</v>
      </c>
      <c r="F2409" s="28">
        <v>0.05</v>
      </c>
      <c r="G2409" s="33">
        <f t="shared" si="71"/>
        <v>138.07187499999998</v>
      </c>
    </row>
    <row r="2410" spans="1:8">
      <c r="A2410" s="211" t="s">
        <v>512</v>
      </c>
      <c r="B2410" s="216" t="str">
        <f ca="1">_xlfn.CONCAT(B2380,A2410)</f>
        <v>12F23555-ac</v>
      </c>
      <c r="C2410" s="24"/>
      <c r="D2410" s="185"/>
      <c r="E2410" s="29"/>
      <c r="F2410" s="28"/>
      <c r="G2410" s="33">
        <f t="shared" si="71"/>
        <v>0</v>
      </c>
    </row>
    <row r="2411" spans="1:8" ht="14.25" thickBot="1">
      <c r="A2411" s="211" t="s">
        <v>513</v>
      </c>
      <c r="B2411" s="216" t="str">
        <f ca="1">_xlfn.CONCAT(B2380,A2411)</f>
        <v>12F23555-ad</v>
      </c>
      <c r="C2411" s="24"/>
      <c r="D2411" s="185"/>
      <c r="E2411" s="29"/>
      <c r="F2411" s="28"/>
      <c r="G2411" s="33">
        <f t="shared" si="71"/>
        <v>0</v>
      </c>
    </row>
    <row r="2412" spans="1:8" ht="16.5" customHeight="1" thickBot="1">
      <c r="A2412" s="211" t="s">
        <v>514</v>
      </c>
      <c r="B2412" s="216" t="str">
        <f ca="1">_xlfn.CONCAT(B2380,A2412)</f>
        <v>12F23555-ae</v>
      </c>
      <c r="C2412" s="17"/>
      <c r="D2412" s="192"/>
      <c r="E2412" s="18"/>
      <c r="F2412" s="22" t="s">
        <v>26</v>
      </c>
      <c r="G2412" s="23">
        <f>SUM(G2406:G2411)</f>
        <v>484.06374999999991</v>
      </c>
    </row>
    <row r="2413" spans="1:8" ht="28.5" customHeight="1" thickBot="1">
      <c r="A2413" s="211" t="s">
        <v>515</v>
      </c>
      <c r="B2413" s="216" t="str">
        <f ca="1">_xlfn.CONCAT(B2380,A2413)</f>
        <v>12F23555-af</v>
      </c>
      <c r="C2413" s="10" t="s">
        <v>27</v>
      </c>
      <c r="D2413" s="190"/>
      <c r="E2413" s="11"/>
      <c r="F2413" s="12"/>
      <c r="G2413" s="13"/>
    </row>
    <row r="2414" spans="1:8" s="47" customFormat="1" ht="23.25" customHeight="1" thickBot="1">
      <c r="A2414" s="211" t="s">
        <v>516</v>
      </c>
      <c r="B2414" s="216" t="str">
        <f ca="1">_xlfn.CONCAT(B2380,A2414)</f>
        <v>12F23555-ag</v>
      </c>
      <c r="C2414" s="14" t="s">
        <v>1</v>
      </c>
      <c r="D2414" s="15" t="s">
        <v>28</v>
      </c>
      <c r="E2414" s="15" t="s">
        <v>20</v>
      </c>
      <c r="F2414" s="16" t="s">
        <v>21</v>
      </c>
      <c r="G2414" s="15" t="s">
        <v>5</v>
      </c>
      <c r="H2414" s="215"/>
    </row>
    <row r="2415" spans="1:8">
      <c r="A2415" s="211" t="s">
        <v>517</v>
      </c>
      <c r="B2415" s="216" t="str">
        <f ca="1">_xlfn.CONCAT(B2380,A2415)</f>
        <v>12F23555-ah</v>
      </c>
      <c r="C2415" s="30" t="s">
        <v>29</v>
      </c>
      <c r="D2415" s="186">
        <f>'H-MO'!$N$77</f>
        <v>725918.52892505517</v>
      </c>
      <c r="E2415" s="31">
        <f>+D2415/8</f>
        <v>90739.816115631897</v>
      </c>
      <c r="F2415" s="32">
        <v>0.08</v>
      </c>
      <c r="G2415" s="33">
        <f>+E2415*F2415</f>
        <v>7259.1852892505522</v>
      </c>
    </row>
    <row r="2416" spans="1:8">
      <c r="A2416" s="211" t="s">
        <v>518</v>
      </c>
      <c r="B2416" s="216" t="str">
        <f ca="1">_xlfn.CONCAT(B2380,A2416)</f>
        <v>12F23555-ai</v>
      </c>
      <c r="C2416" s="34" t="s">
        <v>30</v>
      </c>
      <c r="D2416" s="187">
        <f>'H-MO'!$N$86</f>
        <v>685561.39085756091</v>
      </c>
      <c r="E2416" s="29">
        <f>+D2416/8</f>
        <v>85695.173857195114</v>
      </c>
      <c r="F2416" s="28">
        <v>0</v>
      </c>
      <c r="G2416" s="33">
        <f>+E2416*F2416</f>
        <v>0</v>
      </c>
    </row>
    <row r="2417" spans="1:8" ht="14.25" thickBot="1">
      <c r="A2417" s="211" t="s">
        <v>519</v>
      </c>
      <c r="B2417" s="216" t="str">
        <f ca="1">_xlfn.CONCAT(B2380,A2417)</f>
        <v>12F23555-aj</v>
      </c>
      <c r="C2417" s="34"/>
      <c r="D2417" s="187"/>
      <c r="E2417" s="29"/>
      <c r="F2417" s="28"/>
      <c r="G2417" s="33">
        <f>+E2417*F2417</f>
        <v>0</v>
      </c>
    </row>
    <row r="2418" spans="1:8" ht="17.25" customHeight="1" thickBot="1">
      <c r="A2418" s="211" t="s">
        <v>520</v>
      </c>
      <c r="B2418" s="216" t="str">
        <f ca="1">_xlfn.CONCAT(B2380,A2418)</f>
        <v>12F23555-ak</v>
      </c>
      <c r="C2418" s="34"/>
      <c r="D2418" s="185"/>
      <c r="E2418" s="26"/>
      <c r="F2418" s="36" t="s">
        <v>31</v>
      </c>
      <c r="G2418" s="23">
        <f>SUM(G2415:G2417)</f>
        <v>7259.1852892505522</v>
      </c>
    </row>
    <row r="2419" spans="1:8" ht="14.25" thickBot="1">
      <c r="A2419" s="211" t="s">
        <v>521</v>
      </c>
      <c r="B2419" s="216" t="str">
        <f ca="1">_xlfn.CONCAT(B2380,A2419)</f>
        <v>12F23555-al</v>
      </c>
      <c r="C2419" s="37"/>
      <c r="E2419" s="38"/>
      <c r="F2419" s="22"/>
      <c r="G2419" s="39"/>
    </row>
    <row r="2420" spans="1:8" ht="23.25" customHeight="1" thickBot="1">
      <c r="A2420" s="211" t="s">
        <v>522</v>
      </c>
      <c r="B2420" s="216" t="str">
        <f ca="1">_xlfn.CONCAT(B2380,A2420)</f>
        <v>12F23555-am</v>
      </c>
      <c r="C2420" s="40"/>
      <c r="D2420" s="193"/>
      <c r="E2420" s="41"/>
      <c r="F2420" s="42"/>
      <c r="G2420" s="43">
        <f>+G2403+G2412+G2418</f>
        <v>99593.249039250557</v>
      </c>
    </row>
    <row r="2421" spans="1:8" ht="21.75" thickBot="1">
      <c r="B2421" s="212" t="s">
        <v>550</v>
      </c>
      <c r="C2421" s="2"/>
      <c r="D2421" s="183"/>
      <c r="F2421" s="4"/>
      <c r="G2421" s="5"/>
    </row>
    <row r="2422" spans="1:8" s="45" customFormat="1" ht="34.5" customHeight="1">
      <c r="A2422" s="213"/>
      <c r="B2422" s="214">
        <v>56</v>
      </c>
      <c r="C2422" s="242" t="str">
        <f ca="1">_xlfn.XLOOKUP(B2422,Cantidades!$A$10:$A$314,Cantidades!$C$10:$C$314,,0,1)</f>
        <v>Suministro e instalación de lámpara LED EMERGENCIA R3 DESIGN 2 W Sylvania. Incluye tapa salida de cordón, prensaestopa, cable 3#16 AWG de cobre y demás elementos para su correcta instalación y fincionamiento.</v>
      </c>
      <c r="D2422" s="243"/>
      <c r="E2422" s="243"/>
      <c r="F2422" s="243"/>
      <c r="G2422" s="244"/>
      <c r="H2422" s="213"/>
    </row>
    <row r="2423" spans="1:8" s="47" customFormat="1" ht="24.95" customHeight="1" thickBot="1">
      <c r="A2423" s="215"/>
      <c r="B2423" s="216" t="s">
        <v>550</v>
      </c>
      <c r="C2423" s="177"/>
      <c r="D2423" s="189"/>
      <c r="E2423" s="178"/>
      <c r="F2423" s="179" t="s">
        <v>636</v>
      </c>
      <c r="G2423" s="209" t="str">
        <f ca="1">B2424</f>
        <v>6E73529-</v>
      </c>
      <c r="H2423" s="215"/>
    </row>
    <row r="2424" spans="1:8" ht="28.5" customHeight="1" thickBot="1">
      <c r="B2424" s="212" t="str">
        <f ca="1">_xlfn.XLOOKUP(C2422,Cantidades!$C$1:$C$314,Cantidades!$B$1:$B$314,"",0,1)</f>
        <v>6E73529-</v>
      </c>
      <c r="C2424" s="10" t="s">
        <v>0</v>
      </c>
      <c r="D2424" s="190"/>
      <c r="E2424" s="11"/>
      <c r="F2424" s="12"/>
      <c r="G2424" s="13"/>
    </row>
    <row r="2425" spans="1:8" s="47" customFormat="1" ht="23.25" customHeight="1" thickBot="1">
      <c r="A2425" s="215"/>
      <c r="B2425" s="216" t="s">
        <v>550</v>
      </c>
      <c r="C2425" s="14" t="s">
        <v>1</v>
      </c>
      <c r="D2425" s="15" t="s">
        <v>2</v>
      </c>
      <c r="E2425" s="15" t="s">
        <v>3</v>
      </c>
      <c r="F2425" s="16" t="s">
        <v>4</v>
      </c>
      <c r="G2425" s="15" t="s">
        <v>5</v>
      </c>
      <c r="H2425" s="215"/>
    </row>
    <row r="2426" spans="1:8" ht="15">
      <c r="A2426" s="211" t="s">
        <v>484</v>
      </c>
      <c r="B2426" s="216" t="str">
        <f ca="1">_xlfn.CONCAT(B2424,A2426)</f>
        <v>6E73529-A</v>
      </c>
      <c r="C2426" s="17" t="str">
        <f>_xlfn.XLOOKUP(H2426,'Materiales unitario'!$A$1:$A$2500,'Materiales unitario'!B$1:B$2500,,0,1)</f>
        <v>lámpara Led EMERGENCIA R3 DESIGN 2 W Sylvania</v>
      </c>
      <c r="D2426" s="184" t="str">
        <f>_xlfn.XLOOKUP(H2426,'Materiales unitario'!A$1:A$2500,'Materiales unitario'!C$1:C$2500,,0,1)</f>
        <v>un</v>
      </c>
      <c r="E2426" s="197">
        <f>_xlfn.XLOOKUP(H2426,'Materiales unitario'!$A$1:$A$2500,'Materiales unitario'!D$1:D$2500,,0,1)</f>
        <v>75320</v>
      </c>
      <c r="F2426" s="19">
        <v>1</v>
      </c>
      <c r="G2426" s="20">
        <f>+E2426*F2426</f>
        <v>75320</v>
      </c>
      <c r="H2426" s="217" t="s">
        <v>689</v>
      </c>
    </row>
    <row r="2427" spans="1:8" ht="15">
      <c r="A2427" s="211" t="s">
        <v>485</v>
      </c>
      <c r="B2427" s="216" t="str">
        <f ca="1">_xlfn.CONCAT(B2424,A2427)</f>
        <v>6E73529-B</v>
      </c>
      <c r="C2427" s="17" t="str">
        <f>_xlfn.XLOOKUP(H2427,'Materiales unitario'!$A$1:$A$2500,'Materiales unitario'!B$1:B$2500,,0,1)</f>
        <v>Conector de resorte naranja "N" 22-16 AWG</v>
      </c>
      <c r="D2427" s="184" t="str">
        <f>_xlfn.XLOOKUP(H2427,'Materiales unitario'!A$1:A$2500,'Materiales unitario'!C$1:C$2500,,0,1)</f>
        <v>un</v>
      </c>
      <c r="E2427" s="197">
        <f>_xlfn.XLOOKUP(H2427,'Materiales unitario'!$A$1:$A$2500,'Materiales unitario'!D$1:D$2500,,0,1)</f>
        <v>150</v>
      </c>
      <c r="F2427" s="19">
        <v>2</v>
      </c>
      <c r="G2427" s="20">
        <f>+E2427*F2427</f>
        <v>300</v>
      </c>
      <c r="H2427" s="217" t="s">
        <v>682</v>
      </c>
    </row>
    <row r="2428" spans="1:8" ht="15">
      <c r="A2428" s="211" t="s">
        <v>486</v>
      </c>
      <c r="B2428" s="216" t="str">
        <f ca="1">_xlfn.CONCAT(B2424,A2428)</f>
        <v>6E73529-C</v>
      </c>
      <c r="C2428" s="17" t="str">
        <f>_xlfn.XLOOKUP(H2428,'Materiales unitario'!$A$1:$A$2500,'Materiales unitario'!B$1:B$2500,,0,1)</f>
        <v>Cable flexible encauchetado ST-C 3x16 AWG</v>
      </c>
      <c r="D2428" s="184" t="str">
        <f>_xlfn.XLOOKUP(H2428,'Materiales unitario'!A$1:A$2500,'Materiales unitario'!C$1:C$2500,,0,1)</f>
        <v>ml</v>
      </c>
      <c r="E2428" s="197">
        <f>_xlfn.XLOOKUP(H2428,'Materiales unitario'!$A$1:$A$2500,'Materiales unitario'!D$1:D$2500,,0,1)</f>
        <v>4730</v>
      </c>
      <c r="F2428" s="19">
        <v>2</v>
      </c>
      <c r="G2428" s="20">
        <f>+E2428*F2428</f>
        <v>9460</v>
      </c>
      <c r="H2428" s="217" t="s">
        <v>278</v>
      </c>
    </row>
    <row r="2429" spans="1:8" ht="15">
      <c r="A2429" s="211" t="s">
        <v>487</v>
      </c>
      <c r="B2429" s="216" t="str">
        <f ca="1">_xlfn.CONCAT(B2424,A2429)</f>
        <v>6E73529-D</v>
      </c>
      <c r="C2429" s="17" t="str">
        <f>_xlfn.XLOOKUP(H2429,'Materiales unitario'!$A$1:$A$2500,'Materiales unitario'!B$1:B$2500,,0,1)</f>
        <v>Marquillas para circuito</v>
      </c>
      <c r="D2429" s="184" t="str">
        <f>_xlfn.XLOOKUP(H2429,'Materiales unitario'!A$1:A$2500,'Materiales unitario'!C$1:C$2500,,0,1)</f>
        <v>un</v>
      </c>
      <c r="E2429" s="197">
        <f>_xlfn.XLOOKUP(H2429,'Materiales unitario'!$A$1:$A$2500,'Materiales unitario'!D$1:D$2500,,0,1)</f>
        <v>1000</v>
      </c>
      <c r="F2429" s="19">
        <v>1</v>
      </c>
      <c r="G2429" s="20">
        <f>+E2429*F2429</f>
        <v>1000</v>
      </c>
      <c r="H2429" s="217" t="s">
        <v>339</v>
      </c>
    </row>
    <row r="2430" spans="1:8" ht="15">
      <c r="A2430" s="211" t="s">
        <v>488</v>
      </c>
      <c r="B2430" s="216" t="str">
        <f ca="1">_xlfn.CONCAT(B2424,A2430)</f>
        <v>6E73529-E</v>
      </c>
      <c r="C2430" s="17" t="str">
        <f>_xlfn.XLOOKUP(H2430,'Materiales unitario'!$A$1:$A$2500,'Materiales unitario'!B$1:B$2500,,0,1)</f>
        <v>Prensaestopa de 10 a 14 mm ø1/2"</v>
      </c>
      <c r="D2430" s="184" t="str">
        <f>_xlfn.XLOOKUP(H2430,'Materiales unitario'!A$1:A$2500,'Materiales unitario'!C$1:C$2500,,0,1)</f>
        <v>un</v>
      </c>
      <c r="E2430" s="197">
        <f>_xlfn.XLOOKUP(H2430,'Materiales unitario'!$A$1:$A$2500,'Materiales unitario'!D$1:D$2500,,0,1)</f>
        <v>1460</v>
      </c>
      <c r="F2430" s="19">
        <v>1</v>
      </c>
      <c r="G2430" s="20">
        <f>+E2430*F2430</f>
        <v>1460</v>
      </c>
      <c r="H2430" s="217" t="s">
        <v>351</v>
      </c>
    </row>
    <row r="2431" spans="1:8" ht="15">
      <c r="A2431" s="211" t="s">
        <v>489</v>
      </c>
      <c r="B2431" s="216" t="str">
        <f ca="1">_xlfn.CONCAT(B2424,A2431)</f>
        <v>6E73529-F</v>
      </c>
      <c r="C2431" s="17"/>
      <c r="D2431" s="184"/>
      <c r="E2431" s="197"/>
      <c r="F2431" s="19"/>
      <c r="G2431" s="20"/>
      <c r="H2431" s="217"/>
    </row>
    <row r="2432" spans="1:8" ht="15">
      <c r="A2432" s="211" t="s">
        <v>490</v>
      </c>
      <c r="B2432" s="216" t="str">
        <f ca="1">_xlfn.CONCAT(B2424,A2432)</f>
        <v>6E73529-G</v>
      </c>
      <c r="C2432" s="17"/>
      <c r="D2432" s="184"/>
      <c r="E2432" s="197"/>
      <c r="F2432" s="19"/>
      <c r="G2432" s="20"/>
      <c r="H2432" s="217"/>
    </row>
    <row r="2433" spans="1:8" ht="15">
      <c r="A2433" s="211" t="s">
        <v>491</v>
      </c>
      <c r="B2433" s="216" t="str">
        <f ca="1">_xlfn.CONCAT(B2424,A2433)</f>
        <v>6E73529-H</v>
      </c>
      <c r="C2433" s="17"/>
      <c r="D2433" s="184"/>
      <c r="E2433" s="197"/>
      <c r="F2433" s="19"/>
      <c r="G2433" s="20"/>
      <c r="H2433" s="217"/>
    </row>
    <row r="2434" spans="1:8" ht="15">
      <c r="A2434" s="211" t="s">
        <v>492</v>
      </c>
      <c r="B2434" s="216" t="str">
        <f ca="1">_xlfn.CONCAT(B2424,A2434)</f>
        <v>6E73529-I</v>
      </c>
      <c r="C2434" s="17"/>
      <c r="D2434" s="184"/>
      <c r="E2434" s="197"/>
      <c r="F2434" s="19"/>
      <c r="G2434" s="20"/>
      <c r="H2434" s="217"/>
    </row>
    <row r="2435" spans="1:8" ht="15">
      <c r="A2435" s="211" t="s">
        <v>493</v>
      </c>
      <c r="B2435" s="216" t="str">
        <f ca="1">_xlfn.CONCAT(B2424,A2435)</f>
        <v>6E73529-J</v>
      </c>
      <c r="C2435" s="17"/>
      <c r="D2435" s="184"/>
      <c r="E2435" s="197"/>
      <c r="F2435" s="19"/>
      <c r="G2435" s="20"/>
      <c r="H2435" s="217"/>
    </row>
    <row r="2436" spans="1:8" ht="15">
      <c r="A2436" s="211" t="s">
        <v>494</v>
      </c>
      <c r="B2436" s="216" t="str">
        <f ca="1">_xlfn.CONCAT(B2424,A2436)</f>
        <v>6E73529-K</v>
      </c>
      <c r="C2436" s="17"/>
      <c r="D2436" s="184"/>
      <c r="E2436" s="197"/>
      <c r="F2436" s="19"/>
      <c r="G2436" s="20"/>
      <c r="H2436" s="217"/>
    </row>
    <row r="2437" spans="1:8" ht="15">
      <c r="A2437" s="211" t="s">
        <v>495</v>
      </c>
      <c r="B2437" s="216" t="str">
        <f ca="1">_xlfn.CONCAT(B2424,A2437)</f>
        <v>6E73529-L</v>
      </c>
      <c r="C2437" s="17"/>
      <c r="D2437" s="184"/>
      <c r="E2437" s="197"/>
      <c r="F2437" s="19"/>
      <c r="G2437" s="20"/>
      <c r="H2437" s="217"/>
    </row>
    <row r="2438" spans="1:8" ht="15">
      <c r="A2438" s="211" t="s">
        <v>496</v>
      </c>
      <c r="B2438" s="216" t="str">
        <f ca="1">_xlfn.CONCAT(B2424,A2438)</f>
        <v>6E73529-M</v>
      </c>
      <c r="C2438" s="17"/>
      <c r="D2438" s="184"/>
      <c r="E2438" s="197"/>
      <c r="F2438" s="19"/>
      <c r="G2438" s="20"/>
      <c r="H2438" s="217"/>
    </row>
    <row r="2439" spans="1:8">
      <c r="A2439" s="211" t="s">
        <v>497</v>
      </c>
      <c r="B2439" s="216" t="str">
        <f ca="1">_xlfn.CONCAT(B2424,A2439)</f>
        <v>6E73529-N</v>
      </c>
      <c r="C2439" s="17"/>
      <c r="D2439" s="184"/>
      <c r="E2439" s="197"/>
      <c r="F2439" s="19"/>
      <c r="G2439" s="20"/>
    </row>
    <row r="2440" spans="1:8">
      <c r="A2440" s="211" t="s">
        <v>498</v>
      </c>
      <c r="B2440" s="216" t="str">
        <f ca="1">_xlfn.CONCAT(B2424,A2440)</f>
        <v>6E73529-O</v>
      </c>
      <c r="C2440" s="17"/>
      <c r="D2440" s="184"/>
      <c r="E2440" s="197"/>
      <c r="F2440" s="19"/>
      <c r="G2440" s="20"/>
    </row>
    <row r="2441" spans="1:8">
      <c r="A2441" s="211" t="s">
        <v>499</v>
      </c>
      <c r="B2441" s="216" t="str">
        <f ca="1">_xlfn.CONCAT(B2424,A2441)</f>
        <v>6E73529-P</v>
      </c>
      <c r="C2441" s="17"/>
      <c r="D2441" s="184"/>
      <c r="E2441" s="197"/>
      <c r="F2441" s="19"/>
      <c r="G2441" s="20"/>
    </row>
    <row r="2442" spans="1:8">
      <c r="A2442" s="211" t="s">
        <v>500</v>
      </c>
      <c r="B2442" s="216" t="str">
        <f ca="1">_xlfn.CONCAT(B2424,A2442)</f>
        <v>6E73529-Q</v>
      </c>
      <c r="C2442" s="17"/>
      <c r="D2442" s="184"/>
      <c r="E2442" s="197"/>
      <c r="F2442" s="19"/>
      <c r="G2442" s="20"/>
    </row>
    <row r="2443" spans="1:8">
      <c r="A2443" s="211" t="s">
        <v>501</v>
      </c>
      <c r="B2443" s="216" t="str">
        <f ca="1">_xlfn.CONCAT(B2424,A2443)</f>
        <v>6E73529-R</v>
      </c>
      <c r="C2443" s="17"/>
      <c r="D2443" s="184"/>
      <c r="E2443" s="197"/>
      <c r="F2443" s="19"/>
      <c r="G2443" s="20"/>
    </row>
    <row r="2444" spans="1:8">
      <c r="A2444" s="211" t="s">
        <v>502</v>
      </c>
      <c r="B2444" s="216" t="str">
        <f ca="1">_xlfn.CONCAT(B2424,A2444)</f>
        <v>6E73529-S</v>
      </c>
      <c r="C2444" s="17"/>
      <c r="D2444" s="184"/>
      <c r="E2444" s="197"/>
      <c r="F2444" s="19"/>
      <c r="G2444" s="20"/>
    </row>
    <row r="2445" spans="1:8">
      <c r="A2445" s="211" t="s">
        <v>503</v>
      </c>
      <c r="B2445" s="216" t="str">
        <f ca="1">_xlfn.CONCAT(B2424,A2445)</f>
        <v>6E73529-T</v>
      </c>
      <c r="C2445" s="17"/>
      <c r="D2445" s="184"/>
      <c r="E2445" s="197"/>
      <c r="F2445" s="19"/>
      <c r="G2445" s="20"/>
    </row>
    <row r="2446" spans="1:8" ht="14.25" thickBot="1">
      <c r="A2446" s="211" t="s">
        <v>504</v>
      </c>
      <c r="B2446" s="216" t="str">
        <f ca="1">_xlfn.CONCAT(B2424,A2446)</f>
        <v>6E73529-U</v>
      </c>
      <c r="C2446" s="17"/>
      <c r="D2446" s="184"/>
      <c r="E2446" s="197"/>
      <c r="F2446" s="19"/>
      <c r="G2446" s="20"/>
    </row>
    <row r="2447" spans="1:8" ht="16.5" customHeight="1" thickBot="1">
      <c r="A2447" s="211" t="s">
        <v>505</v>
      </c>
      <c r="B2447" s="216" t="str">
        <f ca="1">_xlfn.CONCAT(B2424,A2447)</f>
        <v>6E73529-V</v>
      </c>
      <c r="C2447" s="17" t="s">
        <v>17</v>
      </c>
      <c r="D2447" s="192" t="s">
        <v>17</v>
      </c>
      <c r="E2447" s="18"/>
      <c r="F2447" s="22" t="s">
        <v>18</v>
      </c>
      <c r="G2447" s="23">
        <f>SUM(G2426:G2446)</f>
        <v>87540</v>
      </c>
    </row>
    <row r="2448" spans="1:8" ht="28.5" customHeight="1" thickBot="1">
      <c r="A2448" s="211" t="s">
        <v>506</v>
      </c>
      <c r="B2448" s="216" t="str">
        <f ca="1">_xlfn.CONCAT(B2424,A2448)</f>
        <v>6E73529-W</v>
      </c>
      <c r="C2448" s="10" t="s">
        <v>19</v>
      </c>
      <c r="D2448" s="190"/>
      <c r="E2448" s="11"/>
      <c r="F2448" s="12"/>
      <c r="G2448" s="13"/>
    </row>
    <row r="2449" spans="1:8" s="47" customFormat="1" ht="23.25" customHeight="1" thickBot="1">
      <c r="A2449" s="211" t="s">
        <v>507</v>
      </c>
      <c r="B2449" s="216" t="str">
        <f ca="1">_xlfn.CONCAT(B2424,A2449)</f>
        <v>6E73529-X</v>
      </c>
      <c r="C2449" s="14" t="s">
        <v>1</v>
      </c>
      <c r="D2449" s="15"/>
      <c r="E2449" s="15" t="s">
        <v>20</v>
      </c>
      <c r="F2449" s="16" t="s">
        <v>21</v>
      </c>
      <c r="G2449" s="15" t="s">
        <v>5</v>
      </c>
      <c r="H2449" s="215"/>
    </row>
    <row r="2450" spans="1:8">
      <c r="A2450" s="211" t="s">
        <v>508</v>
      </c>
      <c r="B2450" s="216" t="str">
        <f ca="1">_xlfn.CONCAT(B2424,A2450)</f>
        <v>6E73529-Y</v>
      </c>
      <c r="C2450" s="24" t="s">
        <v>22</v>
      </c>
      <c r="D2450" s="184"/>
      <c r="E2450" s="25">
        <f>_xlfn.XLOOKUP(C2450,'H-MO'!B$7:B$30,'H-MO'!D$7:D$30,,0,1)</f>
        <v>2436.5624999999995</v>
      </c>
      <c r="F2450" s="19">
        <v>0.04</v>
      </c>
      <c r="G2450" s="33">
        <f t="shared" ref="G2450:G2455" si="72">+E2450*F2450</f>
        <v>97.462499999999977</v>
      </c>
    </row>
    <row r="2451" spans="1:8">
      <c r="A2451" s="211" t="s">
        <v>509</v>
      </c>
      <c r="B2451" s="216" t="str">
        <f ca="1">_xlfn.CONCAT(B2424,A2451)</f>
        <v>6E73529-Z</v>
      </c>
      <c r="C2451" s="24" t="s">
        <v>23</v>
      </c>
      <c r="D2451" s="184"/>
      <c r="E2451" s="25">
        <f>_xlfn.XLOOKUP(C2451,'H-MO'!B$7:B$30,'H-MO'!D$7:D$30,,0,1)</f>
        <v>1461.9374999999998</v>
      </c>
      <c r="F2451" s="19">
        <v>0.03</v>
      </c>
      <c r="G2451" s="33">
        <f t="shared" si="72"/>
        <v>43.858124999999994</v>
      </c>
    </row>
    <row r="2452" spans="1:8">
      <c r="A2452" s="211" t="s">
        <v>510</v>
      </c>
      <c r="B2452" s="216" t="str">
        <f ca="1">_xlfn.CONCAT(B2424,A2452)</f>
        <v>6E73529-aa</v>
      </c>
      <c r="C2452" s="24" t="s">
        <v>24</v>
      </c>
      <c r="D2452" s="185"/>
      <c r="E2452" s="25">
        <f>_xlfn.XLOOKUP(C2452,'H-MO'!B$7:B$30,'H-MO'!D$7:D$30,,0,1)</f>
        <v>29238.749999999996</v>
      </c>
      <c r="F2452" s="28">
        <v>7.0000000000000001E-3</v>
      </c>
      <c r="G2452" s="33">
        <f t="shared" si="72"/>
        <v>204.67124999999999</v>
      </c>
    </row>
    <row r="2453" spans="1:8">
      <c r="A2453" s="211" t="s">
        <v>511</v>
      </c>
      <c r="B2453" s="216" t="str">
        <f ca="1">_xlfn.CONCAT(B2424,A2453)</f>
        <v>6E73529-ab</v>
      </c>
      <c r="C2453" s="24" t="s">
        <v>25</v>
      </c>
      <c r="D2453" s="185"/>
      <c r="E2453" s="25">
        <f>_xlfn.XLOOKUP(C2453,'H-MO'!B$7:B$30,'H-MO'!D$7:D$30,,0,1)</f>
        <v>2761.4374999999995</v>
      </c>
      <c r="F2453" s="28">
        <v>0.05</v>
      </c>
      <c r="G2453" s="33">
        <f t="shared" si="72"/>
        <v>138.07187499999998</v>
      </c>
    </row>
    <row r="2454" spans="1:8">
      <c r="A2454" s="211" t="s">
        <v>512</v>
      </c>
      <c r="B2454" s="216" t="str">
        <f ca="1">_xlfn.CONCAT(B2424,A2454)</f>
        <v>6E73529-ac</v>
      </c>
      <c r="C2454" s="24"/>
      <c r="D2454" s="185"/>
      <c r="E2454" s="29"/>
      <c r="F2454" s="28"/>
      <c r="G2454" s="33">
        <f t="shared" si="72"/>
        <v>0</v>
      </c>
    </row>
    <row r="2455" spans="1:8" ht="14.25" thickBot="1">
      <c r="A2455" s="211" t="s">
        <v>513</v>
      </c>
      <c r="B2455" s="216" t="str">
        <f ca="1">_xlfn.CONCAT(B2424,A2455)</f>
        <v>6E73529-ad</v>
      </c>
      <c r="C2455" s="24"/>
      <c r="D2455" s="185"/>
      <c r="E2455" s="29"/>
      <c r="F2455" s="28"/>
      <c r="G2455" s="33">
        <f t="shared" si="72"/>
        <v>0</v>
      </c>
    </row>
    <row r="2456" spans="1:8" ht="16.5" customHeight="1" thickBot="1">
      <c r="A2456" s="211" t="s">
        <v>514</v>
      </c>
      <c r="B2456" s="216" t="str">
        <f ca="1">_xlfn.CONCAT(B2424,A2456)</f>
        <v>6E73529-ae</v>
      </c>
      <c r="C2456" s="17"/>
      <c r="D2456" s="192"/>
      <c r="E2456" s="18"/>
      <c r="F2456" s="22" t="s">
        <v>26</v>
      </c>
      <c r="G2456" s="23">
        <f>SUM(G2450:G2455)</f>
        <v>484.06374999999991</v>
      </c>
    </row>
    <row r="2457" spans="1:8" ht="28.5" customHeight="1" thickBot="1">
      <c r="A2457" s="211" t="s">
        <v>515</v>
      </c>
      <c r="B2457" s="216" t="str">
        <f ca="1">_xlfn.CONCAT(B2424,A2457)</f>
        <v>6E73529-af</v>
      </c>
      <c r="C2457" s="10" t="s">
        <v>27</v>
      </c>
      <c r="D2457" s="190"/>
      <c r="E2457" s="11"/>
      <c r="F2457" s="12"/>
      <c r="G2457" s="13"/>
    </row>
    <row r="2458" spans="1:8" s="47" customFormat="1" ht="23.25" customHeight="1" thickBot="1">
      <c r="A2458" s="211" t="s">
        <v>516</v>
      </c>
      <c r="B2458" s="216" t="str">
        <f ca="1">_xlfn.CONCAT(B2424,A2458)</f>
        <v>6E73529-ag</v>
      </c>
      <c r="C2458" s="14" t="s">
        <v>1</v>
      </c>
      <c r="D2458" s="15" t="s">
        <v>28</v>
      </c>
      <c r="E2458" s="15" t="s">
        <v>20</v>
      </c>
      <c r="F2458" s="16" t="s">
        <v>21</v>
      </c>
      <c r="G2458" s="15" t="s">
        <v>5</v>
      </c>
      <c r="H2458" s="215"/>
    </row>
    <row r="2459" spans="1:8">
      <c r="A2459" s="211" t="s">
        <v>517</v>
      </c>
      <c r="B2459" s="216" t="str">
        <f ca="1">_xlfn.CONCAT(B2424,A2459)</f>
        <v>6E73529-ah</v>
      </c>
      <c r="C2459" s="30" t="s">
        <v>29</v>
      </c>
      <c r="D2459" s="186">
        <f>'H-MO'!$N$77</f>
        <v>725918.52892505517</v>
      </c>
      <c r="E2459" s="31">
        <f>+D2459/8</f>
        <v>90739.816115631897</v>
      </c>
      <c r="F2459" s="32">
        <v>0.08</v>
      </c>
      <c r="G2459" s="33">
        <f>+E2459*F2459</f>
        <v>7259.1852892505522</v>
      </c>
    </row>
    <row r="2460" spans="1:8">
      <c r="A2460" s="211" t="s">
        <v>518</v>
      </c>
      <c r="B2460" s="216" t="str">
        <f ca="1">_xlfn.CONCAT(B2424,A2460)</f>
        <v>6E73529-ai</v>
      </c>
      <c r="C2460" s="34" t="s">
        <v>30</v>
      </c>
      <c r="D2460" s="187">
        <f>'H-MO'!$N$86</f>
        <v>685561.39085756091</v>
      </c>
      <c r="E2460" s="29">
        <f>+D2460/8</f>
        <v>85695.173857195114</v>
      </c>
      <c r="F2460" s="28">
        <v>0</v>
      </c>
      <c r="G2460" s="33">
        <f>+E2460*F2460</f>
        <v>0</v>
      </c>
    </row>
    <row r="2461" spans="1:8" ht="14.25" thickBot="1">
      <c r="A2461" s="211" t="s">
        <v>519</v>
      </c>
      <c r="B2461" s="216" t="str">
        <f ca="1">_xlfn.CONCAT(B2424,A2461)</f>
        <v>6E73529-aj</v>
      </c>
      <c r="C2461" s="34"/>
      <c r="D2461" s="187"/>
      <c r="E2461" s="29"/>
      <c r="F2461" s="28"/>
      <c r="G2461" s="33">
        <f>+E2461*F2461</f>
        <v>0</v>
      </c>
    </row>
    <row r="2462" spans="1:8" ht="17.25" customHeight="1" thickBot="1">
      <c r="A2462" s="211" t="s">
        <v>520</v>
      </c>
      <c r="B2462" s="216" t="str">
        <f ca="1">_xlfn.CONCAT(B2424,A2462)</f>
        <v>6E73529-ak</v>
      </c>
      <c r="C2462" s="34"/>
      <c r="D2462" s="185"/>
      <c r="E2462" s="26"/>
      <c r="F2462" s="36" t="s">
        <v>31</v>
      </c>
      <c r="G2462" s="23">
        <f>SUM(G2459:G2461)</f>
        <v>7259.1852892505522</v>
      </c>
    </row>
    <row r="2463" spans="1:8" ht="14.25" thickBot="1">
      <c r="A2463" s="211" t="s">
        <v>521</v>
      </c>
      <c r="B2463" s="216" t="str">
        <f ca="1">_xlfn.CONCAT(B2424,A2463)</f>
        <v>6E73529-al</v>
      </c>
      <c r="C2463" s="37"/>
      <c r="E2463" s="38"/>
      <c r="F2463" s="22"/>
      <c r="G2463" s="39"/>
    </row>
    <row r="2464" spans="1:8" ht="23.25" customHeight="1" thickBot="1">
      <c r="A2464" s="211" t="s">
        <v>522</v>
      </c>
      <c r="B2464" s="216" t="str">
        <f ca="1">_xlfn.CONCAT(B2424,A2464)</f>
        <v>6E73529-am</v>
      </c>
      <c r="C2464" s="40"/>
      <c r="D2464" s="193"/>
      <c r="E2464" s="41"/>
      <c r="F2464" s="42"/>
      <c r="G2464" s="43">
        <f>+G2447+G2456+G2462</f>
        <v>95283.249039250557</v>
      </c>
    </row>
    <row r="2465" spans="1:8" ht="21.75" thickBot="1">
      <c r="B2465" s="212" t="s">
        <v>550</v>
      </c>
      <c r="C2465" s="2"/>
      <c r="D2465" s="183"/>
      <c r="F2465" s="4"/>
      <c r="G2465" s="5"/>
    </row>
    <row r="2466" spans="1:8" s="45" customFormat="1" ht="34.5" customHeight="1">
      <c r="A2466" s="213"/>
      <c r="B2466" s="214">
        <v>57</v>
      </c>
      <c r="C2466" s="242" t="str">
        <f ca="1">_xlfn.XLOOKUP(B2466,Cantidades!$A$10:$A$314,Cantidades!$C$10:$C$314,,0,1)</f>
        <v>Suministro e instalación de luminaria lineal LED LINEAL MINI CONTINUUM 20 W Sylvania. Incluye tapa salida de cordón, prensaestopa, cable 3#16 AWG de cobre y demás elementos para su correcta instalación y fincionamiento.</v>
      </c>
      <c r="D2466" s="243"/>
      <c r="E2466" s="243"/>
      <c r="F2466" s="243"/>
      <c r="G2466" s="244"/>
      <c r="H2466" s="213"/>
    </row>
    <row r="2467" spans="1:8" s="47" customFormat="1" ht="24.95" customHeight="1" thickBot="1">
      <c r="A2467" s="215"/>
      <c r="B2467" s="216" t="s">
        <v>550</v>
      </c>
      <c r="C2467" s="177"/>
      <c r="D2467" s="189"/>
      <c r="E2467" s="178"/>
      <c r="F2467" s="179" t="s">
        <v>636</v>
      </c>
      <c r="G2467" s="209" t="str">
        <f ca="1">B2468</f>
        <v>2F3E06D5-</v>
      </c>
      <c r="H2467" s="215"/>
    </row>
    <row r="2468" spans="1:8" ht="28.5" customHeight="1" thickBot="1">
      <c r="B2468" s="212" t="str">
        <f ca="1">_xlfn.XLOOKUP(C2466,Cantidades!$C$1:$C$314,Cantidades!$B$1:$B$314,"",0,1)</f>
        <v>2F3E06D5-</v>
      </c>
      <c r="C2468" s="10" t="s">
        <v>0</v>
      </c>
      <c r="D2468" s="190"/>
      <c r="E2468" s="11"/>
      <c r="F2468" s="12"/>
      <c r="G2468" s="13"/>
    </row>
    <row r="2469" spans="1:8" s="47" customFormat="1" ht="23.25" customHeight="1" thickBot="1">
      <c r="A2469" s="215"/>
      <c r="B2469" s="216" t="s">
        <v>550</v>
      </c>
      <c r="C2469" s="14" t="s">
        <v>1</v>
      </c>
      <c r="D2469" s="15" t="s">
        <v>2</v>
      </c>
      <c r="E2469" s="15" t="s">
        <v>3</v>
      </c>
      <c r="F2469" s="16" t="s">
        <v>4</v>
      </c>
      <c r="G2469" s="15" t="s">
        <v>5</v>
      </c>
      <c r="H2469" s="215"/>
    </row>
    <row r="2470" spans="1:8" ht="15">
      <c r="A2470" s="211" t="s">
        <v>484</v>
      </c>
      <c r="B2470" s="216" t="str">
        <f ca="1">_xlfn.CONCAT(B2468,A2470)</f>
        <v>2F3E06D5-A</v>
      </c>
      <c r="C2470" s="17" t="str">
        <f>_xlfn.XLOOKUP(H2470,'Materiales unitario'!$A$1:$A$2500,'Materiales unitario'!B$1:B$2500,,0,1)</f>
        <v>Luminaria lineal Led LINEAL MINI CONTINUUM 20 W Sylvania</v>
      </c>
      <c r="D2470" s="184" t="str">
        <f>_xlfn.XLOOKUP(H2470,'Materiales unitario'!A$1:A$2500,'Materiales unitario'!C$1:C$2500,,0,1)</f>
        <v>un</v>
      </c>
      <c r="E2470" s="197">
        <f>_xlfn.XLOOKUP(H2470,'Materiales unitario'!$A$1:$A$2500,'Materiales unitario'!D$1:D$2500,,0,1)</f>
        <v>142360</v>
      </c>
      <c r="F2470" s="19">
        <v>1</v>
      </c>
      <c r="G2470" s="20">
        <f>+E2470*F2470</f>
        <v>142360</v>
      </c>
      <c r="H2470" s="217" t="s">
        <v>694</v>
      </c>
    </row>
    <row r="2471" spans="1:8" ht="15">
      <c r="A2471" s="211" t="s">
        <v>485</v>
      </c>
      <c r="B2471" s="216" t="str">
        <f ca="1">_xlfn.CONCAT(B2468,A2471)</f>
        <v>2F3E06D5-B</v>
      </c>
      <c r="C2471" s="17" t="str">
        <f>_xlfn.XLOOKUP(H2471,'Materiales unitario'!$A$1:$A$2500,'Materiales unitario'!B$1:B$2500,,0,1)</f>
        <v>Conector de resorte naranja "N" 22-16 AWG</v>
      </c>
      <c r="D2471" s="184" t="str">
        <f>_xlfn.XLOOKUP(H2471,'Materiales unitario'!A$1:A$2500,'Materiales unitario'!C$1:C$2500,,0,1)</f>
        <v>un</v>
      </c>
      <c r="E2471" s="197">
        <f>_xlfn.XLOOKUP(H2471,'Materiales unitario'!$A$1:$A$2500,'Materiales unitario'!D$1:D$2500,,0,1)</f>
        <v>150</v>
      </c>
      <c r="F2471" s="19">
        <v>2</v>
      </c>
      <c r="G2471" s="20">
        <f>+E2471*F2471</f>
        <v>300</v>
      </c>
      <c r="H2471" s="217" t="s">
        <v>682</v>
      </c>
    </row>
    <row r="2472" spans="1:8" ht="15">
      <c r="A2472" s="211" t="s">
        <v>486</v>
      </c>
      <c r="B2472" s="216" t="str">
        <f ca="1">_xlfn.CONCAT(B2468,A2472)</f>
        <v>2F3E06D5-C</v>
      </c>
      <c r="C2472" s="17" t="str">
        <f>_xlfn.XLOOKUP(H2472,'Materiales unitario'!$A$1:$A$2500,'Materiales unitario'!B$1:B$2500,,0,1)</f>
        <v>Cable flexible encauchetado ST-C 3x16 AWG</v>
      </c>
      <c r="D2472" s="184" t="str">
        <f>_xlfn.XLOOKUP(H2472,'Materiales unitario'!A$1:A$2500,'Materiales unitario'!C$1:C$2500,,0,1)</f>
        <v>ml</v>
      </c>
      <c r="E2472" s="197">
        <f>_xlfn.XLOOKUP(H2472,'Materiales unitario'!$A$1:$A$2500,'Materiales unitario'!D$1:D$2500,,0,1)</f>
        <v>4730</v>
      </c>
      <c r="F2472" s="19">
        <v>3</v>
      </c>
      <c r="G2472" s="20">
        <f>+E2472*F2472</f>
        <v>14190</v>
      </c>
      <c r="H2472" s="217" t="s">
        <v>278</v>
      </c>
    </row>
    <row r="2473" spans="1:8" ht="15">
      <c r="A2473" s="211" t="s">
        <v>487</v>
      </c>
      <c r="B2473" s="216" t="str">
        <f ca="1">_xlfn.CONCAT(B2468,A2473)</f>
        <v>2F3E06D5-D</v>
      </c>
      <c r="C2473" s="17" t="str">
        <f>_xlfn.XLOOKUP(H2473,'Materiales unitario'!$A$1:$A$2500,'Materiales unitario'!B$1:B$2500,,0,1)</f>
        <v>Marquillas para circuito</v>
      </c>
      <c r="D2473" s="184" t="str">
        <f>_xlfn.XLOOKUP(H2473,'Materiales unitario'!A$1:A$2500,'Materiales unitario'!C$1:C$2500,,0,1)</f>
        <v>un</v>
      </c>
      <c r="E2473" s="197">
        <f>_xlfn.XLOOKUP(H2473,'Materiales unitario'!$A$1:$A$2500,'Materiales unitario'!D$1:D$2500,,0,1)</f>
        <v>1000</v>
      </c>
      <c r="F2473" s="19">
        <v>1</v>
      </c>
      <c r="G2473" s="20">
        <f>+E2473*F2473</f>
        <v>1000</v>
      </c>
      <c r="H2473" s="217" t="s">
        <v>339</v>
      </c>
    </row>
    <row r="2474" spans="1:8" ht="15">
      <c r="A2474" s="211" t="s">
        <v>488</v>
      </c>
      <c r="B2474" s="216" t="str">
        <f ca="1">_xlfn.CONCAT(B2468,A2474)</f>
        <v>2F3E06D5-E</v>
      </c>
      <c r="C2474" s="17" t="str">
        <f>_xlfn.XLOOKUP(H2474,'Materiales unitario'!$A$1:$A$2500,'Materiales unitario'!B$1:B$2500,,0,1)</f>
        <v>Prensaestopa de 10 a 14 mm ø1/2"</v>
      </c>
      <c r="D2474" s="184" t="str">
        <f>_xlfn.XLOOKUP(H2474,'Materiales unitario'!A$1:A$2500,'Materiales unitario'!C$1:C$2500,,0,1)</f>
        <v>un</v>
      </c>
      <c r="E2474" s="197">
        <f>_xlfn.XLOOKUP(H2474,'Materiales unitario'!$A$1:$A$2500,'Materiales unitario'!D$1:D$2500,,0,1)</f>
        <v>1460</v>
      </c>
      <c r="F2474" s="19">
        <v>1</v>
      </c>
      <c r="G2474" s="20">
        <f>+E2474*F2474</f>
        <v>1460</v>
      </c>
      <c r="H2474" s="217" t="s">
        <v>351</v>
      </c>
    </row>
    <row r="2475" spans="1:8" ht="15">
      <c r="A2475" s="211" t="s">
        <v>489</v>
      </c>
      <c r="B2475" s="216" t="str">
        <f ca="1">_xlfn.CONCAT(B2468,A2475)</f>
        <v>2F3E06D5-F</v>
      </c>
      <c r="C2475" s="17"/>
      <c r="D2475" s="184"/>
      <c r="E2475" s="197"/>
      <c r="F2475" s="19"/>
      <c r="G2475" s="20"/>
      <c r="H2475" s="217"/>
    </row>
    <row r="2476" spans="1:8" ht="15">
      <c r="A2476" s="211" t="s">
        <v>490</v>
      </c>
      <c r="B2476" s="216" t="str">
        <f ca="1">_xlfn.CONCAT(B2468,A2476)</f>
        <v>2F3E06D5-G</v>
      </c>
      <c r="C2476" s="17"/>
      <c r="D2476" s="184"/>
      <c r="E2476" s="197"/>
      <c r="F2476" s="19"/>
      <c r="G2476" s="20"/>
      <c r="H2476" s="217"/>
    </row>
    <row r="2477" spans="1:8" ht="15">
      <c r="A2477" s="211" t="s">
        <v>491</v>
      </c>
      <c r="B2477" s="216" t="str">
        <f ca="1">_xlfn.CONCAT(B2468,A2477)</f>
        <v>2F3E06D5-H</v>
      </c>
      <c r="C2477" s="17"/>
      <c r="D2477" s="184"/>
      <c r="E2477" s="197"/>
      <c r="F2477" s="19"/>
      <c r="G2477" s="20"/>
      <c r="H2477" s="217"/>
    </row>
    <row r="2478" spans="1:8" ht="15">
      <c r="A2478" s="211" t="s">
        <v>492</v>
      </c>
      <c r="B2478" s="216" t="str">
        <f ca="1">_xlfn.CONCAT(B2468,A2478)</f>
        <v>2F3E06D5-I</v>
      </c>
      <c r="C2478" s="17"/>
      <c r="D2478" s="184"/>
      <c r="E2478" s="197"/>
      <c r="F2478" s="19"/>
      <c r="G2478" s="20"/>
      <c r="H2478" s="217"/>
    </row>
    <row r="2479" spans="1:8" ht="15">
      <c r="A2479" s="211" t="s">
        <v>493</v>
      </c>
      <c r="B2479" s="216" t="str">
        <f ca="1">_xlfn.CONCAT(B2468,A2479)</f>
        <v>2F3E06D5-J</v>
      </c>
      <c r="C2479" s="17"/>
      <c r="D2479" s="184"/>
      <c r="E2479" s="197"/>
      <c r="F2479" s="19"/>
      <c r="G2479" s="20"/>
      <c r="H2479" s="217"/>
    </row>
    <row r="2480" spans="1:8" ht="15">
      <c r="A2480" s="211" t="s">
        <v>494</v>
      </c>
      <c r="B2480" s="216" t="str">
        <f ca="1">_xlfn.CONCAT(B2468,A2480)</f>
        <v>2F3E06D5-K</v>
      </c>
      <c r="C2480" s="17"/>
      <c r="D2480" s="184"/>
      <c r="E2480" s="197"/>
      <c r="F2480" s="19"/>
      <c r="G2480" s="20"/>
      <c r="H2480" s="217"/>
    </row>
    <row r="2481" spans="1:8" ht="15">
      <c r="A2481" s="211" t="s">
        <v>495</v>
      </c>
      <c r="B2481" s="216" t="str">
        <f ca="1">_xlfn.CONCAT(B2468,A2481)</f>
        <v>2F3E06D5-L</v>
      </c>
      <c r="C2481" s="17"/>
      <c r="D2481" s="184"/>
      <c r="E2481" s="197"/>
      <c r="F2481" s="19"/>
      <c r="G2481" s="20"/>
      <c r="H2481" s="217"/>
    </row>
    <row r="2482" spans="1:8" ht="15">
      <c r="A2482" s="211" t="s">
        <v>496</v>
      </c>
      <c r="B2482" s="216" t="str">
        <f ca="1">_xlfn.CONCAT(B2468,A2482)</f>
        <v>2F3E06D5-M</v>
      </c>
      <c r="C2482" s="17"/>
      <c r="D2482" s="184"/>
      <c r="E2482" s="197"/>
      <c r="F2482" s="19"/>
      <c r="G2482" s="20"/>
      <c r="H2482" s="217"/>
    </row>
    <row r="2483" spans="1:8">
      <c r="A2483" s="211" t="s">
        <v>497</v>
      </c>
      <c r="B2483" s="216" t="str">
        <f ca="1">_xlfn.CONCAT(B2468,A2483)</f>
        <v>2F3E06D5-N</v>
      </c>
      <c r="C2483" s="17"/>
      <c r="D2483" s="184"/>
      <c r="E2483" s="197"/>
      <c r="F2483" s="19"/>
      <c r="G2483" s="20"/>
    </row>
    <row r="2484" spans="1:8">
      <c r="A2484" s="211" t="s">
        <v>498</v>
      </c>
      <c r="B2484" s="216" t="str">
        <f ca="1">_xlfn.CONCAT(B2468,A2484)</f>
        <v>2F3E06D5-O</v>
      </c>
      <c r="C2484" s="17"/>
      <c r="D2484" s="184"/>
      <c r="E2484" s="197"/>
      <c r="F2484" s="19"/>
      <c r="G2484" s="20"/>
    </row>
    <row r="2485" spans="1:8">
      <c r="A2485" s="211" t="s">
        <v>499</v>
      </c>
      <c r="B2485" s="216" t="str">
        <f ca="1">_xlfn.CONCAT(B2468,A2485)</f>
        <v>2F3E06D5-P</v>
      </c>
      <c r="C2485" s="17"/>
      <c r="D2485" s="184"/>
      <c r="E2485" s="197"/>
      <c r="F2485" s="19"/>
      <c r="G2485" s="20"/>
    </row>
    <row r="2486" spans="1:8">
      <c r="A2486" s="211" t="s">
        <v>500</v>
      </c>
      <c r="B2486" s="216" t="str">
        <f ca="1">_xlfn.CONCAT(B2468,A2486)</f>
        <v>2F3E06D5-Q</v>
      </c>
      <c r="C2486" s="17"/>
      <c r="D2486" s="184"/>
      <c r="E2486" s="197"/>
      <c r="F2486" s="19"/>
      <c r="G2486" s="20"/>
    </row>
    <row r="2487" spans="1:8">
      <c r="A2487" s="211" t="s">
        <v>501</v>
      </c>
      <c r="B2487" s="216" t="str">
        <f ca="1">_xlfn.CONCAT(B2468,A2487)</f>
        <v>2F3E06D5-R</v>
      </c>
      <c r="C2487" s="17"/>
      <c r="D2487" s="184"/>
      <c r="E2487" s="197"/>
      <c r="F2487" s="19"/>
      <c r="G2487" s="20"/>
    </row>
    <row r="2488" spans="1:8">
      <c r="A2488" s="211" t="s">
        <v>502</v>
      </c>
      <c r="B2488" s="216" t="str">
        <f ca="1">_xlfn.CONCAT(B2468,A2488)</f>
        <v>2F3E06D5-S</v>
      </c>
      <c r="C2488" s="17"/>
      <c r="D2488" s="184"/>
      <c r="E2488" s="197"/>
      <c r="F2488" s="19"/>
      <c r="G2488" s="20"/>
    </row>
    <row r="2489" spans="1:8">
      <c r="A2489" s="211" t="s">
        <v>503</v>
      </c>
      <c r="B2489" s="216" t="str">
        <f ca="1">_xlfn.CONCAT(B2468,A2489)</f>
        <v>2F3E06D5-T</v>
      </c>
      <c r="C2489" s="17"/>
      <c r="D2489" s="184"/>
      <c r="E2489" s="197"/>
      <c r="F2489" s="19"/>
      <c r="G2489" s="20"/>
    </row>
    <row r="2490" spans="1:8" ht="14.25" thickBot="1">
      <c r="A2490" s="211" t="s">
        <v>504</v>
      </c>
      <c r="B2490" s="216" t="str">
        <f ca="1">_xlfn.CONCAT(B2468,A2490)</f>
        <v>2F3E06D5-U</v>
      </c>
      <c r="C2490" s="17"/>
      <c r="D2490" s="184"/>
      <c r="E2490" s="197"/>
      <c r="F2490" s="19"/>
      <c r="G2490" s="20"/>
    </row>
    <row r="2491" spans="1:8" ht="16.5" customHeight="1" thickBot="1">
      <c r="A2491" s="211" t="s">
        <v>505</v>
      </c>
      <c r="B2491" s="216" t="str">
        <f ca="1">_xlfn.CONCAT(B2468,A2491)</f>
        <v>2F3E06D5-V</v>
      </c>
      <c r="C2491" s="17" t="s">
        <v>17</v>
      </c>
      <c r="D2491" s="192" t="s">
        <v>17</v>
      </c>
      <c r="E2491" s="18"/>
      <c r="F2491" s="22" t="s">
        <v>18</v>
      </c>
      <c r="G2491" s="23">
        <f>SUM(G2470:G2490)</f>
        <v>159310</v>
      </c>
    </row>
    <row r="2492" spans="1:8" ht="28.5" customHeight="1" thickBot="1">
      <c r="A2492" s="211" t="s">
        <v>506</v>
      </c>
      <c r="B2492" s="216" t="str">
        <f ca="1">_xlfn.CONCAT(B2468,A2492)</f>
        <v>2F3E06D5-W</v>
      </c>
      <c r="C2492" s="10" t="s">
        <v>19</v>
      </c>
      <c r="D2492" s="190"/>
      <c r="E2492" s="11"/>
      <c r="F2492" s="12"/>
      <c r="G2492" s="13"/>
    </row>
    <row r="2493" spans="1:8" s="47" customFormat="1" ht="23.25" customHeight="1" thickBot="1">
      <c r="A2493" s="211" t="s">
        <v>507</v>
      </c>
      <c r="B2493" s="216" t="str">
        <f ca="1">_xlfn.CONCAT(B2468,A2493)</f>
        <v>2F3E06D5-X</v>
      </c>
      <c r="C2493" s="14" t="s">
        <v>1</v>
      </c>
      <c r="D2493" s="15"/>
      <c r="E2493" s="15" t="s">
        <v>20</v>
      </c>
      <c r="F2493" s="16" t="s">
        <v>21</v>
      </c>
      <c r="G2493" s="15" t="s">
        <v>5</v>
      </c>
      <c r="H2493" s="215"/>
    </row>
    <row r="2494" spans="1:8">
      <c r="A2494" s="211" t="s">
        <v>508</v>
      </c>
      <c r="B2494" s="216" t="str">
        <f ca="1">_xlfn.CONCAT(B2468,A2494)</f>
        <v>2F3E06D5-Y</v>
      </c>
      <c r="C2494" s="24" t="s">
        <v>22</v>
      </c>
      <c r="D2494" s="184"/>
      <c r="E2494" s="25">
        <f>_xlfn.XLOOKUP(C2494,'H-MO'!B$7:B$30,'H-MO'!D$7:D$30,,0,1)</f>
        <v>2436.5624999999995</v>
      </c>
      <c r="F2494" s="19">
        <v>0.04</v>
      </c>
      <c r="G2494" s="33">
        <f t="shared" ref="G2494:G2499" si="73">+E2494*F2494</f>
        <v>97.462499999999977</v>
      </c>
    </row>
    <row r="2495" spans="1:8">
      <c r="A2495" s="211" t="s">
        <v>509</v>
      </c>
      <c r="B2495" s="216" t="str">
        <f ca="1">_xlfn.CONCAT(B2468,A2495)</f>
        <v>2F3E06D5-Z</v>
      </c>
      <c r="C2495" s="24" t="s">
        <v>23</v>
      </c>
      <c r="D2495" s="184"/>
      <c r="E2495" s="25">
        <f>_xlfn.XLOOKUP(C2495,'H-MO'!B$7:B$30,'H-MO'!D$7:D$30,,0,1)</f>
        <v>1461.9374999999998</v>
      </c>
      <c r="F2495" s="19">
        <v>0.03</v>
      </c>
      <c r="G2495" s="33">
        <f t="shared" si="73"/>
        <v>43.858124999999994</v>
      </c>
    </row>
    <row r="2496" spans="1:8">
      <c r="A2496" s="211" t="s">
        <v>510</v>
      </c>
      <c r="B2496" s="216" t="str">
        <f ca="1">_xlfn.CONCAT(B2468,A2496)</f>
        <v>2F3E06D5-aa</v>
      </c>
      <c r="C2496" s="24" t="s">
        <v>24</v>
      </c>
      <c r="D2496" s="185"/>
      <c r="E2496" s="25">
        <f>_xlfn.XLOOKUP(C2496,'H-MO'!B$7:B$30,'H-MO'!D$7:D$30,,0,1)</f>
        <v>29238.749999999996</v>
      </c>
      <c r="F2496" s="28">
        <v>7.0000000000000001E-3</v>
      </c>
      <c r="G2496" s="33">
        <f t="shared" si="73"/>
        <v>204.67124999999999</v>
      </c>
    </row>
    <row r="2497" spans="1:8">
      <c r="A2497" s="211" t="s">
        <v>511</v>
      </c>
      <c r="B2497" s="216" t="str">
        <f ca="1">_xlfn.CONCAT(B2468,A2497)</f>
        <v>2F3E06D5-ab</v>
      </c>
      <c r="C2497" s="24" t="s">
        <v>25</v>
      </c>
      <c r="D2497" s="185"/>
      <c r="E2497" s="25">
        <f>_xlfn.XLOOKUP(C2497,'H-MO'!B$7:B$30,'H-MO'!D$7:D$30,,0,1)</f>
        <v>2761.4374999999995</v>
      </c>
      <c r="F2497" s="28">
        <v>0.1</v>
      </c>
      <c r="G2497" s="33">
        <f t="shared" si="73"/>
        <v>276.14374999999995</v>
      </c>
    </row>
    <row r="2498" spans="1:8">
      <c r="A2498" s="211" t="s">
        <v>512</v>
      </c>
      <c r="B2498" s="216" t="str">
        <f ca="1">_xlfn.CONCAT(B2468,A2498)</f>
        <v>2F3E06D5-ac</v>
      </c>
      <c r="C2498" s="24"/>
      <c r="D2498" s="185"/>
      <c r="E2498" s="29"/>
      <c r="F2498" s="28"/>
      <c r="G2498" s="33">
        <f t="shared" si="73"/>
        <v>0</v>
      </c>
    </row>
    <row r="2499" spans="1:8" ht="14.25" thickBot="1">
      <c r="A2499" s="211" t="s">
        <v>513</v>
      </c>
      <c r="B2499" s="216" t="str">
        <f ca="1">_xlfn.CONCAT(B2468,A2499)</f>
        <v>2F3E06D5-ad</v>
      </c>
      <c r="C2499" s="24"/>
      <c r="D2499" s="185"/>
      <c r="E2499" s="29"/>
      <c r="F2499" s="28"/>
      <c r="G2499" s="33">
        <f t="shared" si="73"/>
        <v>0</v>
      </c>
    </row>
    <row r="2500" spans="1:8" ht="16.5" customHeight="1" thickBot="1">
      <c r="A2500" s="211" t="s">
        <v>514</v>
      </c>
      <c r="B2500" s="216" t="str">
        <f ca="1">_xlfn.CONCAT(B2468,A2500)</f>
        <v>2F3E06D5-ae</v>
      </c>
      <c r="C2500" s="17"/>
      <c r="D2500" s="192"/>
      <c r="E2500" s="18"/>
      <c r="F2500" s="22" t="s">
        <v>26</v>
      </c>
      <c r="G2500" s="23">
        <f>SUM(G2494:G2499)</f>
        <v>622.13562499999989</v>
      </c>
    </row>
    <row r="2501" spans="1:8" ht="28.5" customHeight="1" thickBot="1">
      <c r="A2501" s="211" t="s">
        <v>515</v>
      </c>
      <c r="B2501" s="216" t="str">
        <f ca="1">_xlfn.CONCAT(B2468,A2501)</f>
        <v>2F3E06D5-af</v>
      </c>
      <c r="C2501" s="10" t="s">
        <v>27</v>
      </c>
      <c r="D2501" s="190"/>
      <c r="E2501" s="11"/>
      <c r="F2501" s="12"/>
      <c r="G2501" s="13"/>
    </row>
    <row r="2502" spans="1:8" s="47" customFormat="1" ht="23.25" customHeight="1" thickBot="1">
      <c r="A2502" s="211" t="s">
        <v>516</v>
      </c>
      <c r="B2502" s="216" t="str">
        <f ca="1">_xlfn.CONCAT(B2468,A2502)</f>
        <v>2F3E06D5-ag</v>
      </c>
      <c r="C2502" s="14" t="s">
        <v>1</v>
      </c>
      <c r="D2502" s="15" t="s">
        <v>28</v>
      </c>
      <c r="E2502" s="15" t="s">
        <v>20</v>
      </c>
      <c r="F2502" s="16" t="s">
        <v>21</v>
      </c>
      <c r="G2502" s="15" t="s">
        <v>5</v>
      </c>
      <c r="H2502" s="215"/>
    </row>
    <row r="2503" spans="1:8">
      <c r="A2503" s="211" t="s">
        <v>517</v>
      </c>
      <c r="B2503" s="216" t="str">
        <f ca="1">_xlfn.CONCAT(B2468,A2503)</f>
        <v>2F3E06D5-ah</v>
      </c>
      <c r="C2503" s="30" t="s">
        <v>29</v>
      </c>
      <c r="D2503" s="186">
        <f>'H-MO'!$N$77</f>
        <v>725918.52892505517</v>
      </c>
      <c r="E2503" s="31">
        <f>+D2503/8</f>
        <v>90739.816115631897</v>
      </c>
      <c r="F2503" s="32">
        <v>0.16</v>
      </c>
      <c r="G2503" s="33">
        <f>+E2503*F2503</f>
        <v>14518.370578501104</v>
      </c>
    </row>
    <row r="2504" spans="1:8">
      <c r="A2504" s="211" t="s">
        <v>518</v>
      </c>
      <c r="B2504" s="216" t="str">
        <f ca="1">_xlfn.CONCAT(B2468,A2504)</f>
        <v>2F3E06D5-ai</v>
      </c>
      <c r="C2504" s="34" t="s">
        <v>30</v>
      </c>
      <c r="D2504" s="187">
        <f>'H-MO'!$N$86</f>
        <v>685561.39085756091</v>
      </c>
      <c r="E2504" s="29">
        <f>+D2504/8</f>
        <v>85695.173857195114</v>
      </c>
      <c r="F2504" s="28">
        <v>0</v>
      </c>
      <c r="G2504" s="33">
        <f>+E2504*F2504</f>
        <v>0</v>
      </c>
    </row>
    <row r="2505" spans="1:8" ht="14.25" thickBot="1">
      <c r="A2505" s="211" t="s">
        <v>519</v>
      </c>
      <c r="B2505" s="216" t="str">
        <f ca="1">_xlfn.CONCAT(B2468,A2505)</f>
        <v>2F3E06D5-aj</v>
      </c>
      <c r="C2505" s="34"/>
      <c r="D2505" s="187"/>
      <c r="E2505" s="29"/>
      <c r="F2505" s="28"/>
      <c r="G2505" s="33">
        <f>+E2505*F2505</f>
        <v>0</v>
      </c>
    </row>
    <row r="2506" spans="1:8" ht="17.25" customHeight="1" thickBot="1">
      <c r="A2506" s="211" t="s">
        <v>520</v>
      </c>
      <c r="B2506" s="216" t="str">
        <f ca="1">_xlfn.CONCAT(B2468,A2506)</f>
        <v>2F3E06D5-ak</v>
      </c>
      <c r="C2506" s="34"/>
      <c r="D2506" s="185"/>
      <c r="E2506" s="26"/>
      <c r="F2506" s="36" t="s">
        <v>31</v>
      </c>
      <c r="G2506" s="23">
        <f>SUM(G2503:G2505)</f>
        <v>14518.370578501104</v>
      </c>
    </row>
    <row r="2507" spans="1:8" ht="14.25" thickBot="1">
      <c r="A2507" s="211" t="s">
        <v>521</v>
      </c>
      <c r="B2507" s="216" t="str">
        <f ca="1">_xlfn.CONCAT(B2468,A2507)</f>
        <v>2F3E06D5-al</v>
      </c>
      <c r="C2507" s="37"/>
      <c r="E2507" s="38"/>
      <c r="F2507" s="22"/>
      <c r="G2507" s="39"/>
    </row>
    <row r="2508" spans="1:8" ht="23.25" customHeight="1" thickBot="1">
      <c r="A2508" s="211" t="s">
        <v>522</v>
      </c>
      <c r="B2508" s="216" t="str">
        <f ca="1">_xlfn.CONCAT(B2468,A2508)</f>
        <v>2F3E06D5-am</v>
      </c>
      <c r="C2508" s="40"/>
      <c r="D2508" s="193"/>
      <c r="E2508" s="41"/>
      <c r="F2508" s="42"/>
      <c r="G2508" s="43">
        <f>+G2491+G2500+G2506</f>
        <v>174450.50620350111</v>
      </c>
    </row>
    <row r="2509" spans="1:8" ht="21.75" thickBot="1">
      <c r="B2509" s="212" t="s">
        <v>550</v>
      </c>
      <c r="C2509" s="2"/>
      <c r="D2509" s="183"/>
      <c r="F2509" s="4"/>
      <c r="G2509" s="5"/>
    </row>
    <row r="2510" spans="1:8" s="45" customFormat="1" ht="34.5" customHeight="1">
      <c r="A2510" s="213"/>
      <c r="B2510" s="214">
        <v>58</v>
      </c>
      <c r="C2510" s="242" t="str">
        <f ca="1">_xlfn.XLOOKUP(B2510,Cantidades!$A$10:$A$314,Cantidades!$C$10:$C$314,,0,1)</f>
        <v>Suministro e instalación de luminaria hermética LED ECO PROOF 36 W, 6500 °K Sylvania. Incluye tapa salida de cordón, prensaestopa, cable 3#16 AWG de cobre y demás elementos para su correcta instalación y fincionamiento.</v>
      </c>
      <c r="D2510" s="243"/>
      <c r="E2510" s="243"/>
      <c r="F2510" s="243"/>
      <c r="G2510" s="244"/>
      <c r="H2510" s="213"/>
    </row>
    <row r="2511" spans="1:8" s="47" customFormat="1" ht="24.95" customHeight="1" thickBot="1">
      <c r="A2511" s="215"/>
      <c r="B2511" s="216" t="s">
        <v>550</v>
      </c>
      <c r="C2511" s="177"/>
      <c r="D2511" s="189"/>
      <c r="E2511" s="178"/>
      <c r="F2511" s="179" t="s">
        <v>636</v>
      </c>
      <c r="G2511" s="209" t="str">
        <f ca="1">B2512</f>
        <v>EC64CDE-</v>
      </c>
      <c r="H2511" s="215"/>
    </row>
    <row r="2512" spans="1:8" ht="28.5" customHeight="1" thickBot="1">
      <c r="B2512" s="212" t="str">
        <f ca="1">_xlfn.XLOOKUP(C2510,Cantidades!$C$1:$C$314,Cantidades!$B$1:$B$314,"",0,1)</f>
        <v>EC64CDE-</v>
      </c>
      <c r="C2512" s="10" t="s">
        <v>0</v>
      </c>
      <c r="D2512" s="190"/>
      <c r="E2512" s="11"/>
      <c r="F2512" s="12"/>
      <c r="G2512" s="13"/>
    </row>
    <row r="2513" spans="1:8" s="47" customFormat="1" ht="23.25" customHeight="1" thickBot="1">
      <c r="A2513" s="215"/>
      <c r="B2513" s="216" t="s">
        <v>550</v>
      </c>
      <c r="C2513" s="14" t="s">
        <v>1</v>
      </c>
      <c r="D2513" s="15" t="s">
        <v>2</v>
      </c>
      <c r="E2513" s="15" t="s">
        <v>3</v>
      </c>
      <c r="F2513" s="16" t="s">
        <v>4</v>
      </c>
      <c r="G2513" s="15" t="s">
        <v>5</v>
      </c>
      <c r="H2513" s="215"/>
    </row>
    <row r="2514" spans="1:8" ht="15">
      <c r="A2514" s="211" t="s">
        <v>484</v>
      </c>
      <c r="B2514" s="216" t="str">
        <f ca="1">_xlfn.CONCAT(B2512,A2514)</f>
        <v>EC64CDE-A</v>
      </c>
      <c r="C2514" s="17" t="str">
        <f>_xlfn.XLOOKUP(H2514,'Materiales unitario'!$A$1:$A$2500,'Materiales unitario'!B$1:B$2500,,0,1)</f>
        <v>Luminaria hermética Led ECO PROOF 36 W, 6500 °K Sylvania</v>
      </c>
      <c r="D2514" s="184" t="str">
        <f>_xlfn.XLOOKUP(H2514,'Materiales unitario'!A$1:A$2500,'Materiales unitario'!C$1:C$2500,,0,1)</f>
        <v>un</v>
      </c>
      <c r="E2514" s="197">
        <f>_xlfn.XLOOKUP(H2514,'Materiales unitario'!$A$1:$A$2500,'Materiales unitario'!D$1:D$2500,,0,1)</f>
        <v>67680</v>
      </c>
      <c r="F2514" s="19">
        <v>1</v>
      </c>
      <c r="G2514" s="20">
        <f>+E2514*F2514</f>
        <v>67680</v>
      </c>
      <c r="H2514" s="217" t="s">
        <v>698</v>
      </c>
    </row>
    <row r="2515" spans="1:8" ht="15">
      <c r="A2515" s="211" t="s">
        <v>485</v>
      </c>
      <c r="B2515" s="216" t="str">
        <f ca="1">_xlfn.CONCAT(B2512,A2515)</f>
        <v>EC64CDE-B</v>
      </c>
      <c r="C2515" s="17" t="str">
        <f>_xlfn.XLOOKUP(H2515,'Materiales unitario'!$A$1:$A$2500,'Materiales unitario'!B$1:B$2500,,0,1)</f>
        <v>Conector de resorte naranja "N" 22-16 AWG</v>
      </c>
      <c r="D2515" s="184" t="str">
        <f>_xlfn.XLOOKUP(H2515,'Materiales unitario'!A$1:A$2500,'Materiales unitario'!C$1:C$2500,,0,1)</f>
        <v>un</v>
      </c>
      <c r="E2515" s="197">
        <f>_xlfn.XLOOKUP(H2515,'Materiales unitario'!$A$1:$A$2500,'Materiales unitario'!D$1:D$2500,,0,1)</f>
        <v>150</v>
      </c>
      <c r="F2515" s="19">
        <v>2</v>
      </c>
      <c r="G2515" s="20">
        <f>+E2515*F2515</f>
        <v>300</v>
      </c>
      <c r="H2515" s="217" t="s">
        <v>682</v>
      </c>
    </row>
    <row r="2516" spans="1:8" ht="15">
      <c r="A2516" s="211" t="s">
        <v>486</v>
      </c>
      <c r="B2516" s="216" t="str">
        <f ca="1">_xlfn.CONCAT(B2512,A2516)</f>
        <v>EC64CDE-C</v>
      </c>
      <c r="C2516" s="17" t="str">
        <f>_xlfn.XLOOKUP(H2516,'Materiales unitario'!$A$1:$A$2500,'Materiales unitario'!B$1:B$2500,,0,1)</f>
        <v>Cable flexible encauchetado ST-C 3x16 AWG</v>
      </c>
      <c r="D2516" s="184" t="str">
        <f>_xlfn.XLOOKUP(H2516,'Materiales unitario'!A$1:A$2500,'Materiales unitario'!C$1:C$2500,,0,1)</f>
        <v>ml</v>
      </c>
      <c r="E2516" s="197">
        <f>_xlfn.XLOOKUP(H2516,'Materiales unitario'!$A$1:$A$2500,'Materiales unitario'!D$1:D$2500,,0,1)</f>
        <v>4730</v>
      </c>
      <c r="F2516" s="19">
        <v>3</v>
      </c>
      <c r="G2516" s="20">
        <f>+E2516*F2516</f>
        <v>14190</v>
      </c>
      <c r="H2516" s="217" t="s">
        <v>278</v>
      </c>
    </row>
    <row r="2517" spans="1:8" ht="15">
      <c r="A2517" s="211" t="s">
        <v>487</v>
      </c>
      <c r="B2517" s="216" t="str">
        <f ca="1">_xlfn.CONCAT(B2512,A2517)</f>
        <v>EC64CDE-D</v>
      </c>
      <c r="C2517" s="17" t="str">
        <f>_xlfn.XLOOKUP(H2517,'Materiales unitario'!$A$1:$A$2500,'Materiales unitario'!B$1:B$2500,,0,1)</f>
        <v>Marquillas para circuito</v>
      </c>
      <c r="D2517" s="184" t="str">
        <f>_xlfn.XLOOKUP(H2517,'Materiales unitario'!A$1:A$2500,'Materiales unitario'!C$1:C$2500,,0,1)</f>
        <v>un</v>
      </c>
      <c r="E2517" s="197">
        <f>_xlfn.XLOOKUP(H2517,'Materiales unitario'!$A$1:$A$2500,'Materiales unitario'!D$1:D$2500,,0,1)</f>
        <v>1000</v>
      </c>
      <c r="F2517" s="19">
        <v>1</v>
      </c>
      <c r="G2517" s="20">
        <f>+E2517*F2517</f>
        <v>1000</v>
      </c>
      <c r="H2517" s="217" t="s">
        <v>339</v>
      </c>
    </row>
    <row r="2518" spans="1:8" ht="15">
      <c r="A2518" s="211" t="s">
        <v>488</v>
      </c>
      <c r="B2518" s="216" t="str">
        <f ca="1">_xlfn.CONCAT(B2512,A2518)</f>
        <v>EC64CDE-E</v>
      </c>
      <c r="C2518" s="17" t="str">
        <f>_xlfn.XLOOKUP(H2518,'Materiales unitario'!$A$1:$A$2500,'Materiales unitario'!B$1:B$2500,,0,1)</f>
        <v>Prensaestopa de 10 a 14 mm ø1/2"</v>
      </c>
      <c r="D2518" s="184" t="str">
        <f>_xlfn.XLOOKUP(H2518,'Materiales unitario'!A$1:A$2500,'Materiales unitario'!C$1:C$2500,,0,1)</f>
        <v>un</v>
      </c>
      <c r="E2518" s="197">
        <f>_xlfn.XLOOKUP(H2518,'Materiales unitario'!$A$1:$A$2500,'Materiales unitario'!D$1:D$2500,,0,1)</f>
        <v>1460</v>
      </c>
      <c r="F2518" s="19">
        <v>1</v>
      </c>
      <c r="G2518" s="20">
        <f>+E2518*F2518</f>
        <v>1460</v>
      </c>
      <c r="H2518" s="217" t="s">
        <v>351</v>
      </c>
    </row>
    <row r="2519" spans="1:8" ht="15">
      <c r="A2519" s="211" t="s">
        <v>489</v>
      </c>
      <c r="B2519" s="216" t="str">
        <f ca="1">_xlfn.CONCAT(B2512,A2519)</f>
        <v>EC64CDE-F</v>
      </c>
      <c r="C2519" s="17"/>
      <c r="D2519" s="184"/>
      <c r="E2519" s="197"/>
      <c r="F2519" s="19"/>
      <c r="G2519" s="20"/>
      <c r="H2519" s="217"/>
    </row>
    <row r="2520" spans="1:8" ht="15">
      <c r="A2520" s="211" t="s">
        <v>490</v>
      </c>
      <c r="B2520" s="216" t="str">
        <f ca="1">_xlfn.CONCAT(B2512,A2520)</f>
        <v>EC64CDE-G</v>
      </c>
      <c r="C2520" s="17"/>
      <c r="D2520" s="184"/>
      <c r="E2520" s="197"/>
      <c r="F2520" s="19"/>
      <c r="G2520" s="20"/>
      <c r="H2520" s="217"/>
    </row>
    <row r="2521" spans="1:8" ht="15">
      <c r="A2521" s="211" t="s">
        <v>491</v>
      </c>
      <c r="B2521" s="216" t="str">
        <f ca="1">_xlfn.CONCAT(B2512,A2521)</f>
        <v>EC64CDE-H</v>
      </c>
      <c r="C2521" s="17"/>
      <c r="D2521" s="184"/>
      <c r="E2521" s="197"/>
      <c r="F2521" s="19"/>
      <c r="G2521" s="20"/>
      <c r="H2521" s="217"/>
    </row>
    <row r="2522" spans="1:8" ht="15">
      <c r="A2522" s="211" t="s">
        <v>492</v>
      </c>
      <c r="B2522" s="216" t="str">
        <f ca="1">_xlfn.CONCAT(B2512,A2522)</f>
        <v>EC64CDE-I</v>
      </c>
      <c r="C2522" s="17"/>
      <c r="D2522" s="184"/>
      <c r="E2522" s="197"/>
      <c r="F2522" s="19"/>
      <c r="G2522" s="20"/>
      <c r="H2522" s="217"/>
    </row>
    <row r="2523" spans="1:8" ht="15">
      <c r="A2523" s="211" t="s">
        <v>493</v>
      </c>
      <c r="B2523" s="216" t="str">
        <f ca="1">_xlfn.CONCAT(B2512,A2523)</f>
        <v>EC64CDE-J</v>
      </c>
      <c r="C2523" s="17"/>
      <c r="D2523" s="184"/>
      <c r="E2523" s="197"/>
      <c r="F2523" s="19"/>
      <c r="G2523" s="20"/>
      <c r="H2523" s="217"/>
    </row>
    <row r="2524" spans="1:8" ht="15">
      <c r="A2524" s="211" t="s">
        <v>494</v>
      </c>
      <c r="B2524" s="216" t="str">
        <f ca="1">_xlfn.CONCAT(B2512,A2524)</f>
        <v>EC64CDE-K</v>
      </c>
      <c r="C2524" s="17"/>
      <c r="D2524" s="184"/>
      <c r="E2524" s="197"/>
      <c r="F2524" s="19"/>
      <c r="G2524" s="20"/>
      <c r="H2524" s="217"/>
    </row>
    <row r="2525" spans="1:8" ht="15">
      <c r="A2525" s="211" t="s">
        <v>495</v>
      </c>
      <c r="B2525" s="216" t="str">
        <f ca="1">_xlfn.CONCAT(B2512,A2525)</f>
        <v>EC64CDE-L</v>
      </c>
      <c r="C2525" s="17"/>
      <c r="D2525" s="184"/>
      <c r="E2525" s="197"/>
      <c r="F2525" s="19"/>
      <c r="G2525" s="20"/>
      <c r="H2525" s="217"/>
    </row>
    <row r="2526" spans="1:8" ht="15">
      <c r="A2526" s="211" t="s">
        <v>496</v>
      </c>
      <c r="B2526" s="216" t="str">
        <f ca="1">_xlfn.CONCAT(B2512,A2526)</f>
        <v>EC64CDE-M</v>
      </c>
      <c r="C2526" s="17"/>
      <c r="D2526" s="184"/>
      <c r="E2526" s="197"/>
      <c r="F2526" s="19"/>
      <c r="G2526" s="20"/>
      <c r="H2526" s="217"/>
    </row>
    <row r="2527" spans="1:8">
      <c r="A2527" s="211" t="s">
        <v>497</v>
      </c>
      <c r="B2527" s="216" t="str">
        <f ca="1">_xlfn.CONCAT(B2512,A2527)</f>
        <v>EC64CDE-N</v>
      </c>
      <c r="C2527" s="17"/>
      <c r="D2527" s="184"/>
      <c r="E2527" s="197"/>
      <c r="F2527" s="19"/>
      <c r="G2527" s="20"/>
    </row>
    <row r="2528" spans="1:8">
      <c r="A2528" s="211" t="s">
        <v>498</v>
      </c>
      <c r="B2528" s="216" t="str">
        <f ca="1">_xlfn.CONCAT(B2512,A2528)</f>
        <v>EC64CDE-O</v>
      </c>
      <c r="C2528" s="17"/>
      <c r="D2528" s="184"/>
      <c r="E2528" s="197"/>
      <c r="F2528" s="19"/>
      <c r="G2528" s="20"/>
    </row>
    <row r="2529" spans="1:8">
      <c r="A2529" s="211" t="s">
        <v>499</v>
      </c>
      <c r="B2529" s="216" t="str">
        <f ca="1">_xlfn.CONCAT(B2512,A2529)</f>
        <v>EC64CDE-P</v>
      </c>
      <c r="C2529" s="17"/>
      <c r="D2529" s="184"/>
      <c r="E2529" s="197"/>
      <c r="F2529" s="19"/>
      <c r="G2529" s="20"/>
    </row>
    <row r="2530" spans="1:8">
      <c r="A2530" s="211" t="s">
        <v>500</v>
      </c>
      <c r="B2530" s="216" t="str">
        <f ca="1">_xlfn.CONCAT(B2512,A2530)</f>
        <v>EC64CDE-Q</v>
      </c>
      <c r="C2530" s="17"/>
      <c r="D2530" s="184"/>
      <c r="E2530" s="197"/>
      <c r="F2530" s="19"/>
      <c r="G2530" s="20"/>
    </row>
    <row r="2531" spans="1:8">
      <c r="A2531" s="211" t="s">
        <v>501</v>
      </c>
      <c r="B2531" s="216" t="str">
        <f ca="1">_xlfn.CONCAT(B2512,A2531)</f>
        <v>EC64CDE-R</v>
      </c>
      <c r="C2531" s="17"/>
      <c r="D2531" s="184"/>
      <c r="E2531" s="197"/>
      <c r="F2531" s="19"/>
      <c r="G2531" s="20"/>
    </row>
    <row r="2532" spans="1:8">
      <c r="A2532" s="211" t="s">
        <v>502</v>
      </c>
      <c r="B2532" s="216" t="str">
        <f ca="1">_xlfn.CONCAT(B2512,A2532)</f>
        <v>EC64CDE-S</v>
      </c>
      <c r="C2532" s="17"/>
      <c r="D2532" s="184"/>
      <c r="E2532" s="197"/>
      <c r="F2532" s="19"/>
      <c r="G2532" s="20"/>
    </row>
    <row r="2533" spans="1:8">
      <c r="A2533" s="211" t="s">
        <v>503</v>
      </c>
      <c r="B2533" s="216" t="str">
        <f ca="1">_xlfn.CONCAT(B2512,A2533)</f>
        <v>EC64CDE-T</v>
      </c>
      <c r="C2533" s="17"/>
      <c r="D2533" s="184"/>
      <c r="E2533" s="197"/>
      <c r="F2533" s="19"/>
      <c r="G2533" s="20"/>
    </row>
    <row r="2534" spans="1:8" ht="14.25" thickBot="1">
      <c r="A2534" s="211" t="s">
        <v>504</v>
      </c>
      <c r="B2534" s="216" t="str">
        <f ca="1">_xlfn.CONCAT(B2512,A2534)</f>
        <v>EC64CDE-U</v>
      </c>
      <c r="C2534" s="17"/>
      <c r="D2534" s="184"/>
      <c r="E2534" s="197"/>
      <c r="F2534" s="19"/>
      <c r="G2534" s="20"/>
    </row>
    <row r="2535" spans="1:8" ht="16.5" customHeight="1" thickBot="1">
      <c r="A2535" s="211" t="s">
        <v>505</v>
      </c>
      <c r="B2535" s="216" t="str">
        <f ca="1">_xlfn.CONCAT(B2512,A2535)</f>
        <v>EC64CDE-V</v>
      </c>
      <c r="C2535" s="17" t="s">
        <v>17</v>
      </c>
      <c r="D2535" s="192" t="s">
        <v>17</v>
      </c>
      <c r="E2535" s="18"/>
      <c r="F2535" s="22" t="s">
        <v>18</v>
      </c>
      <c r="G2535" s="23">
        <f>SUM(G2514:G2534)</f>
        <v>84630</v>
      </c>
    </row>
    <row r="2536" spans="1:8" ht="28.5" customHeight="1" thickBot="1">
      <c r="A2536" s="211" t="s">
        <v>506</v>
      </c>
      <c r="B2536" s="216" t="str">
        <f ca="1">_xlfn.CONCAT(B2512,A2536)</f>
        <v>EC64CDE-W</v>
      </c>
      <c r="C2536" s="10" t="s">
        <v>19</v>
      </c>
      <c r="D2536" s="190"/>
      <c r="E2536" s="11"/>
      <c r="F2536" s="12"/>
      <c r="G2536" s="13"/>
    </row>
    <row r="2537" spans="1:8" s="47" customFormat="1" ht="23.25" customHeight="1" thickBot="1">
      <c r="A2537" s="211" t="s">
        <v>507</v>
      </c>
      <c r="B2537" s="216" t="str">
        <f ca="1">_xlfn.CONCAT(B2512,A2537)</f>
        <v>EC64CDE-X</v>
      </c>
      <c r="C2537" s="14" t="s">
        <v>1</v>
      </c>
      <c r="D2537" s="15"/>
      <c r="E2537" s="15" t="s">
        <v>20</v>
      </c>
      <c r="F2537" s="16" t="s">
        <v>21</v>
      </c>
      <c r="G2537" s="15" t="s">
        <v>5</v>
      </c>
      <c r="H2537" s="215"/>
    </row>
    <row r="2538" spans="1:8">
      <c r="A2538" s="211" t="s">
        <v>508</v>
      </c>
      <c r="B2538" s="216" t="str">
        <f ca="1">_xlfn.CONCAT(B2512,A2538)</f>
        <v>EC64CDE-Y</v>
      </c>
      <c r="C2538" s="24" t="s">
        <v>22</v>
      </c>
      <c r="D2538" s="184"/>
      <c r="E2538" s="25">
        <f>_xlfn.XLOOKUP(C2538,'H-MO'!B$7:B$30,'H-MO'!D$7:D$30,,0,1)</f>
        <v>2436.5624999999995</v>
      </c>
      <c r="F2538" s="19">
        <v>0.04</v>
      </c>
      <c r="G2538" s="33">
        <f t="shared" ref="G2538:G2543" si="74">+E2538*F2538</f>
        <v>97.462499999999977</v>
      </c>
    </row>
    <row r="2539" spans="1:8">
      <c r="A2539" s="211" t="s">
        <v>509</v>
      </c>
      <c r="B2539" s="216" t="str">
        <f ca="1">_xlfn.CONCAT(B2512,A2539)</f>
        <v>EC64CDE-Z</v>
      </c>
      <c r="C2539" s="24" t="s">
        <v>23</v>
      </c>
      <c r="D2539" s="184"/>
      <c r="E2539" s="25">
        <f>_xlfn.XLOOKUP(C2539,'H-MO'!B$7:B$30,'H-MO'!D$7:D$30,,0,1)</f>
        <v>1461.9374999999998</v>
      </c>
      <c r="F2539" s="19">
        <v>0.03</v>
      </c>
      <c r="G2539" s="33">
        <f t="shared" si="74"/>
        <v>43.858124999999994</v>
      </c>
    </row>
    <row r="2540" spans="1:8">
      <c r="A2540" s="211" t="s">
        <v>510</v>
      </c>
      <c r="B2540" s="216" t="str">
        <f ca="1">_xlfn.CONCAT(B2512,A2540)</f>
        <v>EC64CDE-aa</v>
      </c>
      <c r="C2540" s="24" t="s">
        <v>24</v>
      </c>
      <c r="D2540" s="185"/>
      <c r="E2540" s="25">
        <f>_xlfn.XLOOKUP(C2540,'H-MO'!B$7:B$30,'H-MO'!D$7:D$30,,0,1)</f>
        <v>29238.749999999996</v>
      </c>
      <c r="F2540" s="28">
        <v>7.0000000000000001E-3</v>
      </c>
      <c r="G2540" s="33">
        <f t="shared" si="74"/>
        <v>204.67124999999999</v>
      </c>
    </row>
    <row r="2541" spans="1:8">
      <c r="A2541" s="211" t="s">
        <v>511</v>
      </c>
      <c r="B2541" s="216" t="str">
        <f ca="1">_xlfn.CONCAT(B2512,A2541)</f>
        <v>EC64CDE-ab</v>
      </c>
      <c r="C2541" s="24" t="s">
        <v>25</v>
      </c>
      <c r="D2541" s="185"/>
      <c r="E2541" s="25">
        <f>_xlfn.XLOOKUP(C2541,'H-MO'!B$7:B$30,'H-MO'!D$7:D$30,,0,1)</f>
        <v>2761.4374999999995</v>
      </c>
      <c r="F2541" s="28">
        <v>0.6</v>
      </c>
      <c r="G2541" s="33">
        <f t="shared" si="74"/>
        <v>1656.8624999999997</v>
      </c>
    </row>
    <row r="2542" spans="1:8">
      <c r="A2542" s="211" t="s">
        <v>512</v>
      </c>
      <c r="B2542" s="216" t="str">
        <f ca="1">_xlfn.CONCAT(B2512,A2542)</f>
        <v>EC64CDE-ac</v>
      </c>
      <c r="C2542" s="24"/>
      <c r="D2542" s="185"/>
      <c r="E2542" s="29"/>
      <c r="F2542" s="28"/>
      <c r="G2542" s="33">
        <f t="shared" si="74"/>
        <v>0</v>
      </c>
    </row>
    <row r="2543" spans="1:8" ht="14.25" thickBot="1">
      <c r="A2543" s="211" t="s">
        <v>513</v>
      </c>
      <c r="B2543" s="216" t="str">
        <f ca="1">_xlfn.CONCAT(B2512,A2543)</f>
        <v>EC64CDE-ad</v>
      </c>
      <c r="C2543" s="24"/>
      <c r="D2543" s="185"/>
      <c r="E2543" s="29"/>
      <c r="F2543" s="28"/>
      <c r="G2543" s="33">
        <f t="shared" si="74"/>
        <v>0</v>
      </c>
    </row>
    <row r="2544" spans="1:8" ht="16.5" customHeight="1" thickBot="1">
      <c r="A2544" s="211" t="s">
        <v>514</v>
      </c>
      <c r="B2544" s="216" t="str">
        <f ca="1">_xlfn.CONCAT(B2512,A2544)</f>
        <v>EC64CDE-ae</v>
      </c>
      <c r="C2544" s="17"/>
      <c r="D2544" s="192"/>
      <c r="E2544" s="18"/>
      <c r="F2544" s="22" t="s">
        <v>26</v>
      </c>
      <c r="G2544" s="23">
        <f>SUM(G2538:G2543)</f>
        <v>2002.8543749999997</v>
      </c>
    </row>
    <row r="2545" spans="1:8" ht="28.5" customHeight="1" thickBot="1">
      <c r="A2545" s="211" t="s">
        <v>515</v>
      </c>
      <c r="B2545" s="216" t="str">
        <f ca="1">_xlfn.CONCAT(B2512,A2545)</f>
        <v>EC64CDE-af</v>
      </c>
      <c r="C2545" s="10" t="s">
        <v>27</v>
      </c>
      <c r="D2545" s="190"/>
      <c r="E2545" s="11"/>
      <c r="F2545" s="12"/>
      <c r="G2545" s="13"/>
    </row>
    <row r="2546" spans="1:8" s="47" customFormat="1" ht="23.25" customHeight="1" thickBot="1">
      <c r="A2546" s="211" t="s">
        <v>516</v>
      </c>
      <c r="B2546" s="216" t="str">
        <f ca="1">_xlfn.CONCAT(B2512,A2546)</f>
        <v>EC64CDE-ag</v>
      </c>
      <c r="C2546" s="14" t="s">
        <v>1</v>
      </c>
      <c r="D2546" s="15" t="s">
        <v>28</v>
      </c>
      <c r="E2546" s="15" t="s">
        <v>20</v>
      </c>
      <c r="F2546" s="16" t="s">
        <v>21</v>
      </c>
      <c r="G2546" s="15" t="s">
        <v>5</v>
      </c>
      <c r="H2546" s="215"/>
    </row>
    <row r="2547" spans="1:8">
      <c r="A2547" s="211" t="s">
        <v>517</v>
      </c>
      <c r="B2547" s="216" t="str">
        <f ca="1">_xlfn.CONCAT(B2512,A2547)</f>
        <v>EC64CDE-ah</v>
      </c>
      <c r="C2547" s="30" t="s">
        <v>29</v>
      </c>
      <c r="D2547" s="186">
        <f>'H-MO'!$N$77</f>
        <v>725918.52892505517</v>
      </c>
      <c r="E2547" s="31">
        <f>+D2547/8</f>
        <v>90739.816115631897</v>
      </c>
      <c r="F2547" s="32">
        <v>0.12</v>
      </c>
      <c r="G2547" s="33">
        <f>+E2547*F2547</f>
        <v>10888.777933875826</v>
      </c>
    </row>
    <row r="2548" spans="1:8">
      <c r="A2548" s="211" t="s">
        <v>518</v>
      </c>
      <c r="B2548" s="216" t="str">
        <f ca="1">_xlfn.CONCAT(B2512,A2548)</f>
        <v>EC64CDE-ai</v>
      </c>
      <c r="C2548" s="34" t="s">
        <v>30</v>
      </c>
      <c r="D2548" s="187">
        <f>'H-MO'!$N$86</f>
        <v>685561.39085756091</v>
      </c>
      <c r="E2548" s="29">
        <f>+D2548/8</f>
        <v>85695.173857195114</v>
      </c>
      <c r="F2548" s="28">
        <v>0</v>
      </c>
      <c r="G2548" s="33">
        <f>+E2548*F2548</f>
        <v>0</v>
      </c>
    </row>
    <row r="2549" spans="1:8" ht="14.25" thickBot="1">
      <c r="A2549" s="211" t="s">
        <v>519</v>
      </c>
      <c r="B2549" s="216" t="str">
        <f ca="1">_xlfn.CONCAT(B2512,A2549)</f>
        <v>EC64CDE-aj</v>
      </c>
      <c r="C2549" s="34"/>
      <c r="D2549" s="187"/>
      <c r="E2549" s="29"/>
      <c r="F2549" s="28"/>
      <c r="G2549" s="33">
        <f>+E2549*F2549</f>
        <v>0</v>
      </c>
    </row>
    <row r="2550" spans="1:8" ht="17.25" customHeight="1" thickBot="1">
      <c r="A2550" s="211" t="s">
        <v>520</v>
      </c>
      <c r="B2550" s="216" t="str">
        <f ca="1">_xlfn.CONCAT(B2512,A2550)</f>
        <v>EC64CDE-ak</v>
      </c>
      <c r="C2550" s="34"/>
      <c r="D2550" s="185"/>
      <c r="E2550" s="26"/>
      <c r="F2550" s="36" t="s">
        <v>31</v>
      </c>
      <c r="G2550" s="23">
        <f>SUM(G2547:G2549)</f>
        <v>10888.777933875826</v>
      </c>
    </row>
    <row r="2551" spans="1:8" ht="14.25" thickBot="1">
      <c r="A2551" s="211" t="s">
        <v>521</v>
      </c>
      <c r="B2551" s="216" t="str">
        <f ca="1">_xlfn.CONCAT(B2512,A2551)</f>
        <v>EC64CDE-al</v>
      </c>
      <c r="C2551" s="37"/>
      <c r="E2551" s="38"/>
      <c r="F2551" s="22"/>
      <c r="G2551" s="39"/>
    </row>
    <row r="2552" spans="1:8" ht="23.25" customHeight="1" thickBot="1">
      <c r="A2552" s="211" t="s">
        <v>522</v>
      </c>
      <c r="B2552" s="216" t="str">
        <f ca="1">_xlfn.CONCAT(B2512,A2552)</f>
        <v>EC64CDE-am</v>
      </c>
      <c r="C2552" s="40"/>
      <c r="D2552" s="193"/>
      <c r="E2552" s="41"/>
      <c r="F2552" s="42"/>
      <c r="G2552" s="43">
        <f>+G2535+G2544+G2550</f>
        <v>97521.632308875822</v>
      </c>
    </row>
    <row r="2553" spans="1:8" ht="21.75" thickBot="1">
      <c r="B2553" s="212" t="s">
        <v>550</v>
      </c>
      <c r="C2553" s="2"/>
      <c r="D2553" s="183"/>
      <c r="F2553" s="4"/>
      <c r="G2553" s="5"/>
    </row>
    <row r="2554" spans="1:8" s="45" customFormat="1" ht="34.5" customHeight="1">
      <c r="A2554" s="213"/>
      <c r="B2554" s="214">
        <v>59</v>
      </c>
      <c r="C2554" s="242" t="str">
        <f ca="1">_xlfn.XLOOKUP(B2554,Cantidades!$A$10:$A$314,Cantidades!$C$10:$C$314,,0,1)</f>
        <v>Suministro e instalación de luminaria LED PANEL SOBREPONER RD 24 W, 6500 °K Sylvania. Incluye tapa salida de cordón, prensaestopa, cable 3#16 AWG de cobre y demás elementos para su correcta instalación y fincionamiento.</v>
      </c>
      <c r="D2554" s="243"/>
      <c r="E2554" s="243"/>
      <c r="F2554" s="243"/>
      <c r="G2554" s="244"/>
      <c r="H2554" s="213"/>
    </row>
    <row r="2555" spans="1:8" s="47" customFormat="1" ht="24.95" customHeight="1" thickBot="1">
      <c r="A2555" s="215"/>
      <c r="B2555" s="216" t="s">
        <v>550</v>
      </c>
      <c r="C2555" s="177"/>
      <c r="D2555" s="189"/>
      <c r="E2555" s="178"/>
      <c r="F2555" s="179" t="s">
        <v>636</v>
      </c>
      <c r="G2555" s="209" t="str">
        <f ca="1">B2556</f>
        <v>278E96BB-</v>
      </c>
      <c r="H2555" s="215"/>
    </row>
    <row r="2556" spans="1:8" ht="28.5" customHeight="1" thickBot="1">
      <c r="B2556" s="212" t="str">
        <f ca="1">_xlfn.XLOOKUP(C2554,Cantidades!$C$1:$C$314,Cantidades!$B$1:$B$314,"",0,1)</f>
        <v>278E96BB-</v>
      </c>
      <c r="C2556" s="10" t="s">
        <v>0</v>
      </c>
      <c r="D2556" s="190"/>
      <c r="E2556" s="11"/>
      <c r="F2556" s="12"/>
      <c r="G2556" s="13"/>
    </row>
    <row r="2557" spans="1:8" s="47" customFormat="1" ht="23.25" customHeight="1" thickBot="1">
      <c r="A2557" s="215"/>
      <c r="B2557" s="216" t="s">
        <v>550</v>
      </c>
      <c r="C2557" s="14" t="s">
        <v>1</v>
      </c>
      <c r="D2557" s="15" t="s">
        <v>2</v>
      </c>
      <c r="E2557" s="15" t="s">
        <v>3</v>
      </c>
      <c r="F2557" s="16" t="s">
        <v>4</v>
      </c>
      <c r="G2557" s="15" t="s">
        <v>5</v>
      </c>
      <c r="H2557" s="215"/>
    </row>
    <row r="2558" spans="1:8" ht="15">
      <c r="A2558" s="211" t="s">
        <v>484</v>
      </c>
      <c r="B2558" s="216" t="str">
        <f ca="1">_xlfn.CONCAT(B2556,A2558)</f>
        <v>278E96BB-A</v>
      </c>
      <c r="C2558" s="17" t="str">
        <f>_xlfn.XLOOKUP(H2558,'Materiales unitario'!$A$1:$A$2500,'Materiales unitario'!B$1:B$2500,,0,1)</f>
        <v>Luminaria Led PANEL SOBREPONER RD 24 W, 6500 °K Sylvania</v>
      </c>
      <c r="D2558" s="184" t="str">
        <f>_xlfn.XLOOKUP(H2558,'Materiales unitario'!A$1:A$2500,'Materiales unitario'!C$1:C$2500,,0,1)</f>
        <v>un</v>
      </c>
      <c r="E2558" s="197">
        <f>_xlfn.XLOOKUP(H2558,'Materiales unitario'!$A$1:$A$2500,'Materiales unitario'!D$1:D$2500,,0,1)</f>
        <v>28740</v>
      </c>
      <c r="F2558" s="19">
        <v>1</v>
      </c>
      <c r="G2558" s="20">
        <f>+E2558*F2558</f>
        <v>28740</v>
      </c>
      <c r="H2558" s="217" t="s">
        <v>702</v>
      </c>
    </row>
    <row r="2559" spans="1:8" ht="15">
      <c r="A2559" s="211" t="s">
        <v>485</v>
      </c>
      <c r="B2559" s="216" t="str">
        <f ca="1">_xlfn.CONCAT(B2556,A2559)</f>
        <v>278E96BB-B</v>
      </c>
      <c r="C2559" s="17" t="str">
        <f>_xlfn.XLOOKUP(H2559,'Materiales unitario'!$A$1:$A$2500,'Materiales unitario'!B$1:B$2500,,0,1)</f>
        <v>Conector de resorte naranja "N" 22-16 AWG</v>
      </c>
      <c r="D2559" s="184" t="str">
        <f>_xlfn.XLOOKUP(H2559,'Materiales unitario'!A$1:A$2500,'Materiales unitario'!C$1:C$2500,,0,1)</f>
        <v>un</v>
      </c>
      <c r="E2559" s="197">
        <f>_xlfn.XLOOKUP(H2559,'Materiales unitario'!$A$1:$A$2500,'Materiales unitario'!D$1:D$2500,,0,1)</f>
        <v>150</v>
      </c>
      <c r="F2559" s="19">
        <v>2</v>
      </c>
      <c r="G2559" s="20">
        <f>+E2559*F2559</f>
        <v>300</v>
      </c>
      <c r="H2559" s="217" t="s">
        <v>682</v>
      </c>
    </row>
    <row r="2560" spans="1:8" ht="15">
      <c r="A2560" s="211" t="s">
        <v>486</v>
      </c>
      <c r="B2560" s="216" t="str">
        <f ca="1">_xlfn.CONCAT(B2556,A2560)</f>
        <v>278E96BB-C</v>
      </c>
      <c r="C2560" s="17" t="str">
        <f>_xlfn.XLOOKUP(H2560,'Materiales unitario'!$A$1:$A$2500,'Materiales unitario'!B$1:B$2500,,0,1)</f>
        <v>Cable flexible encauchetado ST-C 3x16 AWG</v>
      </c>
      <c r="D2560" s="184" t="str">
        <f>_xlfn.XLOOKUP(H2560,'Materiales unitario'!A$1:A$2500,'Materiales unitario'!C$1:C$2500,,0,1)</f>
        <v>ml</v>
      </c>
      <c r="E2560" s="197">
        <f>_xlfn.XLOOKUP(H2560,'Materiales unitario'!$A$1:$A$2500,'Materiales unitario'!D$1:D$2500,,0,1)</f>
        <v>4730</v>
      </c>
      <c r="F2560" s="19">
        <v>3</v>
      </c>
      <c r="G2560" s="20">
        <f>+E2560*F2560</f>
        <v>14190</v>
      </c>
      <c r="H2560" s="217" t="s">
        <v>278</v>
      </c>
    </row>
    <row r="2561" spans="1:8" ht="15">
      <c r="A2561" s="211" t="s">
        <v>487</v>
      </c>
      <c r="B2561" s="216" t="str">
        <f ca="1">_xlfn.CONCAT(B2556,A2561)</f>
        <v>278E96BB-D</v>
      </c>
      <c r="C2561" s="17" t="str">
        <f>_xlfn.XLOOKUP(H2561,'Materiales unitario'!$A$1:$A$2500,'Materiales unitario'!B$1:B$2500,,0,1)</f>
        <v>Marquillas para circuito</v>
      </c>
      <c r="D2561" s="184" t="str">
        <f>_xlfn.XLOOKUP(H2561,'Materiales unitario'!A$1:A$2500,'Materiales unitario'!C$1:C$2500,,0,1)</f>
        <v>un</v>
      </c>
      <c r="E2561" s="197">
        <f>_xlfn.XLOOKUP(H2561,'Materiales unitario'!$A$1:$A$2500,'Materiales unitario'!D$1:D$2500,,0,1)</f>
        <v>1000</v>
      </c>
      <c r="F2561" s="19">
        <v>1</v>
      </c>
      <c r="G2561" s="20">
        <f>+E2561*F2561</f>
        <v>1000</v>
      </c>
      <c r="H2561" s="217" t="s">
        <v>339</v>
      </c>
    </row>
    <row r="2562" spans="1:8" ht="15">
      <c r="A2562" s="211" t="s">
        <v>488</v>
      </c>
      <c r="B2562" s="216" t="str">
        <f ca="1">_xlfn.CONCAT(B2556,A2562)</f>
        <v>278E96BB-E</v>
      </c>
      <c r="C2562" s="17" t="str">
        <f>_xlfn.XLOOKUP(H2562,'Materiales unitario'!$A$1:$A$2500,'Materiales unitario'!B$1:B$2500,,0,1)</f>
        <v>Prensaestopa de 10 a 14 mm ø1/2"</v>
      </c>
      <c r="D2562" s="184" t="str">
        <f>_xlfn.XLOOKUP(H2562,'Materiales unitario'!A$1:A$2500,'Materiales unitario'!C$1:C$2500,,0,1)</f>
        <v>un</v>
      </c>
      <c r="E2562" s="197">
        <f>_xlfn.XLOOKUP(H2562,'Materiales unitario'!$A$1:$A$2500,'Materiales unitario'!D$1:D$2500,,0,1)</f>
        <v>1460</v>
      </c>
      <c r="F2562" s="19">
        <v>1</v>
      </c>
      <c r="G2562" s="20">
        <f>+E2562*F2562</f>
        <v>1460</v>
      </c>
      <c r="H2562" s="217" t="s">
        <v>351</v>
      </c>
    </row>
    <row r="2563" spans="1:8" ht="15">
      <c r="A2563" s="211" t="s">
        <v>489</v>
      </c>
      <c r="B2563" s="216" t="str">
        <f ca="1">_xlfn.CONCAT(B2556,A2563)</f>
        <v>278E96BB-F</v>
      </c>
      <c r="C2563" s="17"/>
      <c r="D2563" s="184"/>
      <c r="E2563" s="197"/>
      <c r="F2563" s="19"/>
      <c r="G2563" s="20"/>
      <c r="H2563" s="217"/>
    </row>
    <row r="2564" spans="1:8" ht="15">
      <c r="A2564" s="211" t="s">
        <v>490</v>
      </c>
      <c r="B2564" s="216" t="str">
        <f ca="1">_xlfn.CONCAT(B2556,A2564)</f>
        <v>278E96BB-G</v>
      </c>
      <c r="C2564" s="17"/>
      <c r="D2564" s="184"/>
      <c r="E2564" s="197"/>
      <c r="F2564" s="19"/>
      <c r="G2564" s="20"/>
      <c r="H2564" s="217"/>
    </row>
    <row r="2565" spans="1:8" ht="15">
      <c r="A2565" s="211" t="s">
        <v>491</v>
      </c>
      <c r="B2565" s="216" t="str">
        <f ca="1">_xlfn.CONCAT(B2556,A2565)</f>
        <v>278E96BB-H</v>
      </c>
      <c r="C2565" s="17"/>
      <c r="D2565" s="184"/>
      <c r="E2565" s="197"/>
      <c r="F2565" s="19"/>
      <c r="G2565" s="20"/>
      <c r="H2565" s="217"/>
    </row>
    <row r="2566" spans="1:8" ht="15">
      <c r="A2566" s="211" t="s">
        <v>492</v>
      </c>
      <c r="B2566" s="216" t="str">
        <f ca="1">_xlfn.CONCAT(B2556,A2566)</f>
        <v>278E96BB-I</v>
      </c>
      <c r="C2566" s="17"/>
      <c r="D2566" s="184"/>
      <c r="E2566" s="197"/>
      <c r="F2566" s="19"/>
      <c r="G2566" s="20"/>
      <c r="H2566" s="217"/>
    </row>
    <row r="2567" spans="1:8" ht="15">
      <c r="A2567" s="211" t="s">
        <v>493</v>
      </c>
      <c r="B2567" s="216" t="str">
        <f ca="1">_xlfn.CONCAT(B2556,A2567)</f>
        <v>278E96BB-J</v>
      </c>
      <c r="C2567" s="17"/>
      <c r="D2567" s="184"/>
      <c r="E2567" s="197"/>
      <c r="F2567" s="19"/>
      <c r="G2567" s="20"/>
      <c r="H2567" s="217"/>
    </row>
    <row r="2568" spans="1:8" ht="15">
      <c r="A2568" s="211" t="s">
        <v>494</v>
      </c>
      <c r="B2568" s="216" t="str">
        <f ca="1">_xlfn.CONCAT(B2556,A2568)</f>
        <v>278E96BB-K</v>
      </c>
      <c r="C2568" s="17"/>
      <c r="D2568" s="184"/>
      <c r="E2568" s="197"/>
      <c r="F2568" s="19"/>
      <c r="G2568" s="20"/>
      <c r="H2568" s="217"/>
    </row>
    <row r="2569" spans="1:8" ht="15">
      <c r="A2569" s="211" t="s">
        <v>495</v>
      </c>
      <c r="B2569" s="216" t="str">
        <f ca="1">_xlfn.CONCAT(B2556,A2569)</f>
        <v>278E96BB-L</v>
      </c>
      <c r="C2569" s="17"/>
      <c r="D2569" s="184"/>
      <c r="E2569" s="197"/>
      <c r="F2569" s="19"/>
      <c r="G2569" s="20"/>
      <c r="H2569" s="217"/>
    </row>
    <row r="2570" spans="1:8" ht="15">
      <c r="A2570" s="211" t="s">
        <v>496</v>
      </c>
      <c r="B2570" s="216" t="str">
        <f ca="1">_xlfn.CONCAT(B2556,A2570)</f>
        <v>278E96BB-M</v>
      </c>
      <c r="C2570" s="17"/>
      <c r="D2570" s="184"/>
      <c r="E2570" s="197"/>
      <c r="F2570" s="19"/>
      <c r="G2570" s="20"/>
      <c r="H2570" s="217"/>
    </row>
    <row r="2571" spans="1:8">
      <c r="A2571" s="211" t="s">
        <v>497</v>
      </c>
      <c r="B2571" s="216" t="str">
        <f ca="1">_xlfn.CONCAT(B2556,A2571)</f>
        <v>278E96BB-N</v>
      </c>
      <c r="C2571" s="17"/>
      <c r="D2571" s="184"/>
      <c r="E2571" s="197"/>
      <c r="F2571" s="19"/>
      <c r="G2571" s="20"/>
    </row>
    <row r="2572" spans="1:8">
      <c r="A2572" s="211" t="s">
        <v>498</v>
      </c>
      <c r="B2572" s="216" t="str">
        <f ca="1">_xlfn.CONCAT(B2556,A2572)</f>
        <v>278E96BB-O</v>
      </c>
      <c r="C2572" s="17"/>
      <c r="D2572" s="184"/>
      <c r="E2572" s="197"/>
      <c r="F2572" s="19"/>
      <c r="G2572" s="20"/>
    </row>
    <row r="2573" spans="1:8">
      <c r="A2573" s="211" t="s">
        <v>499</v>
      </c>
      <c r="B2573" s="216" t="str">
        <f ca="1">_xlfn.CONCAT(B2556,A2573)</f>
        <v>278E96BB-P</v>
      </c>
      <c r="C2573" s="17"/>
      <c r="D2573" s="184"/>
      <c r="E2573" s="197"/>
      <c r="F2573" s="19"/>
      <c r="G2573" s="20"/>
    </row>
    <row r="2574" spans="1:8">
      <c r="A2574" s="211" t="s">
        <v>500</v>
      </c>
      <c r="B2574" s="216" t="str">
        <f ca="1">_xlfn.CONCAT(B2556,A2574)</f>
        <v>278E96BB-Q</v>
      </c>
      <c r="C2574" s="17"/>
      <c r="D2574" s="184"/>
      <c r="E2574" s="197"/>
      <c r="F2574" s="19"/>
      <c r="G2574" s="20"/>
    </row>
    <row r="2575" spans="1:8">
      <c r="A2575" s="211" t="s">
        <v>501</v>
      </c>
      <c r="B2575" s="216" t="str">
        <f ca="1">_xlfn.CONCAT(B2556,A2575)</f>
        <v>278E96BB-R</v>
      </c>
      <c r="C2575" s="17"/>
      <c r="D2575" s="184"/>
      <c r="E2575" s="197"/>
      <c r="F2575" s="19"/>
      <c r="G2575" s="20"/>
    </row>
    <row r="2576" spans="1:8">
      <c r="A2576" s="211" t="s">
        <v>502</v>
      </c>
      <c r="B2576" s="216" t="str">
        <f ca="1">_xlfn.CONCAT(B2556,A2576)</f>
        <v>278E96BB-S</v>
      </c>
      <c r="C2576" s="17"/>
      <c r="D2576" s="184"/>
      <c r="E2576" s="197"/>
      <c r="F2576" s="19"/>
      <c r="G2576" s="20"/>
    </row>
    <row r="2577" spans="1:8">
      <c r="A2577" s="211" t="s">
        <v>503</v>
      </c>
      <c r="B2577" s="216" t="str">
        <f ca="1">_xlfn.CONCAT(B2556,A2577)</f>
        <v>278E96BB-T</v>
      </c>
      <c r="C2577" s="17"/>
      <c r="D2577" s="184"/>
      <c r="E2577" s="197"/>
      <c r="F2577" s="19"/>
      <c r="G2577" s="20"/>
    </row>
    <row r="2578" spans="1:8" ht="14.25" thickBot="1">
      <c r="A2578" s="211" t="s">
        <v>504</v>
      </c>
      <c r="B2578" s="216" t="str">
        <f ca="1">_xlfn.CONCAT(B2556,A2578)</f>
        <v>278E96BB-U</v>
      </c>
      <c r="C2578" s="17"/>
      <c r="D2578" s="184"/>
      <c r="E2578" s="197"/>
      <c r="F2578" s="19"/>
      <c r="G2578" s="20"/>
    </row>
    <row r="2579" spans="1:8" ht="16.5" customHeight="1" thickBot="1">
      <c r="A2579" s="211" t="s">
        <v>505</v>
      </c>
      <c r="B2579" s="216" t="str">
        <f ca="1">_xlfn.CONCAT(B2556,A2579)</f>
        <v>278E96BB-V</v>
      </c>
      <c r="C2579" s="17" t="s">
        <v>17</v>
      </c>
      <c r="D2579" s="192" t="s">
        <v>17</v>
      </c>
      <c r="E2579" s="18"/>
      <c r="F2579" s="22" t="s">
        <v>18</v>
      </c>
      <c r="G2579" s="23">
        <f>SUM(G2558:G2578)</f>
        <v>45690</v>
      </c>
    </row>
    <row r="2580" spans="1:8" ht="28.5" customHeight="1" thickBot="1">
      <c r="A2580" s="211" t="s">
        <v>506</v>
      </c>
      <c r="B2580" s="216" t="str">
        <f ca="1">_xlfn.CONCAT(B2556,A2580)</f>
        <v>278E96BB-W</v>
      </c>
      <c r="C2580" s="10" t="s">
        <v>19</v>
      </c>
      <c r="D2580" s="190"/>
      <c r="E2580" s="11"/>
      <c r="F2580" s="12"/>
      <c r="G2580" s="13"/>
    </row>
    <row r="2581" spans="1:8" s="47" customFormat="1" ht="23.25" customHeight="1" thickBot="1">
      <c r="A2581" s="211" t="s">
        <v>507</v>
      </c>
      <c r="B2581" s="216" t="str">
        <f ca="1">_xlfn.CONCAT(B2556,A2581)</f>
        <v>278E96BB-X</v>
      </c>
      <c r="C2581" s="14" t="s">
        <v>1</v>
      </c>
      <c r="D2581" s="15"/>
      <c r="E2581" s="15" t="s">
        <v>20</v>
      </c>
      <c r="F2581" s="16" t="s">
        <v>21</v>
      </c>
      <c r="G2581" s="15" t="s">
        <v>5</v>
      </c>
      <c r="H2581" s="215"/>
    </row>
    <row r="2582" spans="1:8">
      <c r="A2582" s="211" t="s">
        <v>508</v>
      </c>
      <c r="B2582" s="216" t="str">
        <f ca="1">_xlfn.CONCAT(B2556,A2582)</f>
        <v>278E96BB-Y</v>
      </c>
      <c r="C2582" s="24" t="s">
        <v>22</v>
      </c>
      <c r="D2582" s="184"/>
      <c r="E2582" s="25">
        <f>_xlfn.XLOOKUP(C2582,'H-MO'!B$7:B$30,'H-MO'!D$7:D$30,,0,1)</f>
        <v>2436.5624999999995</v>
      </c>
      <c r="F2582" s="19">
        <v>0.04</v>
      </c>
      <c r="G2582" s="33">
        <f t="shared" ref="G2582:G2587" si="75">+E2582*F2582</f>
        <v>97.462499999999977</v>
      </c>
    </row>
    <row r="2583" spans="1:8">
      <c r="A2583" s="211" t="s">
        <v>509</v>
      </c>
      <c r="B2583" s="216" t="str">
        <f ca="1">_xlfn.CONCAT(B2556,A2583)</f>
        <v>278E96BB-Z</v>
      </c>
      <c r="C2583" s="24" t="s">
        <v>23</v>
      </c>
      <c r="D2583" s="184"/>
      <c r="E2583" s="25">
        <f>_xlfn.XLOOKUP(C2583,'H-MO'!B$7:B$30,'H-MO'!D$7:D$30,,0,1)</f>
        <v>1461.9374999999998</v>
      </c>
      <c r="F2583" s="19">
        <v>0.03</v>
      </c>
      <c r="G2583" s="33">
        <f t="shared" si="75"/>
        <v>43.858124999999994</v>
      </c>
    </row>
    <row r="2584" spans="1:8">
      <c r="A2584" s="211" t="s">
        <v>510</v>
      </c>
      <c r="B2584" s="216" t="str">
        <f ca="1">_xlfn.CONCAT(B2556,A2584)</f>
        <v>278E96BB-aa</v>
      </c>
      <c r="C2584" s="24" t="s">
        <v>24</v>
      </c>
      <c r="D2584" s="185"/>
      <c r="E2584" s="25">
        <f>_xlfn.XLOOKUP(C2584,'H-MO'!B$7:B$30,'H-MO'!D$7:D$30,,0,1)</f>
        <v>29238.749999999996</v>
      </c>
      <c r="F2584" s="28">
        <v>7.0000000000000001E-3</v>
      </c>
      <c r="G2584" s="33">
        <f t="shared" si="75"/>
        <v>204.67124999999999</v>
      </c>
    </row>
    <row r="2585" spans="1:8">
      <c r="A2585" s="211" t="s">
        <v>511</v>
      </c>
      <c r="B2585" s="216" t="str">
        <f ca="1">_xlfn.CONCAT(B2556,A2585)</f>
        <v>278E96BB-ab</v>
      </c>
      <c r="C2585" s="24" t="s">
        <v>25</v>
      </c>
      <c r="D2585" s="185"/>
      <c r="E2585" s="25">
        <f>_xlfn.XLOOKUP(C2585,'H-MO'!B$7:B$30,'H-MO'!D$7:D$30,,0,1)</f>
        <v>2761.4374999999995</v>
      </c>
      <c r="F2585" s="28">
        <v>0.1</v>
      </c>
      <c r="G2585" s="33">
        <f t="shared" si="75"/>
        <v>276.14374999999995</v>
      </c>
    </row>
    <row r="2586" spans="1:8">
      <c r="A2586" s="211" t="s">
        <v>512</v>
      </c>
      <c r="B2586" s="216" t="str">
        <f ca="1">_xlfn.CONCAT(B2556,A2586)</f>
        <v>278E96BB-ac</v>
      </c>
      <c r="C2586" s="24"/>
      <c r="D2586" s="185"/>
      <c r="E2586" s="29"/>
      <c r="F2586" s="28"/>
      <c r="G2586" s="33">
        <f t="shared" si="75"/>
        <v>0</v>
      </c>
    </row>
    <row r="2587" spans="1:8" ht="14.25" thickBot="1">
      <c r="A2587" s="211" t="s">
        <v>513</v>
      </c>
      <c r="B2587" s="216" t="str">
        <f ca="1">_xlfn.CONCAT(B2556,A2587)</f>
        <v>278E96BB-ad</v>
      </c>
      <c r="C2587" s="24"/>
      <c r="D2587" s="185"/>
      <c r="E2587" s="29"/>
      <c r="F2587" s="28"/>
      <c r="G2587" s="33">
        <f t="shared" si="75"/>
        <v>0</v>
      </c>
    </row>
    <row r="2588" spans="1:8" ht="16.5" customHeight="1" thickBot="1">
      <c r="A2588" s="211" t="s">
        <v>514</v>
      </c>
      <c r="B2588" s="216" t="str">
        <f ca="1">_xlfn.CONCAT(B2556,A2588)</f>
        <v>278E96BB-ae</v>
      </c>
      <c r="C2588" s="17"/>
      <c r="D2588" s="192"/>
      <c r="E2588" s="18"/>
      <c r="F2588" s="22" t="s">
        <v>26</v>
      </c>
      <c r="G2588" s="23">
        <f>SUM(G2582:G2587)</f>
        <v>622.13562499999989</v>
      </c>
    </row>
    <row r="2589" spans="1:8" ht="28.5" customHeight="1" thickBot="1">
      <c r="A2589" s="211" t="s">
        <v>515</v>
      </c>
      <c r="B2589" s="216" t="str">
        <f ca="1">_xlfn.CONCAT(B2556,A2589)</f>
        <v>278E96BB-af</v>
      </c>
      <c r="C2589" s="10" t="s">
        <v>27</v>
      </c>
      <c r="D2589" s="190"/>
      <c r="E2589" s="11"/>
      <c r="F2589" s="12"/>
      <c r="G2589" s="13"/>
    </row>
    <row r="2590" spans="1:8" s="47" customFormat="1" ht="23.25" customHeight="1" thickBot="1">
      <c r="A2590" s="211" t="s">
        <v>516</v>
      </c>
      <c r="B2590" s="216" t="str">
        <f ca="1">_xlfn.CONCAT(B2556,A2590)</f>
        <v>278E96BB-ag</v>
      </c>
      <c r="C2590" s="14" t="s">
        <v>1</v>
      </c>
      <c r="D2590" s="15" t="s">
        <v>28</v>
      </c>
      <c r="E2590" s="15" t="s">
        <v>20</v>
      </c>
      <c r="F2590" s="16" t="s">
        <v>21</v>
      </c>
      <c r="G2590" s="15" t="s">
        <v>5</v>
      </c>
      <c r="H2590" s="215"/>
    </row>
    <row r="2591" spans="1:8">
      <c r="A2591" s="211" t="s">
        <v>517</v>
      </c>
      <c r="B2591" s="216" t="str">
        <f ca="1">_xlfn.CONCAT(B2556,A2591)</f>
        <v>278E96BB-ah</v>
      </c>
      <c r="C2591" s="30" t="s">
        <v>29</v>
      </c>
      <c r="D2591" s="186">
        <f>'H-MO'!$N$77</f>
        <v>725918.52892505517</v>
      </c>
      <c r="E2591" s="31">
        <f>+D2591/8</f>
        <v>90739.816115631897</v>
      </c>
      <c r="F2591" s="32">
        <v>0.1</v>
      </c>
      <c r="G2591" s="33">
        <f>+E2591*F2591</f>
        <v>9073.9816115631893</v>
      </c>
    </row>
    <row r="2592" spans="1:8">
      <c r="A2592" s="211" t="s">
        <v>518</v>
      </c>
      <c r="B2592" s="216" t="str">
        <f ca="1">_xlfn.CONCAT(B2556,A2592)</f>
        <v>278E96BB-ai</v>
      </c>
      <c r="C2592" s="34" t="s">
        <v>30</v>
      </c>
      <c r="D2592" s="187">
        <f>'H-MO'!$N$86</f>
        <v>685561.39085756091</v>
      </c>
      <c r="E2592" s="29">
        <f>+D2592/8</f>
        <v>85695.173857195114</v>
      </c>
      <c r="F2592" s="28">
        <v>0</v>
      </c>
      <c r="G2592" s="33">
        <f>+E2592*F2592</f>
        <v>0</v>
      </c>
    </row>
    <row r="2593" spans="1:8" ht="14.25" thickBot="1">
      <c r="A2593" s="211" t="s">
        <v>519</v>
      </c>
      <c r="B2593" s="216" t="str">
        <f ca="1">_xlfn.CONCAT(B2556,A2593)</f>
        <v>278E96BB-aj</v>
      </c>
      <c r="C2593" s="34"/>
      <c r="D2593" s="187"/>
      <c r="E2593" s="29"/>
      <c r="F2593" s="28"/>
      <c r="G2593" s="33">
        <f>+E2593*F2593</f>
        <v>0</v>
      </c>
    </row>
    <row r="2594" spans="1:8" ht="17.25" customHeight="1" thickBot="1">
      <c r="A2594" s="211" t="s">
        <v>520</v>
      </c>
      <c r="B2594" s="216" t="str">
        <f ca="1">_xlfn.CONCAT(B2556,A2594)</f>
        <v>278E96BB-ak</v>
      </c>
      <c r="C2594" s="34"/>
      <c r="D2594" s="185"/>
      <c r="E2594" s="26"/>
      <c r="F2594" s="36" t="s">
        <v>31</v>
      </c>
      <c r="G2594" s="23">
        <f>SUM(G2591:G2593)</f>
        <v>9073.9816115631893</v>
      </c>
    </row>
    <row r="2595" spans="1:8" ht="14.25" thickBot="1">
      <c r="A2595" s="211" t="s">
        <v>521</v>
      </c>
      <c r="B2595" s="216" t="str">
        <f ca="1">_xlfn.CONCAT(B2556,A2595)</f>
        <v>278E96BB-al</v>
      </c>
      <c r="C2595" s="37"/>
      <c r="E2595" s="38"/>
      <c r="F2595" s="22"/>
      <c r="G2595" s="39"/>
    </row>
    <row r="2596" spans="1:8" ht="23.25" customHeight="1" thickBot="1">
      <c r="A2596" s="211" t="s">
        <v>522</v>
      </c>
      <c r="B2596" s="216" t="str">
        <f ca="1">_xlfn.CONCAT(B2556,A2596)</f>
        <v>278E96BB-am</v>
      </c>
      <c r="C2596" s="40"/>
      <c r="D2596" s="193"/>
      <c r="E2596" s="41"/>
      <c r="F2596" s="42"/>
      <c r="G2596" s="43">
        <f>+G2579+G2588+G2594</f>
        <v>55386.117236563194</v>
      </c>
    </row>
    <row r="2597" spans="1:8" ht="21.75" thickBot="1">
      <c r="B2597" s="212" t="s">
        <v>550</v>
      </c>
      <c r="C2597" s="2"/>
      <c r="D2597" s="183"/>
      <c r="F2597" s="4"/>
      <c r="G2597" s="5"/>
    </row>
    <row r="2598" spans="1:8" s="45" customFormat="1" ht="34.5" customHeight="1">
      <c r="A2598" s="213"/>
      <c r="B2598" s="214">
        <v>60</v>
      </c>
      <c r="C2598" s="242" t="str">
        <f ca="1">_xlfn.XLOOKUP(B2598,Cantidades!$A$10:$A$314,Cantidades!$C$10:$C$314,,0,1)</f>
        <v>Suministro e instalación de tapa tipo intemperie para toma GFCI. Incluye tapa tipo intemperie y demás accesorios para su correcta instalación,  fincionamiento y señalización.</v>
      </c>
      <c r="D2598" s="243"/>
      <c r="E2598" s="243"/>
      <c r="F2598" s="243"/>
      <c r="G2598" s="244"/>
      <c r="H2598" s="213"/>
    </row>
    <row r="2599" spans="1:8" s="47" customFormat="1" ht="24.95" customHeight="1" thickBot="1">
      <c r="A2599" s="215"/>
      <c r="B2599" s="216" t="s">
        <v>550</v>
      </c>
      <c r="C2599" s="177"/>
      <c r="D2599" s="189"/>
      <c r="E2599" s="178"/>
      <c r="F2599" s="179" t="s">
        <v>636</v>
      </c>
      <c r="G2599" s="209" t="str">
        <f ca="1">B2600</f>
        <v>3ABE3B01-</v>
      </c>
      <c r="H2599" s="215"/>
    </row>
    <row r="2600" spans="1:8" ht="28.5" customHeight="1" thickBot="1">
      <c r="B2600" s="212" t="str">
        <f ca="1">_xlfn.XLOOKUP(C2598,Cantidades!$C$1:$C$314,Cantidades!$B$1:$B$314,"",0,1)</f>
        <v>3ABE3B01-</v>
      </c>
      <c r="C2600" s="10" t="s">
        <v>0</v>
      </c>
      <c r="D2600" s="190"/>
      <c r="E2600" s="11"/>
      <c r="F2600" s="12"/>
      <c r="G2600" s="13"/>
    </row>
    <row r="2601" spans="1:8" s="47" customFormat="1" ht="23.25" customHeight="1" thickBot="1">
      <c r="A2601" s="215"/>
      <c r="B2601" s="216" t="s">
        <v>550</v>
      </c>
      <c r="C2601" s="14" t="s">
        <v>1</v>
      </c>
      <c r="D2601" s="15" t="s">
        <v>2</v>
      </c>
      <c r="E2601" s="15" t="s">
        <v>3</v>
      </c>
      <c r="F2601" s="16" t="s">
        <v>4</v>
      </c>
      <c r="G2601" s="15" t="s">
        <v>5</v>
      </c>
      <c r="H2601" s="215"/>
    </row>
    <row r="2602" spans="1:8" ht="15">
      <c r="A2602" s="211" t="s">
        <v>484</v>
      </c>
      <c r="B2602" s="216" t="str">
        <f ca="1">_xlfn.CONCAT(B2600,A2602)</f>
        <v>3ABE3B01-A</v>
      </c>
      <c r="C2602" s="17" t="str">
        <f>_xlfn.XLOOKUP(H2602,'Materiales unitario'!$A$1:$A$2500,'Materiales unitario'!B$1:B$2500,,0,1)</f>
        <v>Tapa intemperie</v>
      </c>
      <c r="D2602" s="184" t="str">
        <f>_xlfn.XLOOKUP(H2602,'Materiales unitario'!A$1:A$2500,'Materiales unitario'!C$1:C$2500,,0,1)</f>
        <v>un</v>
      </c>
      <c r="E2602" s="197">
        <f>_xlfn.XLOOKUP(H2602,'Materiales unitario'!$A$1:$A$2500,'Materiales unitario'!D$1:D$2500,,0,1)</f>
        <v>8600</v>
      </c>
      <c r="F2602" s="19">
        <v>1</v>
      </c>
      <c r="G2602" s="20">
        <f>+E2602*F2602</f>
        <v>8600</v>
      </c>
      <c r="H2602" s="217" t="s">
        <v>704</v>
      </c>
    </row>
    <row r="2603" spans="1:8" ht="15">
      <c r="A2603" s="211" t="s">
        <v>485</v>
      </c>
      <c r="B2603" s="216" t="str">
        <f ca="1">_xlfn.CONCAT(B2600,A2603)</f>
        <v>3ABE3B01-B</v>
      </c>
      <c r="C2603" s="17"/>
      <c r="D2603" s="184"/>
      <c r="E2603" s="197"/>
      <c r="F2603" s="19"/>
      <c r="G2603" s="20"/>
      <c r="H2603" s="217"/>
    </row>
    <row r="2604" spans="1:8" ht="15">
      <c r="A2604" s="211" t="s">
        <v>486</v>
      </c>
      <c r="B2604" s="216" t="str">
        <f ca="1">_xlfn.CONCAT(B2600,A2604)</f>
        <v>3ABE3B01-C</v>
      </c>
      <c r="C2604" s="17"/>
      <c r="D2604" s="184"/>
      <c r="E2604" s="197"/>
      <c r="F2604" s="19"/>
      <c r="G2604" s="20"/>
      <c r="H2604" s="217"/>
    </row>
    <row r="2605" spans="1:8" ht="15">
      <c r="A2605" s="211" t="s">
        <v>487</v>
      </c>
      <c r="B2605" s="216" t="str">
        <f ca="1">_xlfn.CONCAT(B2600,A2605)</f>
        <v>3ABE3B01-D</v>
      </c>
      <c r="C2605" s="17"/>
      <c r="D2605" s="184"/>
      <c r="E2605" s="197"/>
      <c r="F2605" s="19"/>
      <c r="G2605" s="20"/>
      <c r="H2605" s="217"/>
    </row>
    <row r="2606" spans="1:8" ht="15">
      <c r="A2606" s="211" t="s">
        <v>488</v>
      </c>
      <c r="B2606" s="216" t="str">
        <f ca="1">_xlfn.CONCAT(B2600,A2606)</f>
        <v>3ABE3B01-E</v>
      </c>
      <c r="C2606" s="17"/>
      <c r="D2606" s="184"/>
      <c r="E2606" s="197"/>
      <c r="F2606" s="19"/>
      <c r="G2606" s="20"/>
      <c r="H2606" s="217"/>
    </row>
    <row r="2607" spans="1:8" ht="15">
      <c r="A2607" s="211" t="s">
        <v>489</v>
      </c>
      <c r="B2607" s="216" t="str">
        <f ca="1">_xlfn.CONCAT(B2600,A2607)</f>
        <v>3ABE3B01-F</v>
      </c>
      <c r="C2607" s="17"/>
      <c r="D2607" s="184"/>
      <c r="E2607" s="197"/>
      <c r="F2607" s="19"/>
      <c r="G2607" s="20"/>
      <c r="H2607" s="217"/>
    </row>
    <row r="2608" spans="1:8" ht="15">
      <c r="A2608" s="211" t="s">
        <v>490</v>
      </c>
      <c r="B2608" s="216" t="str">
        <f ca="1">_xlfn.CONCAT(B2600,A2608)</f>
        <v>3ABE3B01-G</v>
      </c>
      <c r="C2608" s="17"/>
      <c r="D2608" s="184"/>
      <c r="E2608" s="197"/>
      <c r="F2608" s="19"/>
      <c r="G2608" s="20"/>
      <c r="H2608" s="217"/>
    </row>
    <row r="2609" spans="1:8" ht="15">
      <c r="A2609" s="211" t="s">
        <v>491</v>
      </c>
      <c r="B2609" s="216" t="str">
        <f ca="1">_xlfn.CONCAT(B2600,A2609)</f>
        <v>3ABE3B01-H</v>
      </c>
      <c r="C2609" s="17"/>
      <c r="D2609" s="184"/>
      <c r="E2609" s="197"/>
      <c r="F2609" s="19"/>
      <c r="G2609" s="20"/>
      <c r="H2609" s="217"/>
    </row>
    <row r="2610" spans="1:8" ht="15">
      <c r="A2610" s="211" t="s">
        <v>492</v>
      </c>
      <c r="B2610" s="216" t="str">
        <f ca="1">_xlfn.CONCAT(B2600,A2610)</f>
        <v>3ABE3B01-I</v>
      </c>
      <c r="C2610" s="17"/>
      <c r="D2610" s="184"/>
      <c r="E2610" s="197"/>
      <c r="F2610" s="19"/>
      <c r="G2610" s="20"/>
      <c r="H2610" s="217"/>
    </row>
    <row r="2611" spans="1:8" ht="15">
      <c r="A2611" s="211" t="s">
        <v>493</v>
      </c>
      <c r="B2611" s="216" t="str">
        <f ca="1">_xlfn.CONCAT(B2600,A2611)</f>
        <v>3ABE3B01-J</v>
      </c>
      <c r="C2611" s="17"/>
      <c r="D2611" s="184"/>
      <c r="E2611" s="197"/>
      <c r="F2611" s="19"/>
      <c r="G2611" s="20"/>
      <c r="H2611" s="217"/>
    </row>
    <row r="2612" spans="1:8" ht="15">
      <c r="A2612" s="211" t="s">
        <v>494</v>
      </c>
      <c r="B2612" s="216" t="str">
        <f ca="1">_xlfn.CONCAT(B2600,A2612)</f>
        <v>3ABE3B01-K</v>
      </c>
      <c r="C2612" s="17"/>
      <c r="D2612" s="184"/>
      <c r="E2612" s="197"/>
      <c r="F2612" s="19"/>
      <c r="G2612" s="20"/>
      <c r="H2612" s="217"/>
    </row>
    <row r="2613" spans="1:8" ht="15">
      <c r="A2613" s="211" t="s">
        <v>495</v>
      </c>
      <c r="B2613" s="216" t="str">
        <f ca="1">_xlfn.CONCAT(B2600,A2613)</f>
        <v>3ABE3B01-L</v>
      </c>
      <c r="C2613" s="17"/>
      <c r="D2613" s="184"/>
      <c r="E2613" s="197"/>
      <c r="F2613" s="19"/>
      <c r="G2613" s="20"/>
      <c r="H2613" s="217"/>
    </row>
    <row r="2614" spans="1:8" ht="15">
      <c r="A2614" s="211" t="s">
        <v>496</v>
      </c>
      <c r="B2614" s="216" t="str">
        <f ca="1">_xlfn.CONCAT(B2600,A2614)</f>
        <v>3ABE3B01-M</v>
      </c>
      <c r="C2614" s="17"/>
      <c r="D2614" s="184"/>
      <c r="E2614" s="197"/>
      <c r="F2614" s="19"/>
      <c r="G2614" s="20"/>
      <c r="H2614" s="217"/>
    </row>
    <row r="2615" spans="1:8">
      <c r="A2615" s="211" t="s">
        <v>497</v>
      </c>
      <c r="B2615" s="216" t="str">
        <f ca="1">_xlfn.CONCAT(B2600,A2615)</f>
        <v>3ABE3B01-N</v>
      </c>
      <c r="C2615" s="17"/>
      <c r="D2615" s="184"/>
      <c r="E2615" s="197"/>
      <c r="F2615" s="19"/>
      <c r="G2615" s="20"/>
    </row>
    <row r="2616" spans="1:8">
      <c r="A2616" s="211" t="s">
        <v>498</v>
      </c>
      <c r="B2616" s="216" t="str">
        <f ca="1">_xlfn.CONCAT(B2600,A2616)</f>
        <v>3ABE3B01-O</v>
      </c>
      <c r="C2616" s="17"/>
      <c r="D2616" s="184"/>
      <c r="E2616" s="197"/>
      <c r="F2616" s="19"/>
      <c r="G2616" s="20"/>
    </row>
    <row r="2617" spans="1:8">
      <c r="A2617" s="211" t="s">
        <v>499</v>
      </c>
      <c r="B2617" s="216" t="str">
        <f ca="1">_xlfn.CONCAT(B2600,A2617)</f>
        <v>3ABE3B01-P</v>
      </c>
      <c r="C2617" s="17"/>
      <c r="D2617" s="184"/>
      <c r="E2617" s="197"/>
      <c r="F2617" s="19"/>
      <c r="G2617" s="20"/>
    </row>
    <row r="2618" spans="1:8">
      <c r="A2618" s="211" t="s">
        <v>500</v>
      </c>
      <c r="B2618" s="216" t="str">
        <f ca="1">_xlfn.CONCAT(B2600,A2618)</f>
        <v>3ABE3B01-Q</v>
      </c>
      <c r="C2618" s="17"/>
      <c r="D2618" s="184"/>
      <c r="E2618" s="197"/>
      <c r="F2618" s="19"/>
      <c r="G2618" s="20"/>
    </row>
    <row r="2619" spans="1:8">
      <c r="A2619" s="211" t="s">
        <v>501</v>
      </c>
      <c r="B2619" s="216" t="str">
        <f ca="1">_xlfn.CONCAT(B2600,A2619)</f>
        <v>3ABE3B01-R</v>
      </c>
      <c r="C2619" s="17"/>
      <c r="D2619" s="184"/>
      <c r="E2619" s="197"/>
      <c r="F2619" s="19"/>
      <c r="G2619" s="20"/>
    </row>
    <row r="2620" spans="1:8">
      <c r="A2620" s="211" t="s">
        <v>502</v>
      </c>
      <c r="B2620" s="216" t="str">
        <f ca="1">_xlfn.CONCAT(B2600,A2620)</f>
        <v>3ABE3B01-S</v>
      </c>
      <c r="C2620" s="17"/>
      <c r="D2620" s="184"/>
      <c r="E2620" s="197"/>
      <c r="F2620" s="19"/>
      <c r="G2620" s="20"/>
    </row>
    <row r="2621" spans="1:8">
      <c r="A2621" s="211" t="s">
        <v>503</v>
      </c>
      <c r="B2621" s="216" t="str">
        <f ca="1">_xlfn.CONCAT(B2600,A2621)</f>
        <v>3ABE3B01-T</v>
      </c>
      <c r="C2621" s="17"/>
      <c r="D2621" s="184"/>
      <c r="E2621" s="197"/>
      <c r="F2621" s="19"/>
      <c r="G2621" s="20"/>
    </row>
    <row r="2622" spans="1:8" ht="14.25" thickBot="1">
      <c r="A2622" s="211" t="s">
        <v>504</v>
      </c>
      <c r="B2622" s="216" t="str">
        <f ca="1">_xlfn.CONCAT(B2600,A2622)</f>
        <v>3ABE3B01-U</v>
      </c>
      <c r="C2622" s="17"/>
      <c r="D2622" s="184"/>
      <c r="E2622" s="197"/>
      <c r="F2622" s="19"/>
      <c r="G2622" s="20"/>
    </row>
    <row r="2623" spans="1:8" ht="16.5" customHeight="1" thickBot="1">
      <c r="A2623" s="211" t="s">
        <v>505</v>
      </c>
      <c r="B2623" s="216" t="str">
        <f ca="1">_xlfn.CONCAT(B2600,A2623)</f>
        <v>3ABE3B01-V</v>
      </c>
      <c r="C2623" s="17" t="s">
        <v>17</v>
      </c>
      <c r="D2623" s="192" t="s">
        <v>17</v>
      </c>
      <c r="E2623" s="18"/>
      <c r="F2623" s="22" t="s">
        <v>18</v>
      </c>
      <c r="G2623" s="23">
        <f>SUM(G2602:G2622)</f>
        <v>8600</v>
      </c>
    </row>
    <row r="2624" spans="1:8" ht="28.5" customHeight="1" thickBot="1">
      <c r="A2624" s="211" t="s">
        <v>506</v>
      </c>
      <c r="B2624" s="216" t="str">
        <f ca="1">_xlfn.CONCAT(B2600,A2624)</f>
        <v>3ABE3B01-W</v>
      </c>
      <c r="C2624" s="10" t="s">
        <v>19</v>
      </c>
      <c r="D2624" s="190"/>
      <c r="E2624" s="11"/>
      <c r="F2624" s="12"/>
      <c r="G2624" s="13"/>
    </row>
    <row r="2625" spans="1:8" s="47" customFormat="1" ht="23.25" customHeight="1" thickBot="1">
      <c r="A2625" s="211" t="s">
        <v>507</v>
      </c>
      <c r="B2625" s="216" t="str">
        <f ca="1">_xlfn.CONCAT(B2600,A2625)</f>
        <v>3ABE3B01-X</v>
      </c>
      <c r="C2625" s="14" t="s">
        <v>1</v>
      </c>
      <c r="D2625" s="15"/>
      <c r="E2625" s="15" t="s">
        <v>20</v>
      </c>
      <c r="F2625" s="16" t="s">
        <v>21</v>
      </c>
      <c r="G2625" s="15" t="s">
        <v>5</v>
      </c>
      <c r="H2625" s="215"/>
    </row>
    <row r="2626" spans="1:8">
      <c r="A2626" s="211" t="s">
        <v>508</v>
      </c>
      <c r="B2626" s="216" t="str">
        <f ca="1">_xlfn.CONCAT(B2600,A2626)</f>
        <v>3ABE3B01-Y</v>
      </c>
      <c r="C2626" s="24" t="s">
        <v>22</v>
      </c>
      <c r="D2626" s="184"/>
      <c r="E2626" s="25">
        <f>_xlfn.XLOOKUP(C2626,'H-MO'!B$7:B$30,'H-MO'!D$7:D$30,,0,1)</f>
        <v>2436.5624999999995</v>
      </c>
      <c r="F2626" s="19">
        <v>0.01</v>
      </c>
      <c r="G2626" s="33">
        <f t="shared" ref="G2626:G2631" si="76">+E2626*F2626</f>
        <v>24.365624999999994</v>
      </c>
    </row>
    <row r="2627" spans="1:8">
      <c r="A2627" s="211" t="s">
        <v>509</v>
      </c>
      <c r="B2627" s="216" t="str">
        <f ca="1">_xlfn.CONCAT(B2600,A2627)</f>
        <v>3ABE3B01-Z</v>
      </c>
      <c r="C2627" s="24" t="s">
        <v>23</v>
      </c>
      <c r="D2627" s="184"/>
      <c r="E2627" s="25">
        <f>_xlfn.XLOOKUP(C2627,'H-MO'!B$7:B$30,'H-MO'!D$7:D$30,,0,1)</f>
        <v>1461.9374999999998</v>
      </c>
      <c r="F2627" s="19">
        <v>0.01</v>
      </c>
      <c r="G2627" s="33">
        <f t="shared" si="76"/>
        <v>14.619374999999998</v>
      </c>
    </row>
    <row r="2628" spans="1:8">
      <c r="A2628" s="211" t="s">
        <v>510</v>
      </c>
      <c r="B2628" s="216" t="str">
        <f ca="1">_xlfn.CONCAT(B2600,A2628)</f>
        <v>3ABE3B01-aa</v>
      </c>
      <c r="C2628" s="24" t="s">
        <v>24</v>
      </c>
      <c r="D2628" s="185"/>
      <c r="E2628" s="25">
        <f>_xlfn.XLOOKUP(C2628,'H-MO'!B$7:B$30,'H-MO'!D$7:D$30,,0,1)</f>
        <v>29238.749999999996</v>
      </c>
      <c r="F2628" s="28">
        <v>1E-3</v>
      </c>
      <c r="G2628" s="33">
        <f t="shared" si="76"/>
        <v>29.238749999999996</v>
      </c>
    </row>
    <row r="2629" spans="1:8">
      <c r="A2629" s="211" t="s">
        <v>511</v>
      </c>
      <c r="B2629" s="216" t="str">
        <f ca="1">_xlfn.CONCAT(B2600,A2629)</f>
        <v>3ABE3B01-ab</v>
      </c>
      <c r="C2629" s="24" t="s">
        <v>25</v>
      </c>
      <c r="D2629" s="185"/>
      <c r="E2629" s="25">
        <f>_xlfn.XLOOKUP(C2629,'H-MO'!B$7:B$30,'H-MO'!D$7:D$30,,0,1)</f>
        <v>2761.4374999999995</v>
      </c>
      <c r="F2629" s="28">
        <v>0.01</v>
      </c>
      <c r="G2629" s="33">
        <f t="shared" si="76"/>
        <v>27.614374999999995</v>
      </c>
    </row>
    <row r="2630" spans="1:8">
      <c r="A2630" s="211" t="s">
        <v>512</v>
      </c>
      <c r="B2630" s="216" t="str">
        <f ca="1">_xlfn.CONCAT(B2600,A2630)</f>
        <v>3ABE3B01-ac</v>
      </c>
      <c r="C2630" s="24"/>
      <c r="D2630" s="185"/>
      <c r="E2630" s="29"/>
      <c r="F2630" s="28"/>
      <c r="G2630" s="33">
        <f t="shared" si="76"/>
        <v>0</v>
      </c>
    </row>
    <row r="2631" spans="1:8" ht="14.25" thickBot="1">
      <c r="A2631" s="211" t="s">
        <v>513</v>
      </c>
      <c r="B2631" s="216" t="str">
        <f ca="1">_xlfn.CONCAT(B2600,A2631)</f>
        <v>3ABE3B01-ad</v>
      </c>
      <c r="C2631" s="24"/>
      <c r="D2631" s="185"/>
      <c r="E2631" s="29"/>
      <c r="F2631" s="28"/>
      <c r="G2631" s="33">
        <f t="shared" si="76"/>
        <v>0</v>
      </c>
    </row>
    <row r="2632" spans="1:8" ht="16.5" customHeight="1" thickBot="1">
      <c r="A2632" s="211" t="s">
        <v>514</v>
      </c>
      <c r="B2632" s="216" t="str">
        <f ca="1">_xlfn.CONCAT(B2600,A2632)</f>
        <v>3ABE3B01-ae</v>
      </c>
      <c r="C2632" s="17"/>
      <c r="D2632" s="192"/>
      <c r="E2632" s="18"/>
      <c r="F2632" s="22" t="s">
        <v>26</v>
      </c>
      <c r="G2632" s="23">
        <f>SUM(G2626:G2631)</f>
        <v>95.838124999999991</v>
      </c>
    </row>
    <row r="2633" spans="1:8" ht="28.5" customHeight="1" thickBot="1">
      <c r="A2633" s="211" t="s">
        <v>515</v>
      </c>
      <c r="B2633" s="216" t="str">
        <f ca="1">_xlfn.CONCAT(B2600,A2633)</f>
        <v>3ABE3B01-af</v>
      </c>
      <c r="C2633" s="10" t="s">
        <v>27</v>
      </c>
      <c r="D2633" s="190"/>
      <c r="E2633" s="11"/>
      <c r="F2633" s="12"/>
      <c r="G2633" s="13"/>
    </row>
    <row r="2634" spans="1:8" s="47" customFormat="1" ht="23.25" customHeight="1" thickBot="1">
      <c r="A2634" s="211" t="s">
        <v>516</v>
      </c>
      <c r="B2634" s="216" t="str">
        <f ca="1">_xlfn.CONCAT(B2600,A2634)</f>
        <v>3ABE3B01-ag</v>
      </c>
      <c r="C2634" s="14" t="s">
        <v>1</v>
      </c>
      <c r="D2634" s="15" t="s">
        <v>28</v>
      </c>
      <c r="E2634" s="15" t="s">
        <v>20</v>
      </c>
      <c r="F2634" s="16" t="s">
        <v>21</v>
      </c>
      <c r="G2634" s="15" t="s">
        <v>5</v>
      </c>
      <c r="H2634" s="215"/>
    </row>
    <row r="2635" spans="1:8">
      <c r="A2635" s="211" t="s">
        <v>517</v>
      </c>
      <c r="B2635" s="216" t="str">
        <f ca="1">_xlfn.CONCAT(B2600,A2635)</f>
        <v>3ABE3B01-ah</v>
      </c>
      <c r="C2635" s="30" t="s">
        <v>29</v>
      </c>
      <c r="D2635" s="186">
        <f>'H-MO'!$N$77</f>
        <v>725918.52892505517</v>
      </c>
      <c r="E2635" s="31">
        <f>+D2635/8</f>
        <v>90739.816115631897</v>
      </c>
      <c r="F2635" s="32">
        <v>0.01</v>
      </c>
      <c r="G2635" s="33">
        <f>+E2635*F2635</f>
        <v>907.39816115631902</v>
      </c>
    </row>
    <row r="2636" spans="1:8">
      <c r="A2636" s="211" t="s">
        <v>518</v>
      </c>
      <c r="B2636" s="216" t="str">
        <f ca="1">_xlfn.CONCAT(B2600,A2636)</f>
        <v>3ABE3B01-ai</v>
      </c>
      <c r="C2636" s="34" t="s">
        <v>30</v>
      </c>
      <c r="D2636" s="187">
        <f>'H-MO'!$N$86</f>
        <v>685561.39085756091</v>
      </c>
      <c r="E2636" s="29">
        <f>+D2636/8</f>
        <v>85695.173857195114</v>
      </c>
      <c r="F2636" s="28">
        <v>0</v>
      </c>
      <c r="G2636" s="33">
        <f>+E2636*F2636</f>
        <v>0</v>
      </c>
    </row>
    <row r="2637" spans="1:8" ht="14.25" thickBot="1">
      <c r="A2637" s="211" t="s">
        <v>519</v>
      </c>
      <c r="B2637" s="216" t="str">
        <f ca="1">_xlfn.CONCAT(B2600,A2637)</f>
        <v>3ABE3B01-aj</v>
      </c>
      <c r="C2637" s="34"/>
      <c r="D2637" s="187"/>
      <c r="E2637" s="29"/>
      <c r="F2637" s="28"/>
      <c r="G2637" s="33">
        <f>+E2637*F2637</f>
        <v>0</v>
      </c>
    </row>
    <row r="2638" spans="1:8" ht="17.25" customHeight="1" thickBot="1">
      <c r="A2638" s="211" t="s">
        <v>520</v>
      </c>
      <c r="B2638" s="216" t="str">
        <f ca="1">_xlfn.CONCAT(B2600,A2638)</f>
        <v>3ABE3B01-ak</v>
      </c>
      <c r="C2638" s="34"/>
      <c r="D2638" s="185"/>
      <c r="E2638" s="26"/>
      <c r="F2638" s="36" t="s">
        <v>31</v>
      </c>
      <c r="G2638" s="23">
        <f>SUM(G2635:G2637)</f>
        <v>907.39816115631902</v>
      </c>
    </row>
    <row r="2639" spans="1:8" ht="14.25" thickBot="1">
      <c r="A2639" s="211" t="s">
        <v>521</v>
      </c>
      <c r="B2639" s="216" t="str">
        <f ca="1">_xlfn.CONCAT(B2600,A2639)</f>
        <v>3ABE3B01-al</v>
      </c>
      <c r="C2639" s="37"/>
      <c r="E2639" s="38"/>
      <c r="F2639" s="22"/>
      <c r="G2639" s="39"/>
    </row>
    <row r="2640" spans="1:8" ht="23.25" customHeight="1" thickBot="1">
      <c r="A2640" s="211" t="s">
        <v>522</v>
      </c>
      <c r="B2640" s="216" t="str">
        <f ca="1">_xlfn.CONCAT(B2600,A2640)</f>
        <v>3ABE3B01-am</v>
      </c>
      <c r="C2640" s="40"/>
      <c r="D2640" s="193"/>
      <c r="E2640" s="41"/>
      <c r="F2640" s="42"/>
      <c r="G2640" s="43">
        <f>+G2623+G2632+G2638</f>
        <v>9603.2362861563197</v>
      </c>
    </row>
    <row r="2641" spans="1:8" ht="21.75" thickBot="1">
      <c r="B2641" s="212" t="s">
        <v>550</v>
      </c>
      <c r="C2641" s="2"/>
      <c r="D2641" s="183"/>
      <c r="F2641" s="4"/>
      <c r="G2641" s="5"/>
    </row>
    <row r="2642" spans="1:8" s="45" customFormat="1" ht="34.5" customHeight="1">
      <c r="A2642" s="213"/>
      <c r="B2642" s="214">
        <v>61</v>
      </c>
      <c r="C2642" s="242" t="str">
        <f ca="1">_xlfn.XLOOKUP(B2642,Cantidades!$A$10:$A$314,Cantidades!$C$10:$C$314,,0,1)</f>
        <v>Suministro e instalación de caja 30x30 cm puesta a tierra con tapa y marco</v>
      </c>
      <c r="D2642" s="243"/>
      <c r="E2642" s="243"/>
      <c r="F2642" s="243"/>
      <c r="G2642" s="244"/>
      <c r="H2642" s="213"/>
    </row>
    <row r="2643" spans="1:8" s="47" customFormat="1" ht="24.95" customHeight="1" thickBot="1">
      <c r="A2643" s="215"/>
      <c r="B2643" s="216" t="s">
        <v>550</v>
      </c>
      <c r="C2643" s="177"/>
      <c r="D2643" s="189"/>
      <c r="E2643" s="178"/>
      <c r="F2643" s="179" t="s">
        <v>636</v>
      </c>
      <c r="G2643" s="209" t="str">
        <f ca="1">B2644</f>
        <v>663ACA1-</v>
      </c>
      <c r="H2643" s="215"/>
    </row>
    <row r="2644" spans="1:8" ht="28.5" customHeight="1" thickBot="1">
      <c r="B2644" s="212" t="str">
        <f ca="1">_xlfn.XLOOKUP(C2642,Cantidades!$C$1:$C$314,Cantidades!$B$1:$B$314,"",0,1)</f>
        <v>663ACA1-</v>
      </c>
      <c r="C2644" s="10" t="s">
        <v>0</v>
      </c>
      <c r="D2644" s="190"/>
      <c r="E2644" s="11"/>
      <c r="F2644" s="12"/>
      <c r="G2644" s="13"/>
    </row>
    <row r="2645" spans="1:8" s="47" customFormat="1" ht="23.25" customHeight="1" thickBot="1">
      <c r="A2645" s="215"/>
      <c r="B2645" s="216" t="s">
        <v>550</v>
      </c>
      <c r="C2645" s="14" t="s">
        <v>1</v>
      </c>
      <c r="D2645" s="15" t="s">
        <v>2</v>
      </c>
      <c r="E2645" s="15" t="s">
        <v>3</v>
      </c>
      <c r="F2645" s="16" t="s">
        <v>4</v>
      </c>
      <c r="G2645" s="15" t="s">
        <v>5</v>
      </c>
      <c r="H2645" s="215"/>
    </row>
    <row r="2646" spans="1:8" ht="15">
      <c r="A2646" s="211" t="s">
        <v>484</v>
      </c>
      <c r="B2646" s="216" t="str">
        <f ca="1">_xlfn.CONCAT(B2644,A2646)</f>
        <v>663ACA1-A</v>
      </c>
      <c r="C2646" s="17" t="str">
        <f>_xlfn.XLOOKUP(H2646,'Materiales unitario'!$A$1:$A$2500,'Materiales unitario'!B$1:B$2500,,0,1)</f>
        <v>Pozo + tapa metalica de inspección 30x30 cms - Tierras SPT</v>
      </c>
      <c r="D2646" s="184" t="str">
        <f>_xlfn.XLOOKUP(H2646,'Materiales unitario'!A$1:A$2500,'Materiales unitario'!C$1:C$2500,,0,1)</f>
        <v>un</v>
      </c>
      <c r="E2646" s="197">
        <f>_xlfn.XLOOKUP(H2646,'Materiales unitario'!$A$1:$A$2500,'Materiales unitario'!D$1:D$2500,,0,1)</f>
        <v>132620</v>
      </c>
      <c r="F2646" s="19">
        <v>1</v>
      </c>
      <c r="G2646" s="20">
        <f>+E2646*F2646</f>
        <v>132620</v>
      </c>
      <c r="H2646" s="217" t="s">
        <v>350</v>
      </c>
    </row>
    <row r="2647" spans="1:8" ht="15">
      <c r="A2647" s="211" t="s">
        <v>485</v>
      </c>
      <c r="B2647" s="216" t="str">
        <f ca="1">_xlfn.CONCAT(B2644,A2647)</f>
        <v>663ACA1-B</v>
      </c>
      <c r="C2647" s="17"/>
      <c r="D2647" s="184"/>
      <c r="E2647" s="197"/>
      <c r="F2647" s="19"/>
      <c r="G2647" s="20"/>
      <c r="H2647" s="217"/>
    </row>
    <row r="2648" spans="1:8" ht="15">
      <c r="A2648" s="211" t="s">
        <v>486</v>
      </c>
      <c r="B2648" s="216" t="str">
        <f ca="1">_xlfn.CONCAT(B2644,A2648)</f>
        <v>663ACA1-C</v>
      </c>
      <c r="C2648" s="17"/>
      <c r="D2648" s="184"/>
      <c r="E2648" s="197"/>
      <c r="F2648" s="19"/>
      <c r="G2648" s="20"/>
      <c r="H2648" s="217"/>
    </row>
    <row r="2649" spans="1:8" ht="15">
      <c r="A2649" s="211" t="s">
        <v>487</v>
      </c>
      <c r="B2649" s="216" t="str">
        <f ca="1">_xlfn.CONCAT(B2644,A2649)</f>
        <v>663ACA1-D</v>
      </c>
      <c r="C2649" s="17"/>
      <c r="D2649" s="184"/>
      <c r="E2649" s="197"/>
      <c r="F2649" s="19"/>
      <c r="G2649" s="20"/>
      <c r="H2649" s="217"/>
    </row>
    <row r="2650" spans="1:8" ht="15">
      <c r="A2650" s="211" t="s">
        <v>488</v>
      </c>
      <c r="B2650" s="216" t="str">
        <f ca="1">_xlfn.CONCAT(B2644,A2650)</f>
        <v>663ACA1-E</v>
      </c>
      <c r="C2650" s="17"/>
      <c r="D2650" s="184"/>
      <c r="E2650" s="197"/>
      <c r="F2650" s="19"/>
      <c r="G2650" s="20"/>
      <c r="H2650" s="217"/>
    </row>
    <row r="2651" spans="1:8" ht="15">
      <c r="A2651" s="211" t="s">
        <v>489</v>
      </c>
      <c r="B2651" s="216" t="str">
        <f ca="1">_xlfn.CONCAT(B2644,A2651)</f>
        <v>663ACA1-F</v>
      </c>
      <c r="C2651" s="17"/>
      <c r="D2651" s="184"/>
      <c r="E2651" s="197"/>
      <c r="F2651" s="19"/>
      <c r="G2651" s="20"/>
      <c r="H2651" s="217"/>
    </row>
    <row r="2652" spans="1:8" ht="15">
      <c r="A2652" s="211" t="s">
        <v>490</v>
      </c>
      <c r="B2652" s="216" t="str">
        <f ca="1">_xlfn.CONCAT(B2644,A2652)</f>
        <v>663ACA1-G</v>
      </c>
      <c r="C2652" s="17"/>
      <c r="D2652" s="184"/>
      <c r="E2652" s="197"/>
      <c r="F2652" s="19"/>
      <c r="G2652" s="20"/>
      <c r="H2652" s="217"/>
    </row>
    <row r="2653" spans="1:8" ht="15">
      <c r="A2653" s="211" t="s">
        <v>491</v>
      </c>
      <c r="B2653" s="216" t="str">
        <f ca="1">_xlfn.CONCAT(B2644,A2653)</f>
        <v>663ACA1-H</v>
      </c>
      <c r="C2653" s="17"/>
      <c r="D2653" s="184"/>
      <c r="E2653" s="197"/>
      <c r="F2653" s="19"/>
      <c r="G2653" s="20"/>
      <c r="H2653" s="217"/>
    </row>
    <row r="2654" spans="1:8" ht="15">
      <c r="A2654" s="211" t="s">
        <v>492</v>
      </c>
      <c r="B2654" s="216" t="str">
        <f ca="1">_xlfn.CONCAT(B2644,A2654)</f>
        <v>663ACA1-I</v>
      </c>
      <c r="C2654" s="17"/>
      <c r="D2654" s="184"/>
      <c r="E2654" s="197"/>
      <c r="F2654" s="19"/>
      <c r="G2654" s="20"/>
      <c r="H2654" s="217"/>
    </row>
    <row r="2655" spans="1:8" ht="15">
      <c r="A2655" s="211" t="s">
        <v>493</v>
      </c>
      <c r="B2655" s="216" t="str">
        <f ca="1">_xlfn.CONCAT(B2644,A2655)</f>
        <v>663ACA1-J</v>
      </c>
      <c r="C2655" s="17"/>
      <c r="D2655" s="184"/>
      <c r="E2655" s="197"/>
      <c r="F2655" s="19"/>
      <c r="G2655" s="20"/>
      <c r="H2655" s="217"/>
    </row>
    <row r="2656" spans="1:8" ht="15">
      <c r="A2656" s="211" t="s">
        <v>494</v>
      </c>
      <c r="B2656" s="216" t="str">
        <f ca="1">_xlfn.CONCAT(B2644,A2656)</f>
        <v>663ACA1-K</v>
      </c>
      <c r="C2656" s="17"/>
      <c r="D2656" s="184"/>
      <c r="E2656" s="197"/>
      <c r="F2656" s="19"/>
      <c r="G2656" s="20"/>
      <c r="H2656" s="217"/>
    </row>
    <row r="2657" spans="1:8" ht="15">
      <c r="A2657" s="211" t="s">
        <v>495</v>
      </c>
      <c r="B2657" s="216" t="str">
        <f ca="1">_xlfn.CONCAT(B2644,A2657)</f>
        <v>663ACA1-L</v>
      </c>
      <c r="C2657" s="17"/>
      <c r="D2657" s="184"/>
      <c r="E2657" s="197"/>
      <c r="F2657" s="19"/>
      <c r="G2657" s="20"/>
      <c r="H2657" s="217"/>
    </row>
    <row r="2658" spans="1:8" ht="15">
      <c r="A2658" s="211" t="s">
        <v>496</v>
      </c>
      <c r="B2658" s="216" t="str">
        <f ca="1">_xlfn.CONCAT(B2644,A2658)</f>
        <v>663ACA1-M</v>
      </c>
      <c r="C2658" s="17"/>
      <c r="D2658" s="184"/>
      <c r="E2658" s="197"/>
      <c r="F2658" s="19"/>
      <c r="G2658" s="20"/>
      <c r="H2658" s="217"/>
    </row>
    <row r="2659" spans="1:8">
      <c r="A2659" s="211" t="s">
        <v>497</v>
      </c>
      <c r="B2659" s="216" t="str">
        <f ca="1">_xlfn.CONCAT(B2644,A2659)</f>
        <v>663ACA1-N</v>
      </c>
      <c r="C2659" s="17"/>
      <c r="D2659" s="184"/>
      <c r="E2659" s="197"/>
      <c r="F2659" s="19"/>
      <c r="G2659" s="20"/>
    </row>
    <row r="2660" spans="1:8">
      <c r="A2660" s="211" t="s">
        <v>498</v>
      </c>
      <c r="B2660" s="216" t="str">
        <f ca="1">_xlfn.CONCAT(B2644,A2660)</f>
        <v>663ACA1-O</v>
      </c>
      <c r="C2660" s="17"/>
      <c r="D2660" s="184"/>
      <c r="E2660" s="197"/>
      <c r="F2660" s="19"/>
      <c r="G2660" s="20"/>
    </row>
    <row r="2661" spans="1:8">
      <c r="A2661" s="211" t="s">
        <v>499</v>
      </c>
      <c r="B2661" s="216" t="str">
        <f ca="1">_xlfn.CONCAT(B2644,A2661)</f>
        <v>663ACA1-P</v>
      </c>
      <c r="C2661" s="17"/>
      <c r="D2661" s="184"/>
      <c r="E2661" s="197"/>
      <c r="F2661" s="19"/>
      <c r="G2661" s="20"/>
    </row>
    <row r="2662" spans="1:8">
      <c r="A2662" s="211" t="s">
        <v>500</v>
      </c>
      <c r="B2662" s="216" t="str">
        <f ca="1">_xlfn.CONCAT(B2644,A2662)</f>
        <v>663ACA1-Q</v>
      </c>
      <c r="C2662" s="17"/>
      <c r="D2662" s="184"/>
      <c r="E2662" s="197"/>
      <c r="F2662" s="19"/>
      <c r="G2662" s="20"/>
    </row>
    <row r="2663" spans="1:8">
      <c r="A2663" s="211" t="s">
        <v>501</v>
      </c>
      <c r="B2663" s="216" t="str">
        <f ca="1">_xlfn.CONCAT(B2644,A2663)</f>
        <v>663ACA1-R</v>
      </c>
      <c r="C2663" s="17"/>
      <c r="D2663" s="184"/>
      <c r="E2663" s="197"/>
      <c r="F2663" s="19"/>
      <c r="G2663" s="20"/>
    </row>
    <row r="2664" spans="1:8">
      <c r="A2664" s="211" t="s">
        <v>502</v>
      </c>
      <c r="B2664" s="216" t="str">
        <f ca="1">_xlfn.CONCAT(B2644,A2664)</f>
        <v>663ACA1-S</v>
      </c>
      <c r="C2664" s="17"/>
      <c r="D2664" s="184"/>
      <c r="E2664" s="197"/>
      <c r="F2664" s="19"/>
      <c r="G2664" s="20"/>
    </row>
    <row r="2665" spans="1:8">
      <c r="A2665" s="211" t="s">
        <v>503</v>
      </c>
      <c r="B2665" s="216" t="str">
        <f ca="1">_xlfn.CONCAT(B2644,A2665)</f>
        <v>663ACA1-T</v>
      </c>
      <c r="C2665" s="17"/>
      <c r="D2665" s="184"/>
      <c r="E2665" s="197"/>
      <c r="F2665" s="19"/>
      <c r="G2665" s="20"/>
    </row>
    <row r="2666" spans="1:8" ht="14.25" thickBot="1">
      <c r="A2666" s="211" t="s">
        <v>504</v>
      </c>
      <c r="B2666" s="216" t="str">
        <f ca="1">_xlfn.CONCAT(B2644,A2666)</f>
        <v>663ACA1-U</v>
      </c>
      <c r="C2666" s="17"/>
      <c r="D2666" s="184"/>
      <c r="E2666" s="197"/>
      <c r="F2666" s="19"/>
      <c r="G2666" s="20"/>
    </row>
    <row r="2667" spans="1:8" ht="16.5" customHeight="1" thickBot="1">
      <c r="A2667" s="211" t="s">
        <v>505</v>
      </c>
      <c r="B2667" s="216" t="str">
        <f ca="1">_xlfn.CONCAT(B2644,A2667)</f>
        <v>663ACA1-V</v>
      </c>
      <c r="C2667" s="17" t="s">
        <v>17</v>
      </c>
      <c r="D2667" s="192" t="s">
        <v>17</v>
      </c>
      <c r="E2667" s="18"/>
      <c r="F2667" s="22" t="s">
        <v>18</v>
      </c>
      <c r="G2667" s="23">
        <f>SUM(G2646:G2666)</f>
        <v>132620</v>
      </c>
    </row>
    <row r="2668" spans="1:8" ht="28.5" customHeight="1" thickBot="1">
      <c r="A2668" s="211" t="s">
        <v>506</v>
      </c>
      <c r="B2668" s="216" t="str">
        <f ca="1">_xlfn.CONCAT(B2644,A2668)</f>
        <v>663ACA1-W</v>
      </c>
      <c r="C2668" s="10" t="s">
        <v>19</v>
      </c>
      <c r="D2668" s="190"/>
      <c r="E2668" s="11"/>
      <c r="F2668" s="12"/>
      <c r="G2668" s="13"/>
    </row>
    <row r="2669" spans="1:8" s="47" customFormat="1" ht="23.25" customHeight="1" thickBot="1">
      <c r="A2669" s="211" t="s">
        <v>507</v>
      </c>
      <c r="B2669" s="216" t="str">
        <f ca="1">_xlfn.CONCAT(B2644,A2669)</f>
        <v>663ACA1-X</v>
      </c>
      <c r="C2669" s="14" t="s">
        <v>1</v>
      </c>
      <c r="D2669" s="15"/>
      <c r="E2669" s="15" t="s">
        <v>20</v>
      </c>
      <c r="F2669" s="16" t="s">
        <v>21</v>
      </c>
      <c r="G2669" s="15" t="s">
        <v>5</v>
      </c>
      <c r="H2669" s="215"/>
    </row>
    <row r="2670" spans="1:8">
      <c r="A2670" s="211" t="s">
        <v>508</v>
      </c>
      <c r="B2670" s="216" t="str">
        <f ca="1">_xlfn.CONCAT(B2644,A2670)</f>
        <v>663ACA1-Y</v>
      </c>
      <c r="C2670" s="24" t="s">
        <v>22</v>
      </c>
      <c r="D2670" s="184"/>
      <c r="E2670" s="25">
        <f>_xlfn.XLOOKUP(C2670,'H-MO'!B$7:B$30,'H-MO'!D$7:D$30,,0,1)</f>
        <v>2436.5624999999995</v>
      </c>
      <c r="F2670" s="19">
        <v>0.1</v>
      </c>
      <c r="G2670" s="33">
        <f t="shared" ref="G2670:G2675" si="77">+E2670*F2670</f>
        <v>243.65624999999997</v>
      </c>
    </row>
    <row r="2671" spans="1:8">
      <c r="A2671" s="211" t="s">
        <v>509</v>
      </c>
      <c r="B2671" s="216" t="str">
        <f ca="1">_xlfn.CONCAT(B2644,A2671)</f>
        <v>663ACA1-Z</v>
      </c>
      <c r="C2671" s="24" t="s">
        <v>23</v>
      </c>
      <c r="D2671" s="184"/>
      <c r="E2671" s="25">
        <f>_xlfn.XLOOKUP(C2671,'H-MO'!B$7:B$30,'H-MO'!D$7:D$30,,0,1)</f>
        <v>1461.9374999999998</v>
      </c>
      <c r="F2671" s="19">
        <v>2</v>
      </c>
      <c r="G2671" s="33">
        <f t="shared" si="77"/>
        <v>2923.8749999999995</v>
      </c>
    </row>
    <row r="2672" spans="1:8">
      <c r="A2672" s="211" t="s">
        <v>510</v>
      </c>
      <c r="B2672" s="216" t="str">
        <f ca="1">_xlfn.CONCAT(B2644,A2672)</f>
        <v>663ACA1-aa</v>
      </c>
      <c r="C2672" s="24" t="s">
        <v>24</v>
      </c>
      <c r="D2672" s="185"/>
      <c r="E2672" s="25">
        <f>_xlfn.XLOOKUP(C2672,'H-MO'!B$7:B$30,'H-MO'!D$7:D$30,,0,1)</f>
        <v>29238.749999999996</v>
      </c>
      <c r="F2672" s="28">
        <v>0.2</v>
      </c>
      <c r="G2672" s="33">
        <f t="shared" si="77"/>
        <v>5847.75</v>
      </c>
    </row>
    <row r="2673" spans="1:8">
      <c r="A2673" s="211" t="s">
        <v>511</v>
      </c>
      <c r="B2673" s="216" t="str">
        <f ca="1">_xlfn.CONCAT(B2644,A2673)</f>
        <v>663ACA1-ab</v>
      </c>
      <c r="C2673" s="24" t="s">
        <v>25</v>
      </c>
      <c r="D2673" s="185"/>
      <c r="E2673" s="25">
        <f>_xlfn.XLOOKUP(C2673,'H-MO'!B$7:B$30,'H-MO'!D$7:D$30,,0,1)</f>
        <v>2761.4374999999995</v>
      </c>
      <c r="F2673" s="28">
        <v>0.1</v>
      </c>
      <c r="G2673" s="33">
        <f t="shared" si="77"/>
        <v>276.14374999999995</v>
      </c>
    </row>
    <row r="2674" spans="1:8">
      <c r="A2674" s="211" t="s">
        <v>512</v>
      </c>
      <c r="B2674" s="216" t="str">
        <f ca="1">_xlfn.CONCAT(B2644,A2674)</f>
        <v>663ACA1-ac</v>
      </c>
      <c r="C2674" s="24"/>
      <c r="D2674" s="185"/>
      <c r="E2674" s="29"/>
      <c r="F2674" s="28"/>
      <c r="G2674" s="33">
        <f t="shared" si="77"/>
        <v>0</v>
      </c>
    </row>
    <row r="2675" spans="1:8" ht="14.25" thickBot="1">
      <c r="A2675" s="211" t="s">
        <v>513</v>
      </c>
      <c r="B2675" s="216" t="str">
        <f ca="1">_xlfn.CONCAT(B2644,A2675)</f>
        <v>663ACA1-ad</v>
      </c>
      <c r="C2675" s="24"/>
      <c r="D2675" s="185"/>
      <c r="E2675" s="29"/>
      <c r="F2675" s="28"/>
      <c r="G2675" s="33">
        <f t="shared" si="77"/>
        <v>0</v>
      </c>
    </row>
    <row r="2676" spans="1:8" ht="16.5" customHeight="1" thickBot="1">
      <c r="A2676" s="211" t="s">
        <v>514</v>
      </c>
      <c r="B2676" s="216" t="str">
        <f ca="1">_xlfn.CONCAT(B2644,A2676)</f>
        <v>663ACA1-ae</v>
      </c>
      <c r="C2676" s="17"/>
      <c r="D2676" s="192"/>
      <c r="E2676" s="18"/>
      <c r="F2676" s="22" t="s">
        <v>26</v>
      </c>
      <c r="G2676" s="23">
        <f>SUM(G2670:G2675)</f>
        <v>9291.4249999999993</v>
      </c>
    </row>
    <row r="2677" spans="1:8" ht="28.5" customHeight="1" thickBot="1">
      <c r="A2677" s="211" t="s">
        <v>515</v>
      </c>
      <c r="B2677" s="216" t="str">
        <f ca="1">_xlfn.CONCAT(B2644,A2677)</f>
        <v>663ACA1-af</v>
      </c>
      <c r="C2677" s="10" t="s">
        <v>27</v>
      </c>
      <c r="D2677" s="190"/>
      <c r="E2677" s="11"/>
      <c r="F2677" s="12"/>
      <c r="G2677" s="13"/>
    </row>
    <row r="2678" spans="1:8" s="47" customFormat="1" ht="23.25" customHeight="1" thickBot="1">
      <c r="A2678" s="211" t="s">
        <v>516</v>
      </c>
      <c r="B2678" s="216" t="str">
        <f ca="1">_xlfn.CONCAT(B2644,A2678)</f>
        <v>663ACA1-ag</v>
      </c>
      <c r="C2678" s="14" t="s">
        <v>1</v>
      </c>
      <c r="D2678" s="15" t="s">
        <v>28</v>
      </c>
      <c r="E2678" s="15" t="s">
        <v>20</v>
      </c>
      <c r="F2678" s="16" t="s">
        <v>21</v>
      </c>
      <c r="G2678" s="15" t="s">
        <v>5</v>
      </c>
      <c r="H2678" s="215"/>
    </row>
    <row r="2679" spans="1:8">
      <c r="A2679" s="211" t="s">
        <v>517</v>
      </c>
      <c r="B2679" s="216" t="str">
        <f ca="1">_xlfn.CONCAT(B2644,A2679)</f>
        <v>663ACA1-ah</v>
      </c>
      <c r="C2679" s="30" t="s">
        <v>29</v>
      </c>
      <c r="D2679" s="186">
        <f>'H-MO'!$N$77</f>
        <v>725918.52892505517</v>
      </c>
      <c r="E2679" s="31">
        <f>+D2679/8</f>
        <v>90739.816115631897</v>
      </c>
      <c r="F2679" s="32">
        <v>0.45</v>
      </c>
      <c r="G2679" s="33">
        <f>+E2679*F2679</f>
        <v>40832.917252034356</v>
      </c>
    </row>
    <row r="2680" spans="1:8">
      <c r="A2680" s="211" t="s">
        <v>518</v>
      </c>
      <c r="B2680" s="216" t="str">
        <f ca="1">_xlfn.CONCAT(B2644,A2680)</f>
        <v>663ACA1-ai</v>
      </c>
      <c r="C2680" s="34" t="s">
        <v>30</v>
      </c>
      <c r="D2680" s="187">
        <f>'H-MO'!$N$86</f>
        <v>685561.39085756091</v>
      </c>
      <c r="E2680" s="29">
        <f>+D2680/8</f>
        <v>85695.173857195114</v>
      </c>
      <c r="F2680" s="28">
        <v>0</v>
      </c>
      <c r="G2680" s="33">
        <f>+E2680*F2680</f>
        <v>0</v>
      </c>
    </row>
    <row r="2681" spans="1:8" ht="14.25" thickBot="1">
      <c r="A2681" s="211" t="s">
        <v>519</v>
      </c>
      <c r="B2681" s="216" t="str">
        <f ca="1">_xlfn.CONCAT(B2644,A2681)</f>
        <v>663ACA1-aj</v>
      </c>
      <c r="C2681" s="34"/>
      <c r="D2681" s="187"/>
      <c r="E2681" s="29"/>
      <c r="F2681" s="28"/>
      <c r="G2681" s="33">
        <f>+E2681*F2681</f>
        <v>0</v>
      </c>
    </row>
    <row r="2682" spans="1:8" ht="17.25" customHeight="1" thickBot="1">
      <c r="A2682" s="211" t="s">
        <v>520</v>
      </c>
      <c r="B2682" s="216" t="str">
        <f ca="1">_xlfn.CONCAT(B2644,A2682)</f>
        <v>663ACA1-ak</v>
      </c>
      <c r="C2682" s="34"/>
      <c r="D2682" s="185"/>
      <c r="E2682" s="26"/>
      <c r="F2682" s="36" t="s">
        <v>31</v>
      </c>
      <c r="G2682" s="23">
        <f>SUM(G2679:G2681)</f>
        <v>40832.917252034356</v>
      </c>
    </row>
    <row r="2683" spans="1:8" ht="14.25" thickBot="1">
      <c r="A2683" s="211" t="s">
        <v>521</v>
      </c>
      <c r="B2683" s="216" t="str">
        <f ca="1">_xlfn.CONCAT(B2644,A2683)</f>
        <v>663ACA1-al</v>
      </c>
      <c r="C2683" s="37"/>
      <c r="E2683" s="38"/>
      <c r="F2683" s="22"/>
      <c r="G2683" s="39"/>
    </row>
    <row r="2684" spans="1:8" ht="23.25" customHeight="1" thickBot="1">
      <c r="A2684" s="211" t="s">
        <v>522</v>
      </c>
      <c r="B2684" s="216" t="str">
        <f ca="1">_xlfn.CONCAT(B2644,A2684)</f>
        <v>663ACA1-am</v>
      </c>
      <c r="C2684" s="40"/>
      <c r="D2684" s="193"/>
      <c r="E2684" s="41"/>
      <c r="F2684" s="42"/>
      <c r="G2684" s="43">
        <f>+G2667+G2676+G2682</f>
        <v>182744.34225203434</v>
      </c>
    </row>
    <row r="2685" spans="1:8" ht="21.75" thickBot="1">
      <c r="B2685" s="212" t="s">
        <v>550</v>
      </c>
      <c r="C2685" s="2"/>
      <c r="D2685" s="183"/>
      <c r="F2685" s="4"/>
      <c r="G2685" s="5"/>
    </row>
    <row r="2686" spans="1:8" s="45" customFormat="1" ht="34.5" customHeight="1">
      <c r="A2686" s="213"/>
      <c r="B2686" s="214">
        <v>62</v>
      </c>
      <c r="C2686" s="242" t="str">
        <f ca="1">_xlfn.XLOOKUP(B2686,Cantidades!$A$10:$A$314,Cantidades!$C$10:$C$314,,0,1)</f>
        <v>Suministro e instalación de varilla de puesta a tierra 5/8"x8' de cobre. Incluye soldadura cadweld 90 gr, molde y demás accesorios para su correcta instalación,  fincionamiento y señalización.</v>
      </c>
      <c r="D2686" s="243"/>
      <c r="E2686" s="243"/>
      <c r="F2686" s="243"/>
      <c r="G2686" s="244"/>
      <c r="H2686" s="213"/>
    </row>
    <row r="2687" spans="1:8" s="47" customFormat="1" ht="24.95" customHeight="1" thickBot="1">
      <c r="A2687" s="215"/>
      <c r="B2687" s="216" t="s">
        <v>550</v>
      </c>
      <c r="C2687" s="177"/>
      <c r="D2687" s="189"/>
      <c r="E2687" s="178"/>
      <c r="F2687" s="179" t="s">
        <v>636</v>
      </c>
      <c r="G2687" s="209" t="str">
        <f ca="1">B2688</f>
        <v>2895E0B2-</v>
      </c>
      <c r="H2687" s="215"/>
    </row>
    <row r="2688" spans="1:8" ht="28.5" customHeight="1" thickBot="1">
      <c r="B2688" s="212" t="str">
        <f ca="1">_xlfn.XLOOKUP(C2686,Cantidades!$C$1:$C$314,Cantidades!$B$1:$B$314,"",0,1)</f>
        <v>2895E0B2-</v>
      </c>
      <c r="C2688" s="10" t="s">
        <v>0</v>
      </c>
      <c r="D2688" s="190"/>
      <c r="E2688" s="11"/>
      <c r="F2688" s="12"/>
      <c r="G2688" s="13"/>
    </row>
    <row r="2689" spans="1:8" s="47" customFormat="1" ht="23.25" customHeight="1" thickBot="1">
      <c r="A2689" s="215"/>
      <c r="B2689" s="216" t="s">
        <v>550</v>
      </c>
      <c r="C2689" s="14" t="s">
        <v>1</v>
      </c>
      <c r="D2689" s="15" t="s">
        <v>2</v>
      </c>
      <c r="E2689" s="15" t="s">
        <v>3</v>
      </c>
      <c r="F2689" s="16" t="s">
        <v>4</v>
      </c>
      <c r="G2689" s="15" t="s">
        <v>5</v>
      </c>
      <c r="H2689" s="215"/>
    </row>
    <row r="2690" spans="1:8" ht="15">
      <c r="A2690" s="211" t="s">
        <v>484</v>
      </c>
      <c r="B2690" s="216" t="str">
        <f ca="1">_xlfn.CONCAT(B2688,A2690)</f>
        <v>2895E0B2-A</v>
      </c>
      <c r="C2690" s="17" t="str">
        <f>_xlfn.XLOOKUP(H2690,'Materiales unitario'!$A$1:$A$2500,'Materiales unitario'!B$1:B$2500,,0,1)</f>
        <v>Varilla de cobre ø5/8" X 2.40 mts - tierras</v>
      </c>
      <c r="D2690" s="184" t="str">
        <f>_xlfn.XLOOKUP(H2690,'Materiales unitario'!A$1:A$2500,'Materiales unitario'!C$1:C$2500,,0,1)</f>
        <v>un</v>
      </c>
      <c r="E2690" s="197">
        <f>_xlfn.XLOOKUP(H2690,'Materiales unitario'!$A$1:$A$2500,'Materiales unitario'!D$1:D$2500,,0,1)</f>
        <v>308445</v>
      </c>
      <c r="F2690" s="19">
        <v>1</v>
      </c>
      <c r="G2690" s="20">
        <f>+E2690*F2690</f>
        <v>308445</v>
      </c>
      <c r="H2690" s="217" t="s">
        <v>394</v>
      </c>
    </row>
    <row r="2691" spans="1:8" ht="15">
      <c r="A2691" s="211" t="s">
        <v>485</v>
      </c>
      <c r="B2691" s="216" t="str">
        <f ca="1">_xlfn.CONCAT(B2688,A2691)</f>
        <v>2895E0B2-B</v>
      </c>
      <c r="C2691" s="17" t="str">
        <f>_xlfn.XLOOKUP(H2691,'Materiales unitario'!$A$1:$A$2500,'Materiales unitario'!B$1:B$2500,,0,1)</f>
        <v>Soldadura Cadweld 115 gr.</v>
      </c>
      <c r="D2691" s="184" t="str">
        <f>_xlfn.XLOOKUP(H2691,'Materiales unitario'!A$1:A$2500,'Materiales unitario'!C$1:C$2500,,0,1)</f>
        <v>un</v>
      </c>
      <c r="E2691" s="197">
        <f>_xlfn.XLOOKUP(H2691,'Materiales unitario'!$A$1:$A$2500,'Materiales unitario'!D$1:D$2500,,0,1)</f>
        <v>20845</v>
      </c>
      <c r="F2691" s="19">
        <v>1</v>
      </c>
      <c r="G2691" s="20">
        <f>+E2691*F2691</f>
        <v>20845</v>
      </c>
      <c r="H2691" s="217" t="s">
        <v>353</v>
      </c>
    </row>
    <row r="2692" spans="1:8" ht="15">
      <c r="A2692" s="211" t="s">
        <v>486</v>
      </c>
      <c r="B2692" s="216" t="str">
        <f ca="1">_xlfn.CONCAT(B2688,A2692)</f>
        <v>2895E0B2-C</v>
      </c>
      <c r="C2692" s="17" t="str">
        <f>_xlfn.XLOOKUP(H2692,'Materiales unitario'!$A$1:$A$2500,'Materiales unitario'!B$1:B$2500,,0,1)</f>
        <v>Molde estandar en grafito + pinza  para soldadura</v>
      </c>
      <c r="D2692" s="184" t="str">
        <f>_xlfn.XLOOKUP(H2692,'Materiales unitario'!A$1:A$2500,'Materiales unitario'!C$1:C$2500,,0,1)</f>
        <v>jg</v>
      </c>
      <c r="E2692" s="197">
        <f>_xlfn.XLOOKUP(H2692,'Materiales unitario'!$A$1:$A$2500,'Materiales unitario'!D$1:D$2500,,0,1)</f>
        <v>256333</v>
      </c>
      <c r="F2692" s="19">
        <v>0.03</v>
      </c>
      <c r="G2692" s="20">
        <f>+E2692*F2692</f>
        <v>7689.99</v>
      </c>
      <c r="H2692" s="217" t="s">
        <v>340</v>
      </c>
    </row>
    <row r="2693" spans="1:8" ht="15">
      <c r="A2693" s="211" t="s">
        <v>487</v>
      </c>
      <c r="B2693" s="216" t="str">
        <f ca="1">_xlfn.CONCAT(B2688,A2693)</f>
        <v>2895E0B2-D</v>
      </c>
      <c r="C2693" s="17" t="str">
        <f>_xlfn.XLOOKUP(H2693,'Materiales unitario'!$A$1:$A$2500,'Materiales unitario'!B$1:B$2500,,0,1)</f>
        <v>Accesorios de limpieza (Cepillo de alambre - Chispero)</v>
      </c>
      <c r="D2693" s="184" t="str">
        <f>_xlfn.XLOOKUP(H2693,'Materiales unitario'!A$1:A$2500,'Materiales unitario'!C$1:C$2500,,0,1)</f>
        <v>un</v>
      </c>
      <c r="E2693" s="197">
        <f>_xlfn.XLOOKUP(H2693,'Materiales unitario'!$A$1:$A$2500,'Materiales unitario'!D$1:D$2500,,0,1)</f>
        <v>12000</v>
      </c>
      <c r="F2693" s="19">
        <v>0.3</v>
      </c>
      <c r="G2693" s="20">
        <f>+E2693*F2693</f>
        <v>3600</v>
      </c>
      <c r="H2693" s="217" t="s">
        <v>223</v>
      </c>
    </row>
    <row r="2694" spans="1:8">
      <c r="A2694" s="211" t="s">
        <v>488</v>
      </c>
      <c r="B2694" s="216" t="str">
        <f ca="1">_xlfn.CONCAT(B2688,A2694)</f>
        <v>2895E0B2-E</v>
      </c>
      <c r="C2694" s="17"/>
      <c r="D2694" s="184"/>
      <c r="E2694" s="197"/>
      <c r="F2694" s="19"/>
      <c r="G2694" s="20"/>
    </row>
    <row r="2695" spans="1:8">
      <c r="A2695" s="211" t="s">
        <v>489</v>
      </c>
      <c r="B2695" s="216" t="str">
        <f ca="1">_xlfn.CONCAT(B2688,A2695)</f>
        <v>2895E0B2-F</v>
      </c>
      <c r="C2695" s="17"/>
      <c r="D2695" s="184"/>
      <c r="E2695" s="197"/>
      <c r="F2695" s="19"/>
      <c r="G2695" s="20"/>
    </row>
    <row r="2696" spans="1:8">
      <c r="A2696" s="211" t="s">
        <v>490</v>
      </c>
      <c r="B2696" s="216" t="str">
        <f ca="1">_xlfn.CONCAT(B2688,A2696)</f>
        <v>2895E0B2-G</v>
      </c>
      <c r="C2696" s="17"/>
      <c r="D2696" s="184"/>
      <c r="E2696" s="197"/>
      <c r="F2696" s="19"/>
      <c r="G2696" s="20"/>
    </row>
    <row r="2697" spans="1:8">
      <c r="A2697" s="211" t="s">
        <v>491</v>
      </c>
      <c r="B2697" s="216" t="str">
        <f ca="1">_xlfn.CONCAT(B2688,A2697)</f>
        <v>2895E0B2-H</v>
      </c>
      <c r="C2697" s="17"/>
      <c r="D2697" s="184"/>
      <c r="E2697" s="197"/>
      <c r="F2697" s="19"/>
      <c r="G2697" s="20"/>
    </row>
    <row r="2698" spans="1:8">
      <c r="A2698" s="211" t="s">
        <v>492</v>
      </c>
      <c r="B2698" s="216" t="str">
        <f ca="1">_xlfn.CONCAT(B2688,A2698)</f>
        <v>2895E0B2-I</v>
      </c>
      <c r="C2698" s="17"/>
      <c r="D2698" s="184"/>
      <c r="E2698" s="197"/>
      <c r="F2698" s="19"/>
      <c r="G2698" s="20"/>
    </row>
    <row r="2699" spans="1:8">
      <c r="A2699" s="211" t="s">
        <v>493</v>
      </c>
      <c r="B2699" s="216" t="str">
        <f ca="1">_xlfn.CONCAT(B2688,A2699)</f>
        <v>2895E0B2-J</v>
      </c>
      <c r="C2699" s="17"/>
      <c r="D2699" s="184"/>
      <c r="E2699" s="197"/>
      <c r="F2699" s="19"/>
      <c r="G2699" s="20"/>
    </row>
    <row r="2700" spans="1:8">
      <c r="A2700" s="211" t="s">
        <v>494</v>
      </c>
      <c r="B2700" s="216" t="str">
        <f ca="1">_xlfn.CONCAT(B2688,A2700)</f>
        <v>2895E0B2-K</v>
      </c>
      <c r="C2700" s="17"/>
      <c r="D2700" s="184"/>
      <c r="E2700" s="197"/>
      <c r="F2700" s="19"/>
      <c r="G2700" s="20"/>
    </row>
    <row r="2701" spans="1:8">
      <c r="A2701" s="211" t="s">
        <v>495</v>
      </c>
      <c r="B2701" s="216" t="str">
        <f ca="1">_xlfn.CONCAT(B2688,A2701)</f>
        <v>2895E0B2-L</v>
      </c>
      <c r="C2701" s="17"/>
      <c r="D2701" s="184"/>
      <c r="E2701" s="197"/>
      <c r="F2701" s="19"/>
      <c r="G2701" s="20"/>
    </row>
    <row r="2702" spans="1:8">
      <c r="A2702" s="211" t="s">
        <v>496</v>
      </c>
      <c r="B2702" s="216" t="str">
        <f ca="1">_xlfn.CONCAT(B2688,A2702)</f>
        <v>2895E0B2-M</v>
      </c>
      <c r="C2702" s="17"/>
      <c r="D2702" s="184"/>
      <c r="E2702" s="197"/>
      <c r="F2702" s="19"/>
      <c r="G2702" s="20"/>
    </row>
    <row r="2703" spans="1:8">
      <c r="A2703" s="211" t="s">
        <v>497</v>
      </c>
      <c r="B2703" s="216" t="str">
        <f ca="1">_xlfn.CONCAT(B2688,A2703)</f>
        <v>2895E0B2-N</v>
      </c>
      <c r="C2703" s="17"/>
      <c r="D2703" s="184"/>
      <c r="E2703" s="197"/>
      <c r="F2703" s="19"/>
      <c r="G2703" s="20"/>
    </row>
    <row r="2704" spans="1:8">
      <c r="A2704" s="211" t="s">
        <v>498</v>
      </c>
      <c r="B2704" s="216" t="str">
        <f ca="1">_xlfn.CONCAT(B2688,A2704)</f>
        <v>2895E0B2-O</v>
      </c>
      <c r="C2704" s="17"/>
      <c r="D2704" s="184"/>
      <c r="E2704" s="197"/>
      <c r="F2704" s="19"/>
      <c r="G2704" s="20"/>
    </row>
    <row r="2705" spans="1:8">
      <c r="A2705" s="211" t="s">
        <v>499</v>
      </c>
      <c r="B2705" s="216" t="str">
        <f ca="1">_xlfn.CONCAT(B2688,A2705)</f>
        <v>2895E0B2-P</v>
      </c>
      <c r="C2705" s="17"/>
      <c r="D2705" s="184"/>
      <c r="E2705" s="197"/>
      <c r="F2705" s="19"/>
      <c r="G2705" s="20"/>
    </row>
    <row r="2706" spans="1:8">
      <c r="A2706" s="211" t="s">
        <v>500</v>
      </c>
      <c r="B2706" s="216" t="str">
        <f ca="1">_xlfn.CONCAT(B2688,A2706)</f>
        <v>2895E0B2-Q</v>
      </c>
      <c r="C2706" s="17"/>
      <c r="D2706" s="184"/>
      <c r="E2706" s="197"/>
      <c r="F2706" s="19"/>
      <c r="G2706" s="20"/>
    </row>
    <row r="2707" spans="1:8">
      <c r="A2707" s="211" t="s">
        <v>501</v>
      </c>
      <c r="B2707" s="216" t="str">
        <f ca="1">_xlfn.CONCAT(B2688,A2707)</f>
        <v>2895E0B2-R</v>
      </c>
      <c r="C2707" s="17"/>
      <c r="D2707" s="184"/>
      <c r="E2707" s="197"/>
      <c r="F2707" s="19"/>
      <c r="G2707" s="20"/>
    </row>
    <row r="2708" spans="1:8">
      <c r="A2708" s="211" t="s">
        <v>502</v>
      </c>
      <c r="B2708" s="216" t="str">
        <f ca="1">_xlfn.CONCAT(B2688,A2708)</f>
        <v>2895E0B2-S</v>
      </c>
      <c r="C2708" s="17"/>
      <c r="D2708" s="184"/>
      <c r="E2708" s="197"/>
      <c r="F2708" s="19"/>
      <c r="G2708" s="20"/>
    </row>
    <row r="2709" spans="1:8">
      <c r="A2709" s="211" t="s">
        <v>503</v>
      </c>
      <c r="B2709" s="216" t="str">
        <f ca="1">_xlfn.CONCAT(B2688,A2709)</f>
        <v>2895E0B2-T</v>
      </c>
      <c r="C2709" s="17"/>
      <c r="D2709" s="184"/>
      <c r="E2709" s="197"/>
      <c r="F2709" s="19"/>
      <c r="G2709" s="20"/>
    </row>
    <row r="2710" spans="1:8" ht="14.25" thickBot="1">
      <c r="A2710" s="211" t="s">
        <v>504</v>
      </c>
      <c r="B2710" s="216" t="str">
        <f ca="1">_xlfn.CONCAT(B2688,A2710)</f>
        <v>2895E0B2-U</v>
      </c>
      <c r="C2710" s="17"/>
      <c r="D2710" s="184"/>
      <c r="E2710" s="197"/>
      <c r="F2710" s="19"/>
      <c r="G2710" s="20"/>
    </row>
    <row r="2711" spans="1:8" ht="16.5" customHeight="1" thickBot="1">
      <c r="A2711" s="211" t="s">
        <v>505</v>
      </c>
      <c r="B2711" s="216" t="str">
        <f ca="1">_xlfn.CONCAT(B2688,A2711)</f>
        <v>2895E0B2-V</v>
      </c>
      <c r="C2711" s="17" t="s">
        <v>17</v>
      </c>
      <c r="D2711" s="192" t="s">
        <v>17</v>
      </c>
      <c r="E2711" s="18"/>
      <c r="F2711" s="22" t="s">
        <v>18</v>
      </c>
      <c r="G2711" s="23">
        <f>SUM(G2690:G2710)</f>
        <v>340579.99</v>
      </c>
    </row>
    <row r="2712" spans="1:8" ht="28.5" customHeight="1" thickBot="1">
      <c r="A2712" s="211" t="s">
        <v>506</v>
      </c>
      <c r="B2712" s="216" t="str">
        <f ca="1">_xlfn.CONCAT(B2688,A2712)</f>
        <v>2895E0B2-W</v>
      </c>
      <c r="C2712" s="10" t="s">
        <v>19</v>
      </c>
      <c r="D2712" s="190"/>
      <c r="E2712" s="11"/>
      <c r="F2712" s="12"/>
      <c r="G2712" s="13"/>
    </row>
    <row r="2713" spans="1:8" s="47" customFormat="1" ht="23.25" customHeight="1" thickBot="1">
      <c r="A2713" s="211" t="s">
        <v>507</v>
      </c>
      <c r="B2713" s="216" t="str">
        <f ca="1">_xlfn.CONCAT(B2688,A2713)</f>
        <v>2895E0B2-X</v>
      </c>
      <c r="C2713" s="14" t="s">
        <v>1</v>
      </c>
      <c r="D2713" s="15"/>
      <c r="E2713" s="15" t="s">
        <v>20</v>
      </c>
      <c r="F2713" s="16" t="s">
        <v>21</v>
      </c>
      <c r="G2713" s="15" t="s">
        <v>5</v>
      </c>
      <c r="H2713" s="215"/>
    </row>
    <row r="2714" spans="1:8">
      <c r="A2714" s="211" t="s">
        <v>508</v>
      </c>
      <c r="B2714" s="216" t="str">
        <f ca="1">_xlfn.CONCAT(B2688,A2714)</f>
        <v>2895E0B2-Y</v>
      </c>
      <c r="C2714" s="24" t="s">
        <v>22</v>
      </c>
      <c r="D2714" s="184"/>
      <c r="E2714" s="25">
        <f>_xlfn.XLOOKUP(C2714,'H-MO'!B$7:B$30,'H-MO'!D$7:D$30,,0,1)</f>
        <v>2436.5624999999995</v>
      </c>
      <c r="F2714" s="19">
        <v>0.5</v>
      </c>
      <c r="G2714" s="33">
        <f t="shared" ref="G2714:G2719" si="78">+E2714*F2714</f>
        <v>1218.2812499999998</v>
      </c>
    </row>
    <row r="2715" spans="1:8">
      <c r="A2715" s="211" t="s">
        <v>509</v>
      </c>
      <c r="B2715" s="216" t="str">
        <f ca="1">_xlfn.CONCAT(B2688,A2715)</f>
        <v>2895E0B2-Z</v>
      </c>
      <c r="C2715" s="24" t="s">
        <v>23</v>
      </c>
      <c r="D2715" s="184"/>
      <c r="E2715" s="25">
        <f>_xlfn.XLOOKUP(C2715,'H-MO'!B$7:B$30,'H-MO'!D$7:D$30,,0,1)</f>
        <v>1461.9374999999998</v>
      </c>
      <c r="F2715" s="19">
        <v>0.5</v>
      </c>
      <c r="G2715" s="33">
        <f t="shared" si="78"/>
        <v>730.96874999999989</v>
      </c>
    </row>
    <row r="2716" spans="1:8">
      <c r="A2716" s="211" t="s">
        <v>510</v>
      </c>
      <c r="B2716" s="216" t="str">
        <f ca="1">_xlfn.CONCAT(B2688,A2716)</f>
        <v>2895E0B2-aa</v>
      </c>
      <c r="C2716" s="24" t="s">
        <v>24</v>
      </c>
      <c r="D2716" s="185"/>
      <c r="E2716" s="25">
        <f>_xlfn.XLOOKUP(C2716,'H-MO'!B$7:B$30,'H-MO'!D$7:D$30,,0,1)</f>
        <v>29238.749999999996</v>
      </c>
      <c r="F2716" s="28">
        <v>0.05</v>
      </c>
      <c r="G2716" s="33">
        <f t="shared" si="78"/>
        <v>1461.9375</v>
      </c>
    </row>
    <row r="2717" spans="1:8">
      <c r="A2717" s="211" t="s">
        <v>511</v>
      </c>
      <c r="B2717" s="216" t="str">
        <f ca="1">_xlfn.CONCAT(B2688,A2717)</f>
        <v>2895E0B2-ab</v>
      </c>
      <c r="C2717" s="24" t="s">
        <v>25</v>
      </c>
      <c r="D2717" s="185"/>
      <c r="E2717" s="25">
        <f>_xlfn.XLOOKUP(C2717,'H-MO'!B$7:B$30,'H-MO'!D$7:D$30,,0,1)</f>
        <v>2761.4374999999995</v>
      </c>
      <c r="F2717" s="28">
        <v>0.1</v>
      </c>
      <c r="G2717" s="33">
        <f t="shared" si="78"/>
        <v>276.14374999999995</v>
      </c>
    </row>
    <row r="2718" spans="1:8">
      <c r="A2718" s="211" t="s">
        <v>512</v>
      </c>
      <c r="B2718" s="216" t="str">
        <f ca="1">_xlfn.CONCAT(B2688,A2718)</f>
        <v>2895E0B2-ac</v>
      </c>
      <c r="C2718" s="24"/>
      <c r="D2718" s="185"/>
      <c r="E2718" s="29"/>
      <c r="F2718" s="28"/>
      <c r="G2718" s="33">
        <f t="shared" si="78"/>
        <v>0</v>
      </c>
    </row>
    <row r="2719" spans="1:8" ht="14.25" thickBot="1">
      <c r="A2719" s="211" t="s">
        <v>513</v>
      </c>
      <c r="B2719" s="216" t="str">
        <f ca="1">_xlfn.CONCAT(B2688,A2719)</f>
        <v>2895E0B2-ad</v>
      </c>
      <c r="C2719" s="24"/>
      <c r="D2719" s="185"/>
      <c r="E2719" s="29"/>
      <c r="F2719" s="28"/>
      <c r="G2719" s="33">
        <f t="shared" si="78"/>
        <v>0</v>
      </c>
    </row>
    <row r="2720" spans="1:8" ht="16.5" customHeight="1" thickBot="1">
      <c r="A2720" s="211" t="s">
        <v>514</v>
      </c>
      <c r="B2720" s="216" t="str">
        <f ca="1">_xlfn.CONCAT(B2688,A2720)</f>
        <v>2895E0B2-ae</v>
      </c>
      <c r="C2720" s="17"/>
      <c r="D2720" s="192"/>
      <c r="E2720" s="18"/>
      <c r="F2720" s="22" t="s">
        <v>26</v>
      </c>
      <c r="G2720" s="23">
        <f>SUM(G2714:G2719)</f>
        <v>3687.3312499999993</v>
      </c>
    </row>
    <row r="2721" spans="1:8" ht="28.5" customHeight="1" thickBot="1">
      <c r="A2721" s="211" t="s">
        <v>515</v>
      </c>
      <c r="B2721" s="216" t="str">
        <f ca="1">_xlfn.CONCAT(B2688,A2721)</f>
        <v>2895E0B2-af</v>
      </c>
      <c r="C2721" s="10" t="s">
        <v>27</v>
      </c>
      <c r="D2721" s="190"/>
      <c r="E2721" s="11"/>
      <c r="F2721" s="12"/>
      <c r="G2721" s="13"/>
    </row>
    <row r="2722" spans="1:8" s="47" customFormat="1" ht="23.25" customHeight="1" thickBot="1">
      <c r="A2722" s="211" t="s">
        <v>516</v>
      </c>
      <c r="B2722" s="216" t="str">
        <f ca="1">_xlfn.CONCAT(B2688,A2722)</f>
        <v>2895E0B2-ag</v>
      </c>
      <c r="C2722" s="14" t="s">
        <v>1</v>
      </c>
      <c r="D2722" s="15" t="s">
        <v>28</v>
      </c>
      <c r="E2722" s="15" t="s">
        <v>20</v>
      </c>
      <c r="F2722" s="16" t="s">
        <v>21</v>
      </c>
      <c r="G2722" s="15" t="s">
        <v>5</v>
      </c>
      <c r="H2722" s="215"/>
    </row>
    <row r="2723" spans="1:8">
      <c r="A2723" s="211" t="s">
        <v>517</v>
      </c>
      <c r="B2723" s="216" t="str">
        <f ca="1">_xlfn.CONCAT(B2688,A2723)</f>
        <v>2895E0B2-ah</v>
      </c>
      <c r="C2723" s="30" t="s">
        <v>29</v>
      </c>
      <c r="D2723" s="186">
        <f>'H-MO'!$N$77</f>
        <v>725918.52892505517</v>
      </c>
      <c r="E2723" s="31">
        <f>+D2723/8</f>
        <v>90739.816115631897</v>
      </c>
      <c r="F2723" s="32">
        <v>0.4</v>
      </c>
      <c r="G2723" s="33">
        <f>+E2723*F2723</f>
        <v>36295.926446252757</v>
      </c>
    </row>
    <row r="2724" spans="1:8">
      <c r="A2724" s="211" t="s">
        <v>518</v>
      </c>
      <c r="B2724" s="216" t="str">
        <f ca="1">_xlfn.CONCAT(B2688,A2724)</f>
        <v>2895E0B2-ai</v>
      </c>
      <c r="C2724" s="34" t="s">
        <v>30</v>
      </c>
      <c r="D2724" s="187">
        <f>'H-MO'!$N$86</f>
        <v>685561.39085756091</v>
      </c>
      <c r="E2724" s="29">
        <f>+D2724/8</f>
        <v>85695.173857195114</v>
      </c>
      <c r="F2724" s="28">
        <v>0</v>
      </c>
      <c r="G2724" s="33">
        <f>+E2724*F2724</f>
        <v>0</v>
      </c>
    </row>
    <row r="2725" spans="1:8" ht="14.25" thickBot="1">
      <c r="A2725" s="211" t="s">
        <v>519</v>
      </c>
      <c r="B2725" s="216" t="str">
        <f ca="1">_xlfn.CONCAT(B2688,A2725)</f>
        <v>2895E0B2-aj</v>
      </c>
      <c r="C2725" s="34"/>
      <c r="D2725" s="187"/>
      <c r="E2725" s="29"/>
      <c r="F2725" s="28"/>
      <c r="G2725" s="33">
        <f>+E2725*F2725</f>
        <v>0</v>
      </c>
    </row>
    <row r="2726" spans="1:8" ht="17.25" customHeight="1" thickBot="1">
      <c r="A2726" s="211" t="s">
        <v>520</v>
      </c>
      <c r="B2726" s="216" t="str">
        <f ca="1">_xlfn.CONCAT(B2688,A2726)</f>
        <v>2895E0B2-ak</v>
      </c>
      <c r="C2726" s="34"/>
      <c r="D2726" s="185"/>
      <c r="E2726" s="26"/>
      <c r="F2726" s="36" t="s">
        <v>31</v>
      </c>
      <c r="G2726" s="23">
        <f>SUM(G2723:G2725)</f>
        <v>36295.926446252757</v>
      </c>
    </row>
    <row r="2727" spans="1:8" ht="14.25" thickBot="1">
      <c r="A2727" s="211" t="s">
        <v>521</v>
      </c>
      <c r="B2727" s="216" t="str">
        <f ca="1">_xlfn.CONCAT(B2688,A2727)</f>
        <v>2895E0B2-al</v>
      </c>
      <c r="C2727" s="37"/>
      <c r="E2727" s="38"/>
      <c r="F2727" s="22"/>
      <c r="G2727" s="39"/>
    </row>
    <row r="2728" spans="1:8" ht="23.25" customHeight="1" thickBot="1">
      <c r="A2728" s="211" t="s">
        <v>522</v>
      </c>
      <c r="B2728" s="216" t="str">
        <f ca="1">_xlfn.CONCAT(B2688,A2728)</f>
        <v>2895E0B2-am</v>
      </c>
      <c r="C2728" s="40"/>
      <c r="D2728" s="193"/>
      <c r="E2728" s="41"/>
      <c r="F2728" s="42"/>
      <c r="G2728" s="43">
        <f>+G2711+G2720+G2726</f>
        <v>380563.24769625271</v>
      </c>
    </row>
    <row r="2729" spans="1:8" ht="21.75" thickBot="1">
      <c r="B2729" s="212" t="s">
        <v>550</v>
      </c>
      <c r="C2729" s="2"/>
      <c r="D2729" s="183"/>
      <c r="F2729" s="4"/>
      <c r="G2729" s="5"/>
    </row>
    <row r="2730" spans="1:8" s="45" customFormat="1" ht="34.5" customHeight="1">
      <c r="A2730" s="213"/>
      <c r="B2730" s="214">
        <v>63</v>
      </c>
      <c r="C2730" s="242" t="str">
        <f ca="1">_xlfn.XLOOKUP(B2730,Cantidades!$A$10:$A$314,Cantidades!$C$10:$C$314,,0,1)</f>
        <v>Suministro e instalación de rack. Incluye gabinete y demás accesorios para su correcta instalación,  fincionamiento y señalización.</v>
      </c>
      <c r="D2730" s="243"/>
      <c r="E2730" s="243"/>
      <c r="F2730" s="243"/>
      <c r="G2730" s="244"/>
      <c r="H2730" s="213"/>
    </row>
    <row r="2731" spans="1:8" s="47" customFormat="1" ht="24.95" customHeight="1" thickBot="1">
      <c r="A2731" s="215"/>
      <c r="B2731" s="216" t="s">
        <v>550</v>
      </c>
      <c r="C2731" s="177"/>
      <c r="D2731" s="189"/>
      <c r="E2731" s="178"/>
      <c r="F2731" s="179" t="s">
        <v>636</v>
      </c>
      <c r="G2731" s="209" t="str">
        <f ca="1">B2732</f>
        <v>2218AB07-</v>
      </c>
      <c r="H2731" s="215"/>
    </row>
    <row r="2732" spans="1:8" ht="28.5" customHeight="1" thickBot="1">
      <c r="B2732" s="212" t="str">
        <f ca="1">_xlfn.XLOOKUP(C2730,Cantidades!$C$1:$C$314,Cantidades!$B$1:$B$314,"",0,1)</f>
        <v>2218AB07-</v>
      </c>
      <c r="C2732" s="10" t="s">
        <v>0</v>
      </c>
      <c r="D2732" s="190"/>
      <c r="E2732" s="11"/>
      <c r="F2732" s="12"/>
      <c r="G2732" s="13"/>
    </row>
    <row r="2733" spans="1:8" s="47" customFormat="1" ht="23.25" customHeight="1" thickBot="1">
      <c r="A2733" s="215"/>
      <c r="B2733" s="216" t="s">
        <v>550</v>
      </c>
      <c r="C2733" s="14" t="s">
        <v>1</v>
      </c>
      <c r="D2733" s="15" t="s">
        <v>2</v>
      </c>
      <c r="E2733" s="15" t="s">
        <v>3</v>
      </c>
      <c r="F2733" s="16" t="s">
        <v>4</v>
      </c>
      <c r="G2733" s="15" t="s">
        <v>5</v>
      </c>
      <c r="H2733" s="215"/>
    </row>
    <row r="2734" spans="1:8" ht="15">
      <c r="A2734" s="211" t="s">
        <v>484</v>
      </c>
      <c r="B2734" s="216" t="str">
        <f ca="1">_xlfn.CONCAT(B2732,A2734)</f>
        <v>2218AB07-A</v>
      </c>
      <c r="C2734" s="17" t="str">
        <f>_xlfn.XLOOKUP(H2734,'Materiales unitario'!$A$1:$A$2500,'Materiales unitario'!B$1:B$2500,,0,1)</f>
        <v>Gabinete rack 60x60</v>
      </c>
      <c r="D2734" s="184" t="str">
        <f>_xlfn.XLOOKUP(H2734,'Materiales unitario'!A$1:A$2500,'Materiales unitario'!C$1:C$2500,,0,1)</f>
        <v>un</v>
      </c>
      <c r="E2734" s="197">
        <f>_xlfn.XLOOKUP(H2734,'Materiales unitario'!$A$1:$A$2500,'Materiales unitario'!D$1:D$2500,,0,1)</f>
        <v>512230</v>
      </c>
      <c r="F2734" s="19">
        <v>1</v>
      </c>
      <c r="G2734" s="20">
        <f t="shared" ref="G2734:G2743" si="79">+E2734*F2734</f>
        <v>512230</v>
      </c>
      <c r="H2734" s="217" t="s">
        <v>716</v>
      </c>
    </row>
    <row r="2735" spans="1:8" ht="15">
      <c r="A2735" s="211" t="s">
        <v>485</v>
      </c>
      <c r="B2735" s="216" t="str">
        <f ca="1">_xlfn.CONCAT(B2732,A2735)</f>
        <v>2218AB07-B</v>
      </c>
      <c r="C2735" s="17" t="str">
        <f>_xlfn.XLOOKUP(H2735,'Materiales unitario'!$A$1:$A$2500,'Materiales unitario'!B$1:B$2500,,0,1)</f>
        <v>Toma doble tierra aislada 15A 125V Nema 5-15R ref. 5262-IG Color Naranja, LEVITON + Tapa.</v>
      </c>
      <c r="D2735" s="184" t="str">
        <f>_xlfn.XLOOKUP(H2735,'Materiales unitario'!A$1:A$2500,'Materiales unitario'!C$1:C$2500,,0,1)</f>
        <v>un</v>
      </c>
      <c r="E2735" s="197">
        <f>_xlfn.XLOOKUP(H2735,'Materiales unitario'!$A$1:$A$2500,'Materiales unitario'!D$1:D$2500,,0,1)</f>
        <v>18196.2</v>
      </c>
      <c r="F2735" s="19">
        <v>3</v>
      </c>
      <c r="G2735" s="20">
        <f t="shared" si="79"/>
        <v>54588.600000000006</v>
      </c>
      <c r="H2735" s="217" t="s">
        <v>376</v>
      </c>
    </row>
    <row r="2736" spans="1:8" ht="15">
      <c r="A2736" s="211" t="s">
        <v>486</v>
      </c>
      <c r="B2736" s="216" t="str">
        <f ca="1">_xlfn.CONCAT(B2732,A2736)</f>
        <v>2218AB07-C</v>
      </c>
      <c r="C2736" s="17" t="str">
        <f>_xlfn.XLOOKUP(H2736,'Materiales unitario'!$A$1:$A$2500,'Materiales unitario'!B$1:B$2500,,0,1)</f>
        <v>Tapa naranja leviton</v>
      </c>
      <c r="D2736" s="184" t="str">
        <f>_xlfn.XLOOKUP(H2736,'Materiales unitario'!A$1:A$2500,'Materiales unitario'!C$1:C$2500,,0,1)</f>
        <v>un</v>
      </c>
      <c r="E2736" s="197">
        <f>_xlfn.XLOOKUP(H2736,'Materiales unitario'!$A$1:$A$2500,'Materiales unitario'!D$1:D$2500,,0,1)</f>
        <v>6120</v>
      </c>
      <c r="F2736" s="19">
        <v>3</v>
      </c>
      <c r="G2736" s="20">
        <f t="shared" si="79"/>
        <v>18360</v>
      </c>
      <c r="H2736" s="217" t="s">
        <v>719</v>
      </c>
    </row>
    <row r="2737" spans="1:8" ht="15">
      <c r="A2737" s="211" t="s">
        <v>487</v>
      </c>
      <c r="B2737" s="216" t="str">
        <f ca="1">_xlfn.CONCAT(B2732,A2737)</f>
        <v>2218AB07-D</v>
      </c>
      <c r="C2737" s="17" t="str">
        <f>_xlfn.XLOOKUP(H2737,'Materiales unitario'!$A$1:$A$2500,'Materiales unitario'!B$1:B$2500,,0,1)</f>
        <v>Toma leviton blanca</v>
      </c>
      <c r="D2737" s="184" t="str">
        <f>_xlfn.XLOOKUP(H2737,'Materiales unitario'!A$1:A$2500,'Materiales unitario'!C$1:C$2500,,0,1)</f>
        <v>un</v>
      </c>
      <c r="E2737" s="197">
        <f>_xlfn.XLOOKUP(H2737,'Materiales unitario'!$A$1:$A$2500,'Materiales unitario'!D$1:D$2500,,0,1)</f>
        <v>5160</v>
      </c>
      <c r="F2737" s="19">
        <v>3</v>
      </c>
      <c r="G2737" s="20">
        <f t="shared" si="79"/>
        <v>15480</v>
      </c>
      <c r="H2737" s="217" t="s">
        <v>721</v>
      </c>
    </row>
    <row r="2738" spans="1:8" ht="15">
      <c r="A2738" s="211" t="s">
        <v>488</v>
      </c>
      <c r="B2738" s="216" t="str">
        <f ca="1">_xlfn.CONCAT(B2732,A2738)</f>
        <v>2218AB07-E</v>
      </c>
      <c r="C2738" s="17" t="str">
        <f>_xlfn.XLOOKUP(H2738,'Materiales unitario'!$A$1:$A$2500,'Materiales unitario'!B$1:B$2500,,0,1)</f>
        <v>Tapa blanca leviton</v>
      </c>
      <c r="D2738" s="184" t="str">
        <f>_xlfn.XLOOKUP(H2738,'Materiales unitario'!A$1:A$2500,'Materiales unitario'!C$1:C$2500,,0,1)</f>
        <v>un</v>
      </c>
      <c r="E2738" s="197">
        <f>_xlfn.XLOOKUP(H2738,'Materiales unitario'!$A$1:$A$2500,'Materiales unitario'!D$1:D$2500,,0,1)</f>
        <v>1100</v>
      </c>
      <c r="F2738" s="19">
        <v>3</v>
      </c>
      <c r="G2738" s="20">
        <f t="shared" si="79"/>
        <v>3300</v>
      </c>
      <c r="H2738" s="217" t="s">
        <v>723</v>
      </c>
    </row>
    <row r="2739" spans="1:8" ht="15">
      <c r="A2739" s="211" t="s">
        <v>489</v>
      </c>
      <c r="B2739" s="216" t="str">
        <f ca="1">_xlfn.CONCAT(B2732,A2739)</f>
        <v>2218AB07-F</v>
      </c>
      <c r="C2739" s="17" t="str">
        <f>_xlfn.XLOOKUP(H2739,'Materiales unitario'!$A$1:$A$2500,'Materiales unitario'!B$1:B$2500,,0,1)</f>
        <v>Cable de cobre aislado #12 AWG-THHN/THWN Color negro</v>
      </c>
      <c r="D2739" s="184" t="str">
        <f>_xlfn.XLOOKUP(H2739,'Materiales unitario'!A$1:A$2500,'Materiales unitario'!C$1:C$2500,,0,1)</f>
        <v>ml</v>
      </c>
      <c r="E2739" s="197">
        <f>_xlfn.XLOOKUP(H2739,'Materiales unitario'!$A$1:$A$2500,'Materiales unitario'!D$1:D$2500,,0,1)</f>
        <v>3020</v>
      </c>
      <c r="F2739" s="19">
        <v>15</v>
      </c>
      <c r="G2739" s="20">
        <f t="shared" si="79"/>
        <v>45300</v>
      </c>
      <c r="H2739" s="217" t="s">
        <v>267</v>
      </c>
    </row>
    <row r="2740" spans="1:8" ht="15">
      <c r="A2740" s="211" t="s">
        <v>490</v>
      </c>
      <c r="B2740" s="216" t="str">
        <f ca="1">_xlfn.CONCAT(B2732,A2740)</f>
        <v>2218AB07-G</v>
      </c>
      <c r="C2740" s="17" t="str">
        <f>_xlfn.XLOOKUP(H2740,'Materiales unitario'!$A$1:$A$2500,'Materiales unitario'!B$1:B$2500,,0,1)</f>
        <v>Marquillas para circuito</v>
      </c>
      <c r="D2740" s="184" t="str">
        <f>_xlfn.XLOOKUP(H2740,'Materiales unitario'!A$1:A$2500,'Materiales unitario'!C$1:C$2500,,0,1)</f>
        <v>un</v>
      </c>
      <c r="E2740" s="197">
        <f>_xlfn.XLOOKUP(H2740,'Materiales unitario'!$A$1:$A$2500,'Materiales unitario'!D$1:D$2500,,0,1)</f>
        <v>1000</v>
      </c>
      <c r="F2740" s="19">
        <v>6</v>
      </c>
      <c r="G2740" s="20">
        <f t="shared" si="79"/>
        <v>6000</v>
      </c>
      <c r="H2740" s="217" t="s">
        <v>339</v>
      </c>
    </row>
    <row r="2741" spans="1:8" ht="15">
      <c r="A2741" s="211" t="s">
        <v>491</v>
      </c>
      <c r="B2741" s="216" t="str">
        <f ca="1">_xlfn.CONCAT(B2732,A2741)</f>
        <v>2218AB07-H</v>
      </c>
      <c r="C2741" s="17" t="str">
        <f>_xlfn.XLOOKUP(H2741,'Materiales unitario'!$A$1:$A$2500,'Materiales unitario'!B$1:B$2500,,0,1)</f>
        <v>Accesorios de anclaje y fijacion.</v>
      </c>
      <c r="D2741" s="184" t="str">
        <f>_xlfn.XLOOKUP(H2741,'Materiales unitario'!A$1:A$2500,'Materiales unitario'!C$1:C$2500,,0,1)</f>
        <v>un</v>
      </c>
      <c r="E2741" s="197">
        <f>_xlfn.XLOOKUP(H2741,'Materiales unitario'!$A$1:$A$2500,'Materiales unitario'!D$1:D$2500,,0,1)</f>
        <v>10000</v>
      </c>
      <c r="F2741" s="19">
        <v>1.5</v>
      </c>
      <c r="G2741" s="20">
        <f t="shared" si="79"/>
        <v>15000</v>
      </c>
      <c r="H2741" s="217" t="s">
        <v>222</v>
      </c>
    </row>
    <row r="2742" spans="1:8" ht="15">
      <c r="A2742" s="211" t="s">
        <v>492</v>
      </c>
      <c r="B2742" s="216" t="str">
        <f ca="1">_xlfn.CONCAT(B2732,A2742)</f>
        <v>2218AB07-I</v>
      </c>
      <c r="C2742" s="17" t="str">
        <f>_xlfn.XLOOKUP(H2742,'Materiales unitario'!$A$1:$A$2500,'Materiales unitario'!B$1:B$2500,,0,1)</f>
        <v>Face plate de 2 puertos CAT 6A</v>
      </c>
      <c r="D2742" s="184" t="str">
        <f>_xlfn.XLOOKUP(H2742,'Materiales unitario'!A$1:A$2500,'Materiales unitario'!C$1:C$2500,,0,1)</f>
        <v>un</v>
      </c>
      <c r="E2742" s="197">
        <f>_xlfn.XLOOKUP(H2742,'Materiales unitario'!$A$1:$A$2500,'Materiales unitario'!D$1:D$2500,,0,1)</f>
        <v>4600</v>
      </c>
      <c r="F2742" s="19">
        <v>10</v>
      </c>
      <c r="G2742" s="20">
        <f t="shared" si="79"/>
        <v>46000</v>
      </c>
      <c r="H2742" s="217" t="s">
        <v>740</v>
      </c>
    </row>
    <row r="2743" spans="1:8" ht="15">
      <c r="A2743" s="211" t="s">
        <v>493</v>
      </c>
      <c r="B2743" s="216" t="str">
        <f ca="1">_xlfn.CONCAT(B2732,A2743)</f>
        <v>2218AB07-J</v>
      </c>
      <c r="C2743" s="17" t="str">
        <f>_xlfn.XLOOKUP(H2743,'Materiales unitario'!$A$1:$A$2500,'Materiales unitario'!B$1:B$2500,,0,1)</f>
        <v>jack rj45 rojo CAT 6</v>
      </c>
      <c r="D2743" s="184" t="str">
        <f>_xlfn.XLOOKUP(H2743,'Materiales unitario'!A$1:A$2500,'Materiales unitario'!C$1:C$2500,,0,1)</f>
        <v>un</v>
      </c>
      <c r="E2743" s="197">
        <f>_xlfn.XLOOKUP(H2743,'Materiales unitario'!$A$1:$A$2500,'Materiales unitario'!D$1:D$2500,,0,1)</f>
        <v>15600</v>
      </c>
      <c r="F2743" s="19">
        <v>20</v>
      </c>
      <c r="G2743" s="20">
        <f t="shared" si="79"/>
        <v>312000</v>
      </c>
      <c r="H2743" s="217" t="s">
        <v>741</v>
      </c>
    </row>
    <row r="2744" spans="1:8">
      <c r="A2744" s="211" t="s">
        <v>494</v>
      </c>
      <c r="B2744" s="216" t="str">
        <f ca="1">_xlfn.CONCAT(B2732,A2744)</f>
        <v>2218AB07-K</v>
      </c>
      <c r="C2744" s="17"/>
      <c r="D2744" s="184"/>
      <c r="E2744" s="197"/>
      <c r="F2744" s="19"/>
      <c r="G2744" s="20"/>
    </row>
    <row r="2745" spans="1:8">
      <c r="A2745" s="211" t="s">
        <v>495</v>
      </c>
      <c r="B2745" s="216" t="str">
        <f ca="1">_xlfn.CONCAT(B2732,A2745)</f>
        <v>2218AB07-L</v>
      </c>
      <c r="C2745" s="17"/>
      <c r="D2745" s="184"/>
      <c r="E2745" s="197"/>
      <c r="F2745" s="19"/>
      <c r="G2745" s="20"/>
    </row>
    <row r="2746" spans="1:8">
      <c r="A2746" s="211" t="s">
        <v>496</v>
      </c>
      <c r="B2746" s="216" t="str">
        <f ca="1">_xlfn.CONCAT(B2732,A2746)</f>
        <v>2218AB07-M</v>
      </c>
      <c r="C2746" s="17"/>
      <c r="D2746" s="184"/>
      <c r="E2746" s="197"/>
      <c r="F2746" s="19"/>
      <c r="G2746" s="20"/>
    </row>
    <row r="2747" spans="1:8">
      <c r="A2747" s="211" t="s">
        <v>497</v>
      </c>
      <c r="B2747" s="216" t="str">
        <f ca="1">_xlfn.CONCAT(B2732,A2747)</f>
        <v>2218AB07-N</v>
      </c>
      <c r="C2747" s="17"/>
      <c r="D2747" s="184"/>
      <c r="E2747" s="197"/>
      <c r="F2747" s="19"/>
      <c r="G2747" s="20"/>
    </row>
    <row r="2748" spans="1:8">
      <c r="A2748" s="211" t="s">
        <v>498</v>
      </c>
      <c r="B2748" s="216" t="str">
        <f ca="1">_xlfn.CONCAT(B2732,A2748)</f>
        <v>2218AB07-O</v>
      </c>
      <c r="C2748" s="17"/>
      <c r="D2748" s="184"/>
      <c r="E2748" s="197"/>
      <c r="F2748" s="19"/>
      <c r="G2748" s="20"/>
    </row>
    <row r="2749" spans="1:8">
      <c r="A2749" s="211" t="s">
        <v>499</v>
      </c>
      <c r="B2749" s="216" t="str">
        <f ca="1">_xlfn.CONCAT(B2732,A2749)</f>
        <v>2218AB07-P</v>
      </c>
      <c r="C2749" s="17"/>
      <c r="D2749" s="184"/>
      <c r="E2749" s="197"/>
      <c r="F2749" s="19"/>
      <c r="G2749" s="20"/>
    </row>
    <row r="2750" spans="1:8">
      <c r="A2750" s="211" t="s">
        <v>500</v>
      </c>
      <c r="B2750" s="216" t="str">
        <f ca="1">_xlfn.CONCAT(B2732,A2750)</f>
        <v>2218AB07-Q</v>
      </c>
      <c r="C2750" s="17"/>
      <c r="D2750" s="184"/>
      <c r="E2750" s="197"/>
      <c r="F2750" s="19"/>
      <c r="G2750" s="20"/>
    </row>
    <row r="2751" spans="1:8">
      <c r="A2751" s="211" t="s">
        <v>501</v>
      </c>
      <c r="B2751" s="216" t="str">
        <f ca="1">_xlfn.CONCAT(B2732,A2751)</f>
        <v>2218AB07-R</v>
      </c>
      <c r="C2751" s="17"/>
      <c r="D2751" s="184"/>
      <c r="E2751" s="197"/>
      <c r="F2751" s="19"/>
      <c r="G2751" s="20"/>
    </row>
    <row r="2752" spans="1:8">
      <c r="A2752" s="211" t="s">
        <v>502</v>
      </c>
      <c r="B2752" s="216" t="str">
        <f ca="1">_xlfn.CONCAT(B2732,A2752)</f>
        <v>2218AB07-S</v>
      </c>
      <c r="C2752" s="17"/>
      <c r="D2752" s="184"/>
      <c r="E2752" s="197"/>
      <c r="F2752" s="19"/>
      <c r="G2752" s="20"/>
    </row>
    <row r="2753" spans="1:8">
      <c r="A2753" s="211" t="s">
        <v>503</v>
      </c>
      <c r="B2753" s="216" t="str">
        <f ca="1">_xlfn.CONCAT(B2732,A2753)</f>
        <v>2218AB07-T</v>
      </c>
      <c r="C2753" s="17"/>
      <c r="D2753" s="184"/>
      <c r="E2753" s="197"/>
      <c r="F2753" s="19"/>
      <c r="G2753" s="20"/>
    </row>
    <row r="2754" spans="1:8" ht="14.25" thickBot="1">
      <c r="A2754" s="211" t="s">
        <v>504</v>
      </c>
      <c r="B2754" s="216" t="str">
        <f ca="1">_xlfn.CONCAT(B2732,A2754)</f>
        <v>2218AB07-U</v>
      </c>
      <c r="C2754" s="17"/>
      <c r="D2754" s="184"/>
      <c r="E2754" s="197"/>
      <c r="F2754" s="19"/>
      <c r="G2754" s="20"/>
    </row>
    <row r="2755" spans="1:8" ht="16.5" customHeight="1" thickBot="1">
      <c r="A2755" s="211" t="s">
        <v>505</v>
      </c>
      <c r="B2755" s="216" t="str">
        <f ca="1">_xlfn.CONCAT(B2732,A2755)</f>
        <v>2218AB07-V</v>
      </c>
      <c r="C2755" s="17" t="s">
        <v>17</v>
      </c>
      <c r="D2755" s="192" t="s">
        <v>17</v>
      </c>
      <c r="E2755" s="18"/>
      <c r="F2755" s="22" t="s">
        <v>18</v>
      </c>
      <c r="G2755" s="23">
        <f>SUM(G2734:G2754)</f>
        <v>1028258.6</v>
      </c>
    </row>
    <row r="2756" spans="1:8" ht="28.5" customHeight="1" thickBot="1">
      <c r="A2756" s="211" t="s">
        <v>506</v>
      </c>
      <c r="B2756" s="216" t="str">
        <f ca="1">_xlfn.CONCAT(B2732,A2756)</f>
        <v>2218AB07-W</v>
      </c>
      <c r="C2756" s="10" t="s">
        <v>19</v>
      </c>
      <c r="D2756" s="190"/>
      <c r="E2756" s="11"/>
      <c r="F2756" s="12"/>
      <c r="G2756" s="13"/>
    </row>
    <row r="2757" spans="1:8" s="47" customFormat="1" ht="23.25" customHeight="1" thickBot="1">
      <c r="A2757" s="211" t="s">
        <v>507</v>
      </c>
      <c r="B2757" s="216" t="str">
        <f ca="1">_xlfn.CONCAT(B2732,A2757)</f>
        <v>2218AB07-X</v>
      </c>
      <c r="C2757" s="14" t="s">
        <v>1</v>
      </c>
      <c r="D2757" s="15"/>
      <c r="E2757" s="15" t="s">
        <v>20</v>
      </c>
      <c r="F2757" s="16" t="s">
        <v>21</v>
      </c>
      <c r="G2757" s="15" t="s">
        <v>5</v>
      </c>
      <c r="H2757" s="215"/>
    </row>
    <row r="2758" spans="1:8">
      <c r="A2758" s="211" t="s">
        <v>508</v>
      </c>
      <c r="B2758" s="216" t="str">
        <f ca="1">_xlfn.CONCAT(B2732,A2758)</f>
        <v>2218AB07-Y</v>
      </c>
      <c r="C2758" s="24" t="s">
        <v>22</v>
      </c>
      <c r="D2758" s="184"/>
      <c r="E2758" s="25">
        <f>_xlfn.XLOOKUP(C2758,'H-MO'!B$7:B$30,'H-MO'!D$7:D$30,,0,1)</f>
        <v>2436.5624999999995</v>
      </c>
      <c r="F2758" s="19">
        <v>1.7</v>
      </c>
      <c r="G2758" s="33">
        <f t="shared" ref="G2758:G2763" si="80">+E2758*F2758</f>
        <v>4142.1562499999991</v>
      </c>
    </row>
    <row r="2759" spans="1:8">
      <c r="A2759" s="211" t="s">
        <v>509</v>
      </c>
      <c r="B2759" s="216" t="str">
        <f ca="1">_xlfn.CONCAT(B2732,A2759)</f>
        <v>2218AB07-Z</v>
      </c>
      <c r="C2759" s="24" t="s">
        <v>23</v>
      </c>
      <c r="D2759" s="184"/>
      <c r="E2759" s="25">
        <f>_xlfn.XLOOKUP(C2759,'H-MO'!B$7:B$30,'H-MO'!D$7:D$30,,0,1)</f>
        <v>1461.9374999999998</v>
      </c>
      <c r="F2759" s="19">
        <v>1.7</v>
      </c>
      <c r="G2759" s="33">
        <f t="shared" si="80"/>
        <v>2485.2937499999994</v>
      </c>
    </row>
    <row r="2760" spans="1:8">
      <c r="A2760" s="211" t="s">
        <v>510</v>
      </c>
      <c r="B2760" s="216" t="str">
        <f ca="1">_xlfn.CONCAT(B2732,A2760)</f>
        <v>2218AB07-aa</v>
      </c>
      <c r="C2760" s="24" t="s">
        <v>24</v>
      </c>
      <c r="D2760" s="185"/>
      <c r="E2760" s="25">
        <f>_xlfn.XLOOKUP(C2760,'H-MO'!B$7:B$30,'H-MO'!D$7:D$30,,0,1)</f>
        <v>29238.749999999996</v>
      </c>
      <c r="F2760" s="28">
        <v>0.3</v>
      </c>
      <c r="G2760" s="33">
        <f t="shared" si="80"/>
        <v>8771.6249999999982</v>
      </c>
    </row>
    <row r="2761" spans="1:8">
      <c r="A2761" s="211" t="s">
        <v>511</v>
      </c>
      <c r="B2761" s="216" t="str">
        <f ca="1">_xlfn.CONCAT(B2732,A2761)</f>
        <v>2218AB07-ab</v>
      </c>
      <c r="C2761" s="24" t="s">
        <v>25</v>
      </c>
      <c r="D2761" s="185"/>
      <c r="E2761" s="25">
        <f>_xlfn.XLOOKUP(C2761,'H-MO'!B$7:B$30,'H-MO'!D$7:D$30,,0,1)</f>
        <v>2761.4374999999995</v>
      </c>
      <c r="F2761" s="28">
        <v>1</v>
      </c>
      <c r="G2761" s="33">
        <f t="shared" si="80"/>
        <v>2761.4374999999995</v>
      </c>
    </row>
    <row r="2762" spans="1:8">
      <c r="A2762" s="211" t="s">
        <v>512</v>
      </c>
      <c r="B2762" s="216" t="str">
        <f ca="1">_xlfn.CONCAT(B2732,A2762)</f>
        <v>2218AB07-ac</v>
      </c>
      <c r="C2762" s="24"/>
      <c r="D2762" s="185"/>
      <c r="E2762" s="29"/>
      <c r="F2762" s="28"/>
      <c r="G2762" s="33">
        <f t="shared" si="80"/>
        <v>0</v>
      </c>
    </row>
    <row r="2763" spans="1:8" ht="14.25" thickBot="1">
      <c r="A2763" s="211" t="s">
        <v>513</v>
      </c>
      <c r="B2763" s="216" t="str">
        <f ca="1">_xlfn.CONCAT(B2732,A2763)</f>
        <v>2218AB07-ad</v>
      </c>
      <c r="C2763" s="24"/>
      <c r="D2763" s="185"/>
      <c r="E2763" s="29"/>
      <c r="F2763" s="28"/>
      <c r="G2763" s="33">
        <f t="shared" si="80"/>
        <v>0</v>
      </c>
    </row>
    <row r="2764" spans="1:8" ht="16.5" customHeight="1" thickBot="1">
      <c r="A2764" s="211" t="s">
        <v>514</v>
      </c>
      <c r="B2764" s="216" t="str">
        <f ca="1">_xlfn.CONCAT(B2732,A2764)</f>
        <v>2218AB07-ae</v>
      </c>
      <c r="C2764" s="17"/>
      <c r="D2764" s="192"/>
      <c r="E2764" s="18"/>
      <c r="F2764" s="22" t="s">
        <v>26</v>
      </c>
      <c r="G2764" s="23">
        <f>SUM(G2758:G2763)</f>
        <v>18160.512499999997</v>
      </c>
    </row>
    <row r="2765" spans="1:8" ht="28.5" customHeight="1" thickBot="1">
      <c r="A2765" s="211" t="s">
        <v>515</v>
      </c>
      <c r="B2765" s="216" t="str">
        <f ca="1">_xlfn.CONCAT(B2732,A2765)</f>
        <v>2218AB07-af</v>
      </c>
      <c r="C2765" s="10" t="s">
        <v>27</v>
      </c>
      <c r="D2765" s="190"/>
      <c r="E2765" s="11"/>
      <c r="F2765" s="12"/>
      <c r="G2765" s="13"/>
    </row>
    <row r="2766" spans="1:8" s="47" customFormat="1" ht="23.25" customHeight="1" thickBot="1">
      <c r="A2766" s="211" t="s">
        <v>516</v>
      </c>
      <c r="B2766" s="216" t="str">
        <f ca="1">_xlfn.CONCAT(B2732,A2766)</f>
        <v>2218AB07-ag</v>
      </c>
      <c r="C2766" s="14" t="s">
        <v>1</v>
      </c>
      <c r="D2766" s="15" t="s">
        <v>28</v>
      </c>
      <c r="E2766" s="15" t="s">
        <v>20</v>
      </c>
      <c r="F2766" s="16" t="s">
        <v>21</v>
      </c>
      <c r="G2766" s="15" t="s">
        <v>5</v>
      </c>
      <c r="H2766" s="215"/>
    </row>
    <row r="2767" spans="1:8">
      <c r="A2767" s="211" t="s">
        <v>517</v>
      </c>
      <c r="B2767" s="216" t="str">
        <f ca="1">_xlfn.CONCAT(B2732,A2767)</f>
        <v>2218AB07-ah</v>
      </c>
      <c r="C2767" s="30" t="s">
        <v>29</v>
      </c>
      <c r="D2767" s="186">
        <f>'H-MO'!$N$77</f>
        <v>725918.52892505517</v>
      </c>
      <c r="E2767" s="31">
        <f>+D2767/8</f>
        <v>90739.816115631897</v>
      </c>
      <c r="F2767" s="32">
        <v>1.7</v>
      </c>
      <c r="G2767" s="33">
        <f>+E2767*F2767</f>
        <v>154257.68739657421</v>
      </c>
    </row>
    <row r="2768" spans="1:8">
      <c r="A2768" s="211" t="s">
        <v>518</v>
      </c>
      <c r="B2768" s="216" t="str">
        <f ca="1">_xlfn.CONCAT(B2732,A2768)</f>
        <v>2218AB07-ai</v>
      </c>
      <c r="C2768" s="34" t="s">
        <v>30</v>
      </c>
      <c r="D2768" s="187">
        <f>'H-MO'!$N$86</f>
        <v>685561.39085756091</v>
      </c>
      <c r="E2768" s="29">
        <f>+D2768/8</f>
        <v>85695.173857195114</v>
      </c>
      <c r="F2768" s="28">
        <v>0.4</v>
      </c>
      <c r="G2768" s="33">
        <f>+E2768*F2768</f>
        <v>34278.069542878045</v>
      </c>
    </row>
    <row r="2769" spans="1:8" ht="14.25" thickBot="1">
      <c r="A2769" s="211" t="s">
        <v>519</v>
      </c>
      <c r="B2769" s="216" t="str">
        <f ca="1">_xlfn.CONCAT(B2732,A2769)</f>
        <v>2218AB07-aj</v>
      </c>
      <c r="C2769" s="34"/>
      <c r="D2769" s="187"/>
      <c r="E2769" s="29"/>
      <c r="F2769" s="28"/>
      <c r="G2769" s="33">
        <f>+E2769*F2769</f>
        <v>0</v>
      </c>
    </row>
    <row r="2770" spans="1:8" ht="17.25" customHeight="1" thickBot="1">
      <c r="A2770" s="211" t="s">
        <v>520</v>
      </c>
      <c r="B2770" s="216" t="str">
        <f ca="1">_xlfn.CONCAT(B2732,A2770)</f>
        <v>2218AB07-ak</v>
      </c>
      <c r="C2770" s="34"/>
      <c r="D2770" s="185"/>
      <c r="E2770" s="26"/>
      <c r="F2770" s="36" t="s">
        <v>31</v>
      </c>
      <c r="G2770" s="23">
        <f>SUM(G2767:G2769)</f>
        <v>188535.75693945226</v>
      </c>
    </row>
    <row r="2771" spans="1:8" ht="14.25" thickBot="1">
      <c r="A2771" s="211" t="s">
        <v>521</v>
      </c>
      <c r="B2771" s="216" t="str">
        <f ca="1">_xlfn.CONCAT(B2732,A2771)</f>
        <v>2218AB07-al</v>
      </c>
      <c r="C2771" s="37"/>
      <c r="E2771" s="38"/>
      <c r="F2771" s="22"/>
      <c r="G2771" s="39"/>
    </row>
    <row r="2772" spans="1:8" ht="23.25" customHeight="1" thickBot="1">
      <c r="A2772" s="211" t="s">
        <v>522</v>
      </c>
      <c r="B2772" s="216" t="str">
        <f ca="1">_xlfn.CONCAT(B2732,A2772)</f>
        <v>2218AB07-am</v>
      </c>
      <c r="C2772" s="40"/>
      <c r="D2772" s="193"/>
      <c r="E2772" s="41"/>
      <c r="F2772" s="42"/>
      <c r="G2772" s="43">
        <f>+G2755+G2764+G2770</f>
        <v>1234954.8694394522</v>
      </c>
    </row>
    <row r="2773" spans="1:8" ht="21.75" thickBot="1">
      <c r="B2773" s="212" t="s">
        <v>550</v>
      </c>
      <c r="C2773" s="2"/>
      <c r="D2773" s="183"/>
      <c r="F2773" s="4"/>
      <c r="G2773" s="5"/>
    </row>
    <row r="2774" spans="1:8" s="45" customFormat="1" ht="34.5" customHeight="1">
      <c r="A2774" s="213"/>
      <c r="B2774" s="214">
        <v>64</v>
      </c>
      <c r="C2774" s="242" t="str">
        <f ca="1">_xlfn.XLOOKUP(B2774,Cantidades!$A$10:$A$314,Cantidades!$C$10:$C$314,,0,1)</f>
        <v xml:space="preserve">Suministro e instalación de tubería EMT 2" </v>
      </c>
      <c r="D2774" s="243"/>
      <c r="E2774" s="243"/>
      <c r="F2774" s="243"/>
      <c r="G2774" s="244"/>
      <c r="H2774" s="213"/>
    </row>
    <row r="2775" spans="1:8" s="47" customFormat="1" ht="24.95" customHeight="1" thickBot="1">
      <c r="A2775" s="215"/>
      <c r="B2775" s="216" t="s">
        <v>550</v>
      </c>
      <c r="C2775" s="177"/>
      <c r="D2775" s="189"/>
      <c r="E2775" s="178"/>
      <c r="F2775" s="179" t="s">
        <v>636</v>
      </c>
      <c r="G2775" s="209" t="str">
        <f ca="1">B2776</f>
        <v>27BF3440-</v>
      </c>
      <c r="H2775" s="215"/>
    </row>
    <row r="2776" spans="1:8" ht="28.5" customHeight="1" thickBot="1">
      <c r="B2776" s="212" t="str">
        <f ca="1">_xlfn.XLOOKUP(C2774,Cantidades!$C$1:$C$314,Cantidades!$B$1:$B$314,"",0,1)</f>
        <v>27BF3440-</v>
      </c>
      <c r="C2776" s="10" t="s">
        <v>0</v>
      </c>
      <c r="D2776" s="190"/>
      <c r="E2776" s="11"/>
      <c r="F2776" s="12"/>
      <c r="G2776" s="13"/>
    </row>
    <row r="2777" spans="1:8" s="47" customFormat="1" ht="23.25" customHeight="1" thickBot="1">
      <c r="A2777" s="215"/>
      <c r="B2777" s="216" t="s">
        <v>550</v>
      </c>
      <c r="C2777" s="14" t="s">
        <v>1</v>
      </c>
      <c r="D2777" s="15" t="s">
        <v>2</v>
      </c>
      <c r="E2777" s="15" t="s">
        <v>3</v>
      </c>
      <c r="F2777" s="16" t="s">
        <v>4</v>
      </c>
      <c r="G2777" s="15" t="s">
        <v>5</v>
      </c>
      <c r="H2777" s="215"/>
    </row>
    <row r="2778" spans="1:8" ht="15">
      <c r="A2778" s="211" t="s">
        <v>484</v>
      </c>
      <c r="B2778" s="216" t="str">
        <f ca="1">_xlfn.CONCAT(B2776,A2778)</f>
        <v>27BF3440-A</v>
      </c>
      <c r="C2778" s="17" t="str">
        <f>_xlfn.XLOOKUP(H2778,'Materiales unitario'!$A$1:$A$2500,'Materiales unitario'!B$1:B$2500,,0,1)</f>
        <v>Tubo metálico ø2" EMT</v>
      </c>
      <c r="D2778" s="184" t="str">
        <f>_xlfn.XLOOKUP(H2778,'Materiales unitario'!A$1:A$2500,'Materiales unitario'!C$1:C$2500,,0,1)</f>
        <v>ml</v>
      </c>
      <c r="E2778" s="197">
        <f>_xlfn.XLOOKUP(H2778,'Materiales unitario'!$A$1:$A$2500,'Materiales unitario'!D$1:D$2500,,0,1)</f>
        <v>36766.666666666664</v>
      </c>
      <c r="F2778" s="19">
        <v>1.05</v>
      </c>
      <c r="G2778" s="20">
        <f>+E2778*F2778</f>
        <v>38605</v>
      </c>
      <c r="H2778" s="217" t="s">
        <v>731</v>
      </c>
    </row>
    <row r="2779" spans="1:8" ht="15">
      <c r="A2779" s="211" t="s">
        <v>485</v>
      </c>
      <c r="B2779" s="216" t="str">
        <f ca="1">_xlfn.CONCAT(B2776,A2779)</f>
        <v>27BF3440-B</v>
      </c>
      <c r="C2779" s="17" t="str">
        <f>_xlfn.XLOOKUP(H2779,'Materiales unitario'!$A$1:$A$2500,'Materiales unitario'!B$1:B$2500,,0,1)</f>
        <v>Unión metálica ø2" EMT</v>
      </c>
      <c r="D2779" s="184" t="str">
        <f>_xlfn.XLOOKUP(H2779,'Materiales unitario'!A$1:A$2500,'Materiales unitario'!C$1:C$2500,,0,1)</f>
        <v>un</v>
      </c>
      <c r="E2779" s="197">
        <f>_xlfn.XLOOKUP(H2779,'Materiales unitario'!$A$1:$A$2500,'Materiales unitario'!D$1:D$2500,,0,1)</f>
        <v>7150</v>
      </c>
      <c r="F2779" s="19">
        <v>0.35</v>
      </c>
      <c r="G2779" s="20">
        <f>+E2779*F2779</f>
        <v>2502.5</v>
      </c>
      <c r="H2779" s="217" t="s">
        <v>732</v>
      </c>
    </row>
    <row r="2780" spans="1:8" ht="15">
      <c r="A2780" s="211" t="s">
        <v>486</v>
      </c>
      <c r="B2780" s="216" t="str">
        <f ca="1">_xlfn.CONCAT(B2776,A2780)</f>
        <v>27BF3440-C</v>
      </c>
      <c r="C2780" s="17" t="str">
        <f>_xlfn.XLOOKUP(H2780,'Materiales unitario'!$A$1:$A$2500,'Materiales unitario'!B$1:B$2500,,0,1)</f>
        <v xml:space="preserve">Terminal metálico ø2" EMT </v>
      </c>
      <c r="D2780" s="184" t="str">
        <f>_xlfn.XLOOKUP(H2780,'Materiales unitario'!A$1:A$2500,'Materiales unitario'!C$1:C$2500,,0,1)</f>
        <v>un</v>
      </c>
      <c r="E2780" s="197">
        <f>_xlfn.XLOOKUP(H2780,'Materiales unitario'!$A$1:$A$2500,'Materiales unitario'!D$1:D$2500,,0,1)</f>
        <v>5458</v>
      </c>
      <c r="F2780" s="19">
        <v>0.1</v>
      </c>
      <c r="G2780" s="20">
        <f>+E2780*F2780</f>
        <v>545.80000000000007</v>
      </c>
      <c r="H2780" s="217" t="s">
        <v>733</v>
      </c>
    </row>
    <row r="2781" spans="1:8" ht="15">
      <c r="A2781" s="211" t="s">
        <v>487</v>
      </c>
      <c r="B2781" s="216" t="str">
        <f ca="1">_xlfn.CONCAT(B2776,A2781)</f>
        <v>27BF3440-D</v>
      </c>
      <c r="C2781" s="17" t="str">
        <f>_xlfn.XLOOKUP(H2781,'Materiales unitario'!$A$1:$A$2500,'Materiales unitario'!B$1:B$2500,,0,1)</f>
        <v>Curva metálica ø2" EMT</v>
      </c>
      <c r="D2781" s="184" t="str">
        <f>_xlfn.XLOOKUP(H2781,'Materiales unitario'!A$1:A$2500,'Materiales unitario'!C$1:C$2500,,0,1)</f>
        <v>un</v>
      </c>
      <c r="E2781" s="197">
        <f>_xlfn.XLOOKUP(H2781,'Materiales unitario'!$A$1:$A$2500,'Materiales unitario'!D$1:D$2500,,0,1)</f>
        <v>14939</v>
      </c>
      <c r="F2781" s="19">
        <v>0.1</v>
      </c>
      <c r="G2781" s="20">
        <f>+E2781*F2781</f>
        <v>1493.9</v>
      </c>
      <c r="H2781" s="217" t="s">
        <v>734</v>
      </c>
    </row>
    <row r="2782" spans="1:8" ht="15">
      <c r="A2782" s="211" t="s">
        <v>488</v>
      </c>
      <c r="B2782" s="216" t="str">
        <f ca="1">_xlfn.CONCAT(B2776,A2782)</f>
        <v>27BF3440-E</v>
      </c>
      <c r="C2782" s="17" t="str">
        <f>_xlfn.XLOOKUP(H2782,'Materiales unitario'!$A$1:$A$2500,'Materiales unitario'!B$1:B$2500,,0,1)</f>
        <v xml:space="preserve">Soporte Metálico Uniestruc Tubería ø2" </v>
      </c>
      <c r="D2782" s="184" t="str">
        <f>_xlfn.XLOOKUP(H2782,'Materiales unitario'!A$1:A$2500,'Materiales unitario'!C$1:C$2500,,0,1)</f>
        <v>un</v>
      </c>
      <c r="E2782" s="197">
        <f>_xlfn.XLOOKUP(H2782,'Materiales unitario'!$A$1:$A$2500,'Materiales unitario'!D$1:D$2500,,0,1)</f>
        <v>1461.6</v>
      </c>
      <c r="F2782" s="19">
        <v>0.75</v>
      </c>
      <c r="G2782" s="20">
        <f>+E2782*F2782</f>
        <v>1096.1999999999998</v>
      </c>
      <c r="H2782" s="217" t="s">
        <v>735</v>
      </c>
    </row>
    <row r="2783" spans="1:8" ht="15">
      <c r="A2783" s="211" t="s">
        <v>489</v>
      </c>
      <c r="B2783" s="216" t="str">
        <f ca="1">_xlfn.CONCAT(B2776,A2783)</f>
        <v>27BF3440-F</v>
      </c>
      <c r="C2783" s="17"/>
      <c r="D2783" s="184"/>
      <c r="E2783" s="197"/>
      <c r="F2783" s="19"/>
      <c r="G2783" s="20"/>
      <c r="H2783" s="217"/>
    </row>
    <row r="2784" spans="1:8" ht="15">
      <c r="A2784" s="211" t="s">
        <v>490</v>
      </c>
      <c r="B2784" s="216" t="str">
        <f ca="1">_xlfn.CONCAT(B2776,A2784)</f>
        <v>27BF3440-G</v>
      </c>
      <c r="C2784" s="17"/>
      <c r="D2784" s="184"/>
      <c r="E2784" s="197"/>
      <c r="F2784" s="19"/>
      <c r="G2784" s="20"/>
      <c r="H2784" s="217"/>
    </row>
    <row r="2785" spans="1:8" ht="15">
      <c r="A2785" s="211" t="s">
        <v>491</v>
      </c>
      <c r="B2785" s="216" t="str">
        <f ca="1">_xlfn.CONCAT(B2776,A2785)</f>
        <v>27BF3440-H</v>
      </c>
      <c r="C2785" s="17"/>
      <c r="D2785" s="184"/>
      <c r="E2785" s="197"/>
      <c r="F2785" s="19"/>
      <c r="G2785" s="20"/>
      <c r="H2785" s="217"/>
    </row>
    <row r="2786" spans="1:8">
      <c r="A2786" s="211" t="s">
        <v>492</v>
      </c>
      <c r="B2786" s="216" t="str">
        <f ca="1">_xlfn.CONCAT(B2776,A2786)</f>
        <v>27BF3440-I</v>
      </c>
      <c r="C2786" s="17"/>
      <c r="D2786" s="184"/>
      <c r="E2786" s="197"/>
      <c r="F2786" s="19"/>
      <c r="G2786" s="20"/>
    </row>
    <row r="2787" spans="1:8">
      <c r="A2787" s="211" t="s">
        <v>493</v>
      </c>
      <c r="B2787" s="216" t="str">
        <f ca="1">_xlfn.CONCAT(B2776,A2787)</f>
        <v>27BF3440-J</v>
      </c>
      <c r="C2787" s="17"/>
      <c r="D2787" s="184"/>
      <c r="E2787" s="197"/>
      <c r="F2787" s="19"/>
      <c r="G2787" s="20"/>
    </row>
    <row r="2788" spans="1:8">
      <c r="A2788" s="211" t="s">
        <v>494</v>
      </c>
      <c r="B2788" s="216" t="str">
        <f ca="1">_xlfn.CONCAT(B2776,A2788)</f>
        <v>27BF3440-K</v>
      </c>
      <c r="C2788" s="17"/>
      <c r="D2788" s="184"/>
      <c r="E2788" s="197"/>
      <c r="F2788" s="19"/>
      <c r="G2788" s="20"/>
    </row>
    <row r="2789" spans="1:8">
      <c r="A2789" s="211" t="s">
        <v>495</v>
      </c>
      <c r="B2789" s="216" t="str">
        <f ca="1">_xlfn.CONCAT(B2776,A2789)</f>
        <v>27BF3440-L</v>
      </c>
      <c r="C2789" s="17"/>
      <c r="D2789" s="184"/>
      <c r="E2789" s="197"/>
      <c r="F2789" s="19"/>
      <c r="G2789" s="20"/>
    </row>
    <row r="2790" spans="1:8">
      <c r="A2790" s="211" t="s">
        <v>496</v>
      </c>
      <c r="B2790" s="216" t="str">
        <f ca="1">_xlfn.CONCAT(B2776,A2790)</f>
        <v>27BF3440-M</v>
      </c>
      <c r="C2790" s="17"/>
      <c r="D2790" s="184"/>
      <c r="E2790" s="197"/>
      <c r="F2790" s="19"/>
      <c r="G2790" s="20"/>
    </row>
    <row r="2791" spans="1:8">
      <c r="A2791" s="211" t="s">
        <v>497</v>
      </c>
      <c r="B2791" s="216" t="str">
        <f ca="1">_xlfn.CONCAT(B2776,A2791)</f>
        <v>27BF3440-N</v>
      </c>
      <c r="C2791" s="17"/>
      <c r="D2791" s="184"/>
      <c r="E2791" s="197"/>
      <c r="F2791" s="19"/>
      <c r="G2791" s="20"/>
    </row>
    <row r="2792" spans="1:8">
      <c r="A2792" s="211" t="s">
        <v>498</v>
      </c>
      <c r="B2792" s="216" t="str">
        <f ca="1">_xlfn.CONCAT(B2776,A2792)</f>
        <v>27BF3440-O</v>
      </c>
      <c r="C2792" s="17"/>
      <c r="D2792" s="184"/>
      <c r="E2792" s="197"/>
      <c r="F2792" s="19"/>
      <c r="G2792" s="20"/>
    </row>
    <row r="2793" spans="1:8">
      <c r="A2793" s="211" t="s">
        <v>499</v>
      </c>
      <c r="B2793" s="216" t="str">
        <f ca="1">_xlfn.CONCAT(B2776,A2793)</f>
        <v>27BF3440-P</v>
      </c>
      <c r="C2793" s="17"/>
      <c r="D2793" s="184"/>
      <c r="E2793" s="197"/>
      <c r="F2793" s="19"/>
      <c r="G2793" s="20"/>
    </row>
    <row r="2794" spans="1:8">
      <c r="A2794" s="211" t="s">
        <v>500</v>
      </c>
      <c r="B2794" s="216" t="str">
        <f ca="1">_xlfn.CONCAT(B2776,A2794)</f>
        <v>27BF3440-Q</v>
      </c>
      <c r="C2794" s="17"/>
      <c r="D2794" s="184"/>
      <c r="E2794" s="197"/>
      <c r="F2794" s="19"/>
      <c r="G2794" s="20"/>
    </row>
    <row r="2795" spans="1:8">
      <c r="A2795" s="211" t="s">
        <v>501</v>
      </c>
      <c r="B2795" s="216" t="str">
        <f ca="1">_xlfn.CONCAT(B2776,A2795)</f>
        <v>27BF3440-R</v>
      </c>
      <c r="C2795" s="17"/>
      <c r="D2795" s="184"/>
      <c r="E2795" s="197"/>
      <c r="F2795" s="19"/>
      <c r="G2795" s="20"/>
    </row>
    <row r="2796" spans="1:8">
      <c r="A2796" s="211" t="s">
        <v>502</v>
      </c>
      <c r="B2796" s="216" t="str">
        <f ca="1">_xlfn.CONCAT(B2776,A2796)</f>
        <v>27BF3440-S</v>
      </c>
      <c r="C2796" s="17"/>
      <c r="D2796" s="184"/>
      <c r="E2796" s="197"/>
      <c r="F2796" s="19"/>
      <c r="G2796" s="20"/>
    </row>
    <row r="2797" spans="1:8">
      <c r="A2797" s="211" t="s">
        <v>503</v>
      </c>
      <c r="B2797" s="216" t="str">
        <f ca="1">_xlfn.CONCAT(B2776,A2797)</f>
        <v>27BF3440-T</v>
      </c>
      <c r="C2797" s="17"/>
      <c r="D2797" s="184"/>
      <c r="E2797" s="197"/>
      <c r="F2797" s="19"/>
      <c r="G2797" s="20"/>
    </row>
    <row r="2798" spans="1:8" ht="14.25" thickBot="1">
      <c r="A2798" s="211" t="s">
        <v>504</v>
      </c>
      <c r="B2798" s="216" t="str">
        <f ca="1">_xlfn.CONCAT(B2776,A2798)</f>
        <v>27BF3440-U</v>
      </c>
      <c r="C2798" s="17"/>
      <c r="D2798" s="184"/>
      <c r="E2798" s="197"/>
      <c r="F2798" s="19"/>
      <c r="G2798" s="20"/>
    </row>
    <row r="2799" spans="1:8" ht="16.5" customHeight="1" thickBot="1">
      <c r="A2799" s="211" t="s">
        <v>505</v>
      </c>
      <c r="B2799" s="216" t="str">
        <f ca="1">_xlfn.CONCAT(B2776,A2799)</f>
        <v>27BF3440-V</v>
      </c>
      <c r="C2799" s="17" t="s">
        <v>17</v>
      </c>
      <c r="D2799" s="192" t="s">
        <v>17</v>
      </c>
      <c r="E2799" s="18"/>
      <c r="F2799" s="22" t="s">
        <v>18</v>
      </c>
      <c r="G2799" s="23">
        <f>SUM(G2778:G2798)</f>
        <v>44243.4</v>
      </c>
    </row>
    <row r="2800" spans="1:8" ht="28.5" customHeight="1" thickBot="1">
      <c r="A2800" s="211" t="s">
        <v>506</v>
      </c>
      <c r="B2800" s="216" t="str">
        <f ca="1">_xlfn.CONCAT(B2776,A2800)</f>
        <v>27BF3440-W</v>
      </c>
      <c r="C2800" s="10" t="s">
        <v>19</v>
      </c>
      <c r="D2800" s="190"/>
      <c r="E2800" s="11"/>
      <c r="F2800" s="12"/>
      <c r="G2800" s="13"/>
    </row>
    <row r="2801" spans="1:8" s="47" customFormat="1" ht="23.25" customHeight="1" thickBot="1">
      <c r="A2801" s="211" t="s">
        <v>507</v>
      </c>
      <c r="B2801" s="216" t="str">
        <f ca="1">_xlfn.CONCAT(B2776,A2801)</f>
        <v>27BF3440-X</v>
      </c>
      <c r="C2801" s="14" t="s">
        <v>1</v>
      </c>
      <c r="D2801" s="15"/>
      <c r="E2801" s="15" t="s">
        <v>20</v>
      </c>
      <c r="F2801" s="16" t="s">
        <v>21</v>
      </c>
      <c r="G2801" s="15" t="s">
        <v>5</v>
      </c>
      <c r="H2801" s="215"/>
    </row>
    <row r="2802" spans="1:8">
      <c r="A2802" s="211" t="s">
        <v>508</v>
      </c>
      <c r="B2802" s="216" t="str">
        <f ca="1">_xlfn.CONCAT(B2776,A2802)</f>
        <v>27BF3440-Y</v>
      </c>
      <c r="C2802" s="24" t="s">
        <v>22</v>
      </c>
      <c r="D2802" s="184"/>
      <c r="E2802" s="25">
        <f>_xlfn.XLOOKUP(C2802,'H-MO'!B$7:B$30,'H-MO'!D$7:D$30,,0,1)</f>
        <v>2436.5624999999995</v>
      </c>
      <c r="F2802" s="19">
        <v>0.4</v>
      </c>
      <c r="G2802" s="33">
        <f t="shared" ref="G2802:G2807" si="81">+E2802*F2802</f>
        <v>974.62499999999989</v>
      </c>
    </row>
    <row r="2803" spans="1:8">
      <c r="A2803" s="211" t="s">
        <v>509</v>
      </c>
      <c r="B2803" s="216" t="str">
        <f ca="1">_xlfn.CONCAT(B2776,A2803)</f>
        <v>27BF3440-Z</v>
      </c>
      <c r="C2803" s="24" t="s">
        <v>23</v>
      </c>
      <c r="D2803" s="184"/>
      <c r="E2803" s="25">
        <f>_xlfn.XLOOKUP(C2803,'H-MO'!B$7:B$30,'H-MO'!D$7:D$30,,0,1)</f>
        <v>1461.9374999999998</v>
      </c>
      <c r="F2803" s="19">
        <v>0.05</v>
      </c>
      <c r="G2803" s="33">
        <f t="shared" si="81"/>
        <v>73.096874999999997</v>
      </c>
    </row>
    <row r="2804" spans="1:8">
      <c r="A2804" s="211" t="s">
        <v>510</v>
      </c>
      <c r="B2804" s="216" t="str">
        <f ca="1">_xlfn.CONCAT(B2776,A2804)</f>
        <v>27BF3440-aa</v>
      </c>
      <c r="C2804" s="24" t="s">
        <v>24</v>
      </c>
      <c r="D2804" s="185"/>
      <c r="E2804" s="25">
        <f>_xlfn.XLOOKUP(C2804,'H-MO'!B$7:B$30,'H-MO'!D$7:D$30,,0,1)</f>
        <v>29238.749999999996</v>
      </c>
      <c r="F2804" s="28">
        <v>0.02</v>
      </c>
      <c r="G2804" s="33">
        <f t="shared" si="81"/>
        <v>584.77499999999998</v>
      </c>
    </row>
    <row r="2805" spans="1:8">
      <c r="A2805" s="211" t="s">
        <v>511</v>
      </c>
      <c r="B2805" s="216" t="str">
        <f ca="1">_xlfn.CONCAT(B2776,A2805)</f>
        <v>27BF3440-ab</v>
      </c>
      <c r="C2805" s="24" t="s">
        <v>25</v>
      </c>
      <c r="D2805" s="185"/>
      <c r="E2805" s="25">
        <f>_xlfn.XLOOKUP(C2805,'H-MO'!B$7:B$30,'H-MO'!D$7:D$30,,0,1)</f>
        <v>2761.4374999999995</v>
      </c>
      <c r="F2805" s="28">
        <v>0.1</v>
      </c>
      <c r="G2805" s="33">
        <f t="shared" si="81"/>
        <v>276.14374999999995</v>
      </c>
    </row>
    <row r="2806" spans="1:8">
      <c r="A2806" s="211" t="s">
        <v>512</v>
      </c>
      <c r="B2806" s="216" t="str">
        <f ca="1">_xlfn.CONCAT(B2776,A2806)</f>
        <v>27BF3440-ac</v>
      </c>
      <c r="C2806" s="24"/>
      <c r="D2806" s="185"/>
      <c r="E2806" s="29"/>
      <c r="F2806" s="28"/>
      <c r="G2806" s="33">
        <f t="shared" si="81"/>
        <v>0</v>
      </c>
    </row>
    <row r="2807" spans="1:8" ht="14.25" thickBot="1">
      <c r="A2807" s="211" t="s">
        <v>513</v>
      </c>
      <c r="B2807" s="216" t="str">
        <f ca="1">_xlfn.CONCAT(B2776,A2807)</f>
        <v>27BF3440-ad</v>
      </c>
      <c r="C2807" s="24"/>
      <c r="D2807" s="185"/>
      <c r="E2807" s="29"/>
      <c r="F2807" s="28"/>
      <c r="G2807" s="33">
        <f t="shared" si="81"/>
        <v>0</v>
      </c>
    </row>
    <row r="2808" spans="1:8" ht="16.5" customHeight="1" thickBot="1">
      <c r="A2808" s="211" t="s">
        <v>514</v>
      </c>
      <c r="B2808" s="216" t="str">
        <f ca="1">_xlfn.CONCAT(B2776,A2808)</f>
        <v>27BF3440-ae</v>
      </c>
      <c r="C2808" s="17"/>
      <c r="D2808" s="192"/>
      <c r="E2808" s="18"/>
      <c r="F2808" s="22" t="s">
        <v>26</v>
      </c>
      <c r="G2808" s="23">
        <f>SUM(G2802:G2807)</f>
        <v>1908.6406249999998</v>
      </c>
    </row>
    <row r="2809" spans="1:8" ht="28.5" customHeight="1" thickBot="1">
      <c r="A2809" s="211" t="s">
        <v>515</v>
      </c>
      <c r="B2809" s="216" t="str">
        <f ca="1">_xlfn.CONCAT(B2776,A2809)</f>
        <v>27BF3440-af</v>
      </c>
      <c r="C2809" s="10" t="s">
        <v>27</v>
      </c>
      <c r="D2809" s="190"/>
      <c r="E2809" s="11"/>
      <c r="F2809" s="12"/>
      <c r="G2809" s="13"/>
    </row>
    <row r="2810" spans="1:8" s="47" customFormat="1" ht="23.25" customHeight="1" thickBot="1">
      <c r="A2810" s="211" t="s">
        <v>516</v>
      </c>
      <c r="B2810" s="216" t="str">
        <f ca="1">_xlfn.CONCAT(B2776,A2810)</f>
        <v>27BF3440-ag</v>
      </c>
      <c r="C2810" s="14" t="s">
        <v>1</v>
      </c>
      <c r="D2810" s="15" t="s">
        <v>28</v>
      </c>
      <c r="E2810" s="15" t="s">
        <v>20</v>
      </c>
      <c r="F2810" s="16" t="s">
        <v>21</v>
      </c>
      <c r="G2810" s="15" t="s">
        <v>5</v>
      </c>
      <c r="H2810" s="215"/>
    </row>
    <row r="2811" spans="1:8">
      <c r="A2811" s="211" t="s">
        <v>517</v>
      </c>
      <c r="B2811" s="216" t="str">
        <f ca="1">_xlfn.CONCAT(B2776,A2811)</f>
        <v>27BF3440-ah</v>
      </c>
      <c r="C2811" s="30" t="s">
        <v>29</v>
      </c>
      <c r="D2811" s="186">
        <f>'H-MO'!$N$77</f>
        <v>725918.52892505517</v>
      </c>
      <c r="E2811" s="31">
        <f>+D2811/8</f>
        <v>90739.816115631897</v>
      </c>
      <c r="F2811" s="32">
        <v>0.5</v>
      </c>
      <c r="G2811" s="33">
        <f>+E2811*F2811</f>
        <v>45369.908057815948</v>
      </c>
    </row>
    <row r="2812" spans="1:8">
      <c r="A2812" s="211" t="s">
        <v>518</v>
      </c>
      <c r="B2812" s="216" t="str">
        <f ca="1">_xlfn.CONCAT(B2776,A2812)</f>
        <v>27BF3440-ai</v>
      </c>
      <c r="C2812" s="34" t="s">
        <v>30</v>
      </c>
      <c r="D2812" s="187">
        <f>'H-MO'!$N$86</f>
        <v>685561.39085756091</v>
      </c>
      <c r="E2812" s="29">
        <f>+D2812/8</f>
        <v>85695.173857195114</v>
      </c>
      <c r="F2812" s="28">
        <v>0.03</v>
      </c>
      <c r="G2812" s="33">
        <f>+E2812*F2812</f>
        <v>2570.8552157158533</v>
      </c>
    </row>
    <row r="2813" spans="1:8" ht="14.25" thickBot="1">
      <c r="A2813" s="211" t="s">
        <v>519</v>
      </c>
      <c r="B2813" s="216" t="str">
        <f ca="1">_xlfn.CONCAT(B2776,A2813)</f>
        <v>27BF3440-aj</v>
      </c>
      <c r="C2813" s="34"/>
      <c r="D2813" s="187"/>
      <c r="E2813" s="29"/>
      <c r="F2813" s="28"/>
      <c r="G2813" s="33">
        <f>+E2813*F2813</f>
        <v>0</v>
      </c>
    </row>
    <row r="2814" spans="1:8" ht="17.25" customHeight="1" thickBot="1">
      <c r="A2814" s="211" t="s">
        <v>520</v>
      </c>
      <c r="B2814" s="216" t="str">
        <f ca="1">_xlfn.CONCAT(B2776,A2814)</f>
        <v>27BF3440-ak</v>
      </c>
      <c r="C2814" s="34"/>
      <c r="D2814" s="185"/>
      <c r="E2814" s="26"/>
      <c r="F2814" s="36" t="s">
        <v>31</v>
      </c>
      <c r="G2814" s="23">
        <f>SUM(G2811:G2813)</f>
        <v>47940.763273531804</v>
      </c>
    </row>
    <row r="2815" spans="1:8" ht="14.25" thickBot="1">
      <c r="A2815" s="211" t="s">
        <v>521</v>
      </c>
      <c r="B2815" s="216" t="str">
        <f ca="1">_xlfn.CONCAT(B2776,A2815)</f>
        <v>27BF3440-al</v>
      </c>
      <c r="C2815" s="37"/>
      <c r="E2815" s="38"/>
      <c r="F2815" s="22"/>
      <c r="G2815" s="39"/>
    </row>
    <row r="2816" spans="1:8" ht="23.25" customHeight="1" thickBot="1">
      <c r="A2816" s="211" t="s">
        <v>522</v>
      </c>
      <c r="B2816" s="216" t="str">
        <f ca="1">_xlfn.CONCAT(B2776,A2816)</f>
        <v>27BF3440-am</v>
      </c>
      <c r="C2816" s="40"/>
      <c r="D2816" s="193"/>
      <c r="E2816" s="41"/>
      <c r="F2816" s="42"/>
      <c r="G2816" s="43">
        <f>+G2799+G2808+G2814</f>
        <v>94092.803898531798</v>
      </c>
    </row>
    <row r="2817" spans="1:8" ht="21.75" thickBot="1">
      <c r="B2817" s="212" t="s">
        <v>550</v>
      </c>
      <c r="C2817" s="2"/>
      <c r="D2817" s="183"/>
      <c r="F2817" s="4"/>
      <c r="G2817" s="5"/>
    </row>
    <row r="2818" spans="1:8" s="45" customFormat="1" ht="34.5" customHeight="1">
      <c r="A2818" s="213"/>
      <c r="B2818" s="214">
        <v>65</v>
      </c>
      <c r="C2818" s="242" t="str">
        <f ca="1">_xlfn.XLOOKUP(B2818,Cantidades!$A$10:$A$314,Cantidades!$C$10:$C$314,,0,1)</f>
        <v>Suministro e instalación de salida doble voz y datos en canaleta. Incluye tubería EMT 3/4" caja de conexión, cable UTP cat. 6A, toma doble para datos cat 6A y demás accesrios para su correcta instalación, funcionamiento y señalización.</v>
      </c>
      <c r="D2818" s="243"/>
      <c r="E2818" s="243"/>
      <c r="F2818" s="243"/>
      <c r="G2818" s="244"/>
      <c r="H2818" s="213"/>
    </row>
    <row r="2819" spans="1:8" s="47" customFormat="1" ht="24.95" customHeight="1" thickBot="1">
      <c r="A2819" s="215"/>
      <c r="B2819" s="216" t="s">
        <v>550</v>
      </c>
      <c r="C2819" s="177"/>
      <c r="D2819" s="189"/>
      <c r="E2819" s="178"/>
      <c r="F2819" s="179" t="s">
        <v>636</v>
      </c>
      <c r="G2819" s="209" t="str">
        <f ca="1">B2820</f>
        <v>104A3C67-</v>
      </c>
      <c r="H2819" s="215"/>
    </row>
    <row r="2820" spans="1:8" ht="28.5" customHeight="1" thickBot="1">
      <c r="B2820" s="212" t="str">
        <f ca="1">_xlfn.XLOOKUP(C2818,Cantidades!$C$1:$C$314,Cantidades!$B$1:$B$314,"",0,1)</f>
        <v>104A3C67-</v>
      </c>
      <c r="C2820" s="10" t="s">
        <v>0</v>
      </c>
      <c r="D2820" s="190"/>
      <c r="E2820" s="11"/>
      <c r="F2820" s="12"/>
      <c r="G2820" s="13"/>
    </row>
    <row r="2821" spans="1:8" s="47" customFormat="1" ht="23.25" customHeight="1" thickBot="1">
      <c r="A2821" s="215"/>
      <c r="B2821" s="216" t="s">
        <v>550</v>
      </c>
      <c r="C2821" s="14" t="s">
        <v>1</v>
      </c>
      <c r="D2821" s="15" t="s">
        <v>2</v>
      </c>
      <c r="E2821" s="15" t="s">
        <v>3</v>
      </c>
      <c r="F2821" s="16" t="s">
        <v>4</v>
      </c>
      <c r="G2821" s="15" t="s">
        <v>5</v>
      </c>
      <c r="H2821" s="215"/>
    </row>
    <row r="2822" spans="1:8" ht="15">
      <c r="A2822" s="211" t="s">
        <v>484</v>
      </c>
      <c r="B2822" s="216" t="str">
        <f ca="1">_xlfn.CONCAT(B2820,A2822)</f>
        <v>104A3C67-A</v>
      </c>
      <c r="C2822" s="17" t="str">
        <f>_xlfn.XLOOKUP(H2822,'Materiales unitario'!$A$1:$A$2500,'Materiales unitario'!B$1:B$2500,,0,1)</f>
        <v>Tubo metálico ø3/4" EMT</v>
      </c>
      <c r="D2822" s="184" t="str">
        <f>_xlfn.XLOOKUP(H2822,'Materiales unitario'!A$1:A$2500,'Materiales unitario'!C$1:C$2500,,0,1)</f>
        <v>ml</v>
      </c>
      <c r="E2822" s="197">
        <f>_xlfn.XLOOKUP(H2822,'Materiales unitario'!$A$1:$A$2500,'Materiales unitario'!D$1:D$2500,,0,1)</f>
        <v>11733</v>
      </c>
      <c r="F2822" s="19">
        <v>1.05</v>
      </c>
      <c r="G2822" s="20">
        <f t="shared" ref="G2822:G2829" si="82">+E2822*F2822</f>
        <v>12319.65</v>
      </c>
      <c r="H2822" s="217" t="s">
        <v>388</v>
      </c>
    </row>
    <row r="2823" spans="1:8" ht="15">
      <c r="A2823" s="211" t="s">
        <v>485</v>
      </c>
      <c r="B2823" s="216" t="str">
        <f ca="1">_xlfn.CONCAT(B2820,A2823)</f>
        <v>104A3C67-B</v>
      </c>
      <c r="C2823" s="17" t="str">
        <f>_xlfn.XLOOKUP(H2823,'Materiales unitario'!$A$1:$A$2500,'Materiales unitario'!B$1:B$2500,,0,1)</f>
        <v>Unión metálica ø3/4" EMT</v>
      </c>
      <c r="D2823" s="184" t="str">
        <f>_xlfn.XLOOKUP(H2823,'Materiales unitario'!A$1:A$2500,'Materiales unitario'!C$1:C$2500,,0,1)</f>
        <v>un</v>
      </c>
      <c r="E2823" s="197">
        <f>_xlfn.XLOOKUP(H2823,'Materiales unitario'!$A$1:$A$2500,'Materiales unitario'!D$1:D$2500,,0,1)</f>
        <v>1800</v>
      </c>
      <c r="F2823" s="19">
        <v>0.35</v>
      </c>
      <c r="G2823" s="20">
        <f t="shared" si="82"/>
        <v>630</v>
      </c>
      <c r="H2823" s="217" t="s">
        <v>392</v>
      </c>
    </row>
    <row r="2824" spans="1:8" ht="15">
      <c r="A2824" s="211" t="s">
        <v>486</v>
      </c>
      <c r="B2824" s="216" t="str">
        <f ca="1">_xlfn.CONCAT(B2820,A2824)</f>
        <v>104A3C67-C</v>
      </c>
      <c r="C2824" s="17" t="str">
        <f>_xlfn.XLOOKUP(H2824,'Materiales unitario'!$A$1:$A$2500,'Materiales unitario'!B$1:B$2500,,0,1)</f>
        <v xml:space="preserve">Terminal metálico ø3/4" EMT </v>
      </c>
      <c r="D2824" s="184" t="str">
        <f>_xlfn.XLOOKUP(H2824,'Materiales unitario'!A$1:A$2500,'Materiales unitario'!C$1:C$2500,,0,1)</f>
        <v>un</v>
      </c>
      <c r="E2824" s="197">
        <f>_xlfn.XLOOKUP(H2824,'Materiales unitario'!$A$1:$A$2500,'Materiales unitario'!D$1:D$2500,,0,1)</f>
        <v>2200</v>
      </c>
      <c r="F2824" s="19">
        <v>0.1</v>
      </c>
      <c r="G2824" s="20">
        <f t="shared" si="82"/>
        <v>220</v>
      </c>
      <c r="H2824" s="217" t="s">
        <v>371</v>
      </c>
    </row>
    <row r="2825" spans="1:8" ht="15">
      <c r="A2825" s="211" t="s">
        <v>487</v>
      </c>
      <c r="B2825" s="216" t="str">
        <f ca="1">_xlfn.CONCAT(B2820,A2825)</f>
        <v>104A3C67-D</v>
      </c>
      <c r="C2825" s="17" t="str">
        <f>_xlfn.XLOOKUP(H2825,'Materiales unitario'!$A$1:$A$2500,'Materiales unitario'!B$1:B$2500,,0,1)</f>
        <v xml:space="preserve">Soporte Metálico Uniestruc Tubería ø3/4" </v>
      </c>
      <c r="D2825" s="184" t="str">
        <f>_xlfn.XLOOKUP(H2825,'Materiales unitario'!A$1:A$2500,'Materiales unitario'!C$1:C$2500,,0,1)</f>
        <v>un</v>
      </c>
      <c r="E2825" s="197">
        <f>_xlfn.XLOOKUP(H2825,'Materiales unitario'!$A$1:$A$2500,'Materiales unitario'!D$1:D$2500,,0,1)</f>
        <v>630</v>
      </c>
      <c r="F2825" s="19">
        <v>1.5</v>
      </c>
      <c r="G2825" s="20">
        <f t="shared" si="82"/>
        <v>945</v>
      </c>
      <c r="H2825" s="217" t="s">
        <v>356</v>
      </c>
    </row>
    <row r="2826" spans="1:8" ht="15">
      <c r="A2826" s="211" t="s">
        <v>488</v>
      </c>
      <c r="B2826" s="216" t="str">
        <f ca="1">_xlfn.CONCAT(B2820,A2826)</f>
        <v>104A3C67-E</v>
      </c>
      <c r="C2826" s="17" t="str">
        <f>_xlfn.XLOOKUP(H2826,'Materiales unitario'!$A$1:$A$2500,'Materiales unitario'!B$1:B$2500,,0,1)</f>
        <v>Face plate de 2 puertos CAT 6A</v>
      </c>
      <c r="D2826" s="184" t="str">
        <f>_xlfn.XLOOKUP(H2826,'Materiales unitario'!A$1:A$2500,'Materiales unitario'!C$1:C$2500,,0,1)</f>
        <v>un</v>
      </c>
      <c r="E2826" s="197">
        <f>_xlfn.XLOOKUP(H2826,'Materiales unitario'!$A$1:$A$2500,'Materiales unitario'!D$1:D$2500,,0,1)</f>
        <v>4600</v>
      </c>
      <c r="F2826" s="19">
        <v>1</v>
      </c>
      <c r="G2826" s="20">
        <f t="shared" si="82"/>
        <v>4600</v>
      </c>
      <c r="H2826" s="217" t="s">
        <v>740</v>
      </c>
    </row>
    <row r="2827" spans="1:8" ht="15">
      <c r="A2827" s="211" t="s">
        <v>489</v>
      </c>
      <c r="B2827" s="216" t="str">
        <f ca="1">_xlfn.CONCAT(B2820,A2827)</f>
        <v>104A3C67-F</v>
      </c>
      <c r="C2827" s="17" t="str">
        <f>_xlfn.XLOOKUP(H2827,'Materiales unitario'!$A$1:$A$2500,'Materiales unitario'!B$1:B$2500,,0,1)</f>
        <v>jack rj45 rojo CAT 6</v>
      </c>
      <c r="D2827" s="184" t="str">
        <f>_xlfn.XLOOKUP(H2827,'Materiales unitario'!A$1:A$2500,'Materiales unitario'!C$1:C$2500,,0,1)</f>
        <v>un</v>
      </c>
      <c r="E2827" s="197">
        <f>_xlfn.XLOOKUP(H2827,'Materiales unitario'!$A$1:$A$2500,'Materiales unitario'!D$1:D$2500,,0,1)</f>
        <v>15600</v>
      </c>
      <c r="F2827" s="19">
        <v>2</v>
      </c>
      <c r="G2827" s="20">
        <f t="shared" si="82"/>
        <v>31200</v>
      </c>
      <c r="H2827" s="217" t="s">
        <v>741</v>
      </c>
    </row>
    <row r="2828" spans="1:8" ht="15">
      <c r="A2828" s="211" t="s">
        <v>490</v>
      </c>
      <c r="B2828" s="216" t="str">
        <f ca="1">_xlfn.CONCAT(B2820,A2828)</f>
        <v>104A3C67-G</v>
      </c>
      <c r="C2828" s="17" t="str">
        <f>_xlfn.XLOOKUP(H2828,'Materiales unitario'!$A$1:$A$2500,'Materiales unitario'!B$1:B$2500,,0,1)</f>
        <v>Cable UTP CAT 6A</v>
      </c>
      <c r="D2828" s="184" t="str">
        <f>_xlfn.XLOOKUP(H2828,'Materiales unitario'!A$1:A$2500,'Materiales unitario'!C$1:C$2500,,0,1)</f>
        <v>ml</v>
      </c>
      <c r="E2828" s="197">
        <f>_xlfn.XLOOKUP(H2828,'Materiales unitario'!$A$1:$A$2500,'Materiales unitario'!D$1:D$2500,,0,1)</f>
        <v>2140</v>
      </c>
      <c r="F2828" s="19">
        <v>8</v>
      </c>
      <c r="G2828" s="20">
        <f t="shared" si="82"/>
        <v>17120</v>
      </c>
      <c r="H2828" s="217" t="s">
        <v>743</v>
      </c>
    </row>
    <row r="2829" spans="1:8" ht="15">
      <c r="A2829" s="211" t="s">
        <v>491</v>
      </c>
      <c r="B2829" s="216" t="str">
        <f ca="1">_xlfn.CONCAT(B2820,A2829)</f>
        <v>104A3C67-H</v>
      </c>
      <c r="C2829" s="17" t="str">
        <f>_xlfn.XLOOKUP(H2829,'Materiales unitario'!$A$1:$A$2500,'Materiales unitario'!B$1:B$2500,,0,1)</f>
        <v>Marquillas para circuito</v>
      </c>
      <c r="D2829" s="184" t="str">
        <f>_xlfn.XLOOKUP(H2829,'Materiales unitario'!A$1:A$2500,'Materiales unitario'!C$1:C$2500,,0,1)</f>
        <v>un</v>
      </c>
      <c r="E2829" s="197">
        <f>_xlfn.XLOOKUP(H2829,'Materiales unitario'!$A$1:$A$2500,'Materiales unitario'!D$1:D$2500,,0,1)</f>
        <v>1000</v>
      </c>
      <c r="F2829" s="19">
        <v>1</v>
      </c>
      <c r="G2829" s="20">
        <f t="shared" si="82"/>
        <v>1000</v>
      </c>
      <c r="H2829" s="217" t="s">
        <v>339</v>
      </c>
    </row>
    <row r="2830" spans="1:8">
      <c r="A2830" s="211" t="s">
        <v>492</v>
      </c>
      <c r="B2830" s="216" t="str">
        <f ca="1">_xlfn.CONCAT(B2820,A2830)</f>
        <v>104A3C67-I</v>
      </c>
      <c r="C2830" s="17"/>
      <c r="D2830" s="184"/>
      <c r="E2830" s="197"/>
      <c r="F2830" s="19"/>
      <c r="G2830" s="20"/>
    </row>
    <row r="2831" spans="1:8">
      <c r="A2831" s="211" t="s">
        <v>493</v>
      </c>
      <c r="B2831" s="216" t="str">
        <f ca="1">_xlfn.CONCAT(B2820,A2831)</f>
        <v>104A3C67-J</v>
      </c>
      <c r="C2831" s="17"/>
      <c r="D2831" s="184"/>
      <c r="E2831" s="197"/>
      <c r="F2831" s="19"/>
      <c r="G2831" s="20"/>
    </row>
    <row r="2832" spans="1:8">
      <c r="A2832" s="211" t="s">
        <v>494</v>
      </c>
      <c r="B2832" s="216" t="str">
        <f ca="1">_xlfn.CONCAT(B2820,A2832)</f>
        <v>104A3C67-K</v>
      </c>
      <c r="C2832" s="17"/>
      <c r="D2832" s="184"/>
      <c r="E2832" s="197"/>
      <c r="F2832" s="19"/>
      <c r="G2832" s="20"/>
    </row>
    <row r="2833" spans="1:8">
      <c r="A2833" s="211" t="s">
        <v>495</v>
      </c>
      <c r="B2833" s="216" t="str">
        <f ca="1">_xlfn.CONCAT(B2820,A2833)</f>
        <v>104A3C67-L</v>
      </c>
      <c r="C2833" s="17"/>
      <c r="D2833" s="184"/>
      <c r="E2833" s="197"/>
      <c r="F2833" s="19"/>
      <c r="G2833" s="20"/>
    </row>
    <row r="2834" spans="1:8">
      <c r="A2834" s="211" t="s">
        <v>496</v>
      </c>
      <c r="B2834" s="216" t="str">
        <f ca="1">_xlfn.CONCAT(B2820,A2834)</f>
        <v>104A3C67-M</v>
      </c>
      <c r="C2834" s="17"/>
      <c r="D2834" s="184"/>
      <c r="E2834" s="197"/>
      <c r="F2834" s="19"/>
      <c r="G2834" s="20"/>
    </row>
    <row r="2835" spans="1:8">
      <c r="A2835" s="211" t="s">
        <v>497</v>
      </c>
      <c r="B2835" s="216" t="str">
        <f ca="1">_xlfn.CONCAT(B2820,A2835)</f>
        <v>104A3C67-N</v>
      </c>
      <c r="C2835" s="17"/>
      <c r="D2835" s="184"/>
      <c r="E2835" s="197"/>
      <c r="F2835" s="19"/>
      <c r="G2835" s="20"/>
    </row>
    <row r="2836" spans="1:8">
      <c r="A2836" s="211" t="s">
        <v>498</v>
      </c>
      <c r="B2836" s="216" t="str">
        <f ca="1">_xlfn.CONCAT(B2820,A2836)</f>
        <v>104A3C67-O</v>
      </c>
      <c r="C2836" s="17"/>
      <c r="D2836" s="184"/>
      <c r="E2836" s="197"/>
      <c r="F2836" s="19"/>
      <c r="G2836" s="20"/>
    </row>
    <row r="2837" spans="1:8">
      <c r="A2837" s="211" t="s">
        <v>499</v>
      </c>
      <c r="B2837" s="216" t="str">
        <f ca="1">_xlfn.CONCAT(B2820,A2837)</f>
        <v>104A3C67-P</v>
      </c>
      <c r="C2837" s="17"/>
      <c r="D2837" s="184"/>
      <c r="E2837" s="197"/>
      <c r="F2837" s="19"/>
      <c r="G2837" s="20"/>
    </row>
    <row r="2838" spans="1:8">
      <c r="A2838" s="211" t="s">
        <v>500</v>
      </c>
      <c r="B2838" s="216" t="str">
        <f ca="1">_xlfn.CONCAT(B2820,A2838)</f>
        <v>104A3C67-Q</v>
      </c>
      <c r="C2838" s="17"/>
      <c r="D2838" s="184"/>
      <c r="E2838" s="197"/>
      <c r="F2838" s="19"/>
      <c r="G2838" s="20"/>
    </row>
    <row r="2839" spans="1:8">
      <c r="A2839" s="211" t="s">
        <v>501</v>
      </c>
      <c r="B2839" s="216" t="str">
        <f ca="1">_xlfn.CONCAT(B2820,A2839)</f>
        <v>104A3C67-R</v>
      </c>
      <c r="C2839" s="17"/>
      <c r="D2839" s="184"/>
      <c r="E2839" s="197"/>
      <c r="F2839" s="19"/>
      <c r="G2839" s="20"/>
    </row>
    <row r="2840" spans="1:8">
      <c r="A2840" s="211" t="s">
        <v>502</v>
      </c>
      <c r="B2840" s="216" t="str">
        <f ca="1">_xlfn.CONCAT(B2820,A2840)</f>
        <v>104A3C67-S</v>
      </c>
      <c r="C2840" s="17"/>
      <c r="D2840" s="184"/>
      <c r="E2840" s="197"/>
      <c r="F2840" s="19"/>
      <c r="G2840" s="20"/>
    </row>
    <row r="2841" spans="1:8">
      <c r="A2841" s="211" t="s">
        <v>503</v>
      </c>
      <c r="B2841" s="216" t="str">
        <f ca="1">_xlfn.CONCAT(B2820,A2841)</f>
        <v>104A3C67-T</v>
      </c>
      <c r="C2841" s="17"/>
      <c r="D2841" s="184"/>
      <c r="E2841" s="197"/>
      <c r="F2841" s="19"/>
      <c r="G2841" s="20"/>
    </row>
    <row r="2842" spans="1:8" ht="14.25" thickBot="1">
      <c r="A2842" s="211" t="s">
        <v>504</v>
      </c>
      <c r="B2842" s="216" t="str">
        <f ca="1">_xlfn.CONCAT(B2820,A2842)</f>
        <v>104A3C67-U</v>
      </c>
      <c r="C2842" s="17"/>
      <c r="D2842" s="184"/>
      <c r="E2842" s="197"/>
      <c r="F2842" s="19"/>
      <c r="G2842" s="20"/>
    </row>
    <row r="2843" spans="1:8" ht="16.5" customHeight="1" thickBot="1">
      <c r="A2843" s="211" t="s">
        <v>505</v>
      </c>
      <c r="B2843" s="216" t="str">
        <f ca="1">_xlfn.CONCAT(B2820,A2843)</f>
        <v>104A3C67-V</v>
      </c>
      <c r="C2843" s="17" t="s">
        <v>17</v>
      </c>
      <c r="D2843" s="192" t="s">
        <v>17</v>
      </c>
      <c r="E2843" s="18"/>
      <c r="F2843" s="22" t="s">
        <v>18</v>
      </c>
      <c r="G2843" s="23">
        <f>SUM(G2822:G2842)</f>
        <v>68034.649999999994</v>
      </c>
    </row>
    <row r="2844" spans="1:8" ht="28.5" customHeight="1" thickBot="1">
      <c r="A2844" s="211" t="s">
        <v>506</v>
      </c>
      <c r="B2844" s="216" t="str">
        <f ca="1">_xlfn.CONCAT(B2820,A2844)</f>
        <v>104A3C67-W</v>
      </c>
      <c r="C2844" s="10" t="s">
        <v>19</v>
      </c>
      <c r="D2844" s="190"/>
      <c r="E2844" s="11"/>
      <c r="F2844" s="12"/>
      <c r="G2844" s="13"/>
    </row>
    <row r="2845" spans="1:8" s="47" customFormat="1" ht="23.25" customHeight="1" thickBot="1">
      <c r="A2845" s="211" t="s">
        <v>507</v>
      </c>
      <c r="B2845" s="216" t="str">
        <f ca="1">_xlfn.CONCAT(B2820,A2845)</f>
        <v>104A3C67-X</v>
      </c>
      <c r="C2845" s="14" t="s">
        <v>1</v>
      </c>
      <c r="D2845" s="15"/>
      <c r="E2845" s="15" t="s">
        <v>20</v>
      </c>
      <c r="F2845" s="16" t="s">
        <v>21</v>
      </c>
      <c r="G2845" s="15" t="s">
        <v>5</v>
      </c>
      <c r="H2845" s="215"/>
    </row>
    <row r="2846" spans="1:8">
      <c r="A2846" s="211" t="s">
        <v>508</v>
      </c>
      <c r="B2846" s="216" t="str">
        <f ca="1">_xlfn.CONCAT(B2820,A2846)</f>
        <v>104A3C67-Y</v>
      </c>
      <c r="C2846" s="24" t="s">
        <v>22</v>
      </c>
      <c r="D2846" s="184"/>
      <c r="E2846" s="25">
        <f>_xlfn.XLOOKUP(C2846,'H-MO'!B$7:B$30,'H-MO'!D$7:D$30,,0,1)</f>
        <v>2436.5624999999995</v>
      </c>
      <c r="F2846" s="19">
        <v>0.35</v>
      </c>
      <c r="G2846" s="33">
        <f t="shared" ref="G2846:G2851" si="83">+E2846*F2846</f>
        <v>852.79687499999977</v>
      </c>
    </row>
    <row r="2847" spans="1:8">
      <c r="A2847" s="211" t="s">
        <v>509</v>
      </c>
      <c r="B2847" s="216" t="str">
        <f ca="1">_xlfn.CONCAT(B2820,A2847)</f>
        <v>104A3C67-Z</v>
      </c>
      <c r="C2847" s="24" t="s">
        <v>23</v>
      </c>
      <c r="D2847" s="184"/>
      <c r="E2847" s="25">
        <f>_xlfn.XLOOKUP(C2847,'H-MO'!B$7:B$30,'H-MO'!D$7:D$30,,0,1)</f>
        <v>1461.9374999999998</v>
      </c>
      <c r="F2847" s="19">
        <v>0.12239304347826087</v>
      </c>
      <c r="G2847" s="33">
        <f t="shared" si="83"/>
        <v>178.93097999999998</v>
      </c>
    </row>
    <row r="2848" spans="1:8">
      <c r="A2848" s="211" t="s">
        <v>510</v>
      </c>
      <c r="B2848" s="216" t="str">
        <f ca="1">_xlfn.CONCAT(B2820,A2848)</f>
        <v>104A3C67-aa</v>
      </c>
      <c r="C2848" s="24" t="s">
        <v>24</v>
      </c>
      <c r="D2848" s="185"/>
      <c r="E2848" s="25">
        <f>_xlfn.XLOOKUP(C2848,'H-MO'!B$7:B$30,'H-MO'!D$7:D$30,,0,1)</f>
        <v>29238.749999999996</v>
      </c>
      <c r="F2848" s="28">
        <v>0.02</v>
      </c>
      <c r="G2848" s="33">
        <f t="shared" si="83"/>
        <v>584.77499999999998</v>
      </c>
    </row>
    <row r="2849" spans="1:8">
      <c r="A2849" s="211" t="s">
        <v>511</v>
      </c>
      <c r="B2849" s="216" t="str">
        <f ca="1">_xlfn.CONCAT(B2820,A2849)</f>
        <v>104A3C67-ab</v>
      </c>
      <c r="C2849" s="24" t="s">
        <v>25</v>
      </c>
      <c r="D2849" s="185"/>
      <c r="E2849" s="25">
        <f>_xlfn.XLOOKUP(C2849,'H-MO'!B$7:B$30,'H-MO'!D$7:D$30,,0,1)</f>
        <v>2761.4374999999995</v>
      </c>
      <c r="F2849" s="28">
        <v>0.35</v>
      </c>
      <c r="G2849" s="33">
        <f t="shared" si="83"/>
        <v>966.50312499999973</v>
      </c>
    </row>
    <row r="2850" spans="1:8">
      <c r="A2850" s="211" t="s">
        <v>512</v>
      </c>
      <c r="B2850" s="216" t="str">
        <f ca="1">_xlfn.CONCAT(B2820,A2850)</f>
        <v>104A3C67-ac</v>
      </c>
      <c r="C2850" s="24"/>
      <c r="D2850" s="185"/>
      <c r="E2850" s="29"/>
      <c r="F2850" s="28"/>
      <c r="G2850" s="33">
        <f t="shared" si="83"/>
        <v>0</v>
      </c>
    </row>
    <row r="2851" spans="1:8" ht="14.25" thickBot="1">
      <c r="A2851" s="211" t="s">
        <v>513</v>
      </c>
      <c r="B2851" s="216" t="str">
        <f ca="1">_xlfn.CONCAT(B2820,A2851)</f>
        <v>104A3C67-ad</v>
      </c>
      <c r="C2851" s="24"/>
      <c r="D2851" s="185"/>
      <c r="E2851" s="29"/>
      <c r="F2851" s="28"/>
      <c r="G2851" s="33">
        <f t="shared" si="83"/>
        <v>0</v>
      </c>
    </row>
    <row r="2852" spans="1:8" ht="16.5" customHeight="1" thickBot="1">
      <c r="A2852" s="211" t="s">
        <v>514</v>
      </c>
      <c r="B2852" s="216" t="str">
        <f ca="1">_xlfn.CONCAT(B2820,A2852)</f>
        <v>104A3C67-ae</v>
      </c>
      <c r="C2852" s="17"/>
      <c r="D2852" s="192"/>
      <c r="E2852" s="18"/>
      <c r="F2852" s="22" t="s">
        <v>26</v>
      </c>
      <c r="G2852" s="23">
        <f>SUM(G2846:G2851)</f>
        <v>2583.0059799999995</v>
      </c>
    </row>
    <row r="2853" spans="1:8" ht="28.5" customHeight="1" thickBot="1">
      <c r="A2853" s="211" t="s">
        <v>515</v>
      </c>
      <c r="B2853" s="216" t="str">
        <f ca="1">_xlfn.CONCAT(B2820,A2853)</f>
        <v>104A3C67-af</v>
      </c>
      <c r="C2853" s="10" t="s">
        <v>27</v>
      </c>
      <c r="D2853" s="190"/>
      <c r="E2853" s="11"/>
      <c r="F2853" s="12"/>
      <c r="G2853" s="13"/>
    </row>
    <row r="2854" spans="1:8" s="47" customFormat="1" ht="23.25" customHeight="1" thickBot="1">
      <c r="A2854" s="211" t="s">
        <v>516</v>
      </c>
      <c r="B2854" s="216" t="str">
        <f ca="1">_xlfn.CONCAT(B2820,A2854)</f>
        <v>104A3C67-ag</v>
      </c>
      <c r="C2854" s="14" t="s">
        <v>1</v>
      </c>
      <c r="D2854" s="15" t="s">
        <v>28</v>
      </c>
      <c r="E2854" s="15" t="s">
        <v>20</v>
      </c>
      <c r="F2854" s="16" t="s">
        <v>21</v>
      </c>
      <c r="G2854" s="15" t="s">
        <v>5</v>
      </c>
      <c r="H2854" s="215"/>
    </row>
    <row r="2855" spans="1:8">
      <c r="A2855" s="211" t="s">
        <v>517</v>
      </c>
      <c r="B2855" s="216" t="str">
        <f ca="1">_xlfn.CONCAT(B2820,A2855)</f>
        <v>104A3C67-ah</v>
      </c>
      <c r="C2855" s="30" t="s">
        <v>29</v>
      </c>
      <c r="D2855" s="186">
        <f>'H-MO'!$N$77</f>
        <v>725918.52892505517</v>
      </c>
      <c r="E2855" s="31">
        <f>+D2855/8</f>
        <v>90739.816115631897</v>
      </c>
      <c r="F2855" s="32">
        <v>0.5</v>
      </c>
      <c r="G2855" s="33">
        <f>+E2855*F2855</f>
        <v>45369.908057815948</v>
      </c>
    </row>
    <row r="2856" spans="1:8">
      <c r="A2856" s="211" t="s">
        <v>518</v>
      </c>
      <c r="B2856" s="216" t="str">
        <f ca="1">_xlfn.CONCAT(B2820,A2856)</f>
        <v>104A3C67-ai</v>
      </c>
      <c r="C2856" s="34" t="s">
        <v>30</v>
      </c>
      <c r="D2856" s="187">
        <f>'H-MO'!$N$86</f>
        <v>685561.39085756091</v>
      </c>
      <c r="E2856" s="29">
        <f>+D2856/8</f>
        <v>85695.173857195114</v>
      </c>
      <c r="F2856" s="28">
        <v>0.03</v>
      </c>
      <c r="G2856" s="33">
        <f>+E2856*F2856</f>
        <v>2570.8552157158533</v>
      </c>
    </row>
    <row r="2857" spans="1:8" ht="14.25" thickBot="1">
      <c r="A2857" s="211" t="s">
        <v>519</v>
      </c>
      <c r="B2857" s="216" t="str">
        <f ca="1">_xlfn.CONCAT(B2820,A2857)</f>
        <v>104A3C67-aj</v>
      </c>
      <c r="C2857" s="34"/>
      <c r="D2857" s="187"/>
      <c r="E2857" s="29"/>
      <c r="F2857" s="28"/>
      <c r="G2857" s="33">
        <f>+E2857*F2857</f>
        <v>0</v>
      </c>
    </row>
    <row r="2858" spans="1:8" ht="17.25" customHeight="1" thickBot="1">
      <c r="A2858" s="211" t="s">
        <v>520</v>
      </c>
      <c r="B2858" s="216" t="str">
        <f ca="1">_xlfn.CONCAT(B2820,A2858)</f>
        <v>104A3C67-ak</v>
      </c>
      <c r="C2858" s="34"/>
      <c r="D2858" s="185"/>
      <c r="E2858" s="26"/>
      <c r="F2858" s="36" t="s">
        <v>31</v>
      </c>
      <c r="G2858" s="23">
        <f>SUM(G2855:G2857)</f>
        <v>47940.763273531804</v>
      </c>
    </row>
    <row r="2859" spans="1:8" ht="14.25" thickBot="1">
      <c r="A2859" s="211" t="s">
        <v>521</v>
      </c>
      <c r="B2859" s="216" t="str">
        <f ca="1">_xlfn.CONCAT(B2820,A2859)</f>
        <v>104A3C67-al</v>
      </c>
      <c r="C2859" s="37"/>
      <c r="E2859" s="38"/>
      <c r="F2859" s="22"/>
      <c r="G2859" s="39"/>
    </row>
    <row r="2860" spans="1:8" ht="23.25" customHeight="1" thickBot="1">
      <c r="A2860" s="211" t="s">
        <v>522</v>
      </c>
      <c r="B2860" s="216" t="str">
        <f ca="1">_xlfn.CONCAT(B2820,A2860)</f>
        <v>104A3C67-am</v>
      </c>
      <c r="C2860" s="40"/>
      <c r="D2860" s="193"/>
      <c r="E2860" s="41"/>
      <c r="F2860" s="42"/>
      <c r="G2860" s="43">
        <f>+G2843+G2852+G2858</f>
        <v>118558.4192535318</v>
      </c>
    </row>
    <row r="2861" spans="1:8" ht="21.75" thickBot="1">
      <c r="B2861" s="212" t="s">
        <v>550</v>
      </c>
      <c r="C2861" s="2"/>
      <c r="D2861" s="183"/>
      <c r="F2861" s="4"/>
      <c r="G2861" s="5"/>
    </row>
    <row r="2862" spans="1:8" s="45" customFormat="1" ht="34.5" customHeight="1">
      <c r="A2862" s="213"/>
      <c r="B2862" s="214">
        <v>66</v>
      </c>
      <c r="C2862" s="242" t="str">
        <f ca="1">_xlfn.XLOOKUP(B2862,Cantidades!$A$10:$A$314,Cantidades!$C$10:$C$314,,0,1)</f>
        <v>Suministro e instalación de salida doble voz y datos con tubería. Incluye toma doble cat. 6A. Incluye caja de conexión, cable UTP cat. 6A, toma doble para datos cat 6A y demás accesrios para su correcta instalación, funcionamiento y señalización.</v>
      </c>
      <c r="D2862" s="243"/>
      <c r="E2862" s="243"/>
      <c r="F2862" s="243"/>
      <c r="G2862" s="244"/>
      <c r="H2862" s="213"/>
    </row>
    <row r="2863" spans="1:8" s="47" customFormat="1" ht="24.95" customHeight="1" thickBot="1">
      <c r="A2863" s="215"/>
      <c r="B2863" s="216" t="s">
        <v>550</v>
      </c>
      <c r="C2863" s="177"/>
      <c r="D2863" s="189"/>
      <c r="E2863" s="178"/>
      <c r="F2863" s="179" t="s">
        <v>636</v>
      </c>
      <c r="G2863" s="209" t="str">
        <f ca="1">B2864</f>
        <v>937EEB2-</v>
      </c>
      <c r="H2863" s="215"/>
    </row>
    <row r="2864" spans="1:8" ht="28.5" customHeight="1" thickBot="1">
      <c r="B2864" s="212" t="str">
        <f ca="1">_xlfn.XLOOKUP(C2862,Cantidades!$C$1:$C$314,Cantidades!$B$1:$B$314,"",0,1)</f>
        <v>937EEB2-</v>
      </c>
      <c r="C2864" s="10" t="s">
        <v>0</v>
      </c>
      <c r="D2864" s="190"/>
      <c r="E2864" s="11"/>
      <c r="F2864" s="12"/>
      <c r="G2864" s="13"/>
    </row>
    <row r="2865" spans="1:8" s="47" customFormat="1" ht="23.25" customHeight="1" thickBot="1">
      <c r="A2865" s="215"/>
      <c r="B2865" s="216" t="s">
        <v>550</v>
      </c>
      <c r="C2865" s="14" t="s">
        <v>1</v>
      </c>
      <c r="D2865" s="15" t="s">
        <v>2</v>
      </c>
      <c r="E2865" s="15" t="s">
        <v>3</v>
      </c>
      <c r="F2865" s="16" t="s">
        <v>4</v>
      </c>
      <c r="G2865" s="15" t="s">
        <v>5</v>
      </c>
      <c r="H2865" s="215"/>
    </row>
    <row r="2866" spans="1:8" ht="15">
      <c r="A2866" s="211" t="s">
        <v>484</v>
      </c>
      <c r="B2866" s="216" t="str">
        <f ca="1">_xlfn.CONCAT(B2864,A2866)</f>
        <v>937EEB2-A</v>
      </c>
      <c r="C2866" s="17" t="str">
        <f>_xlfn.XLOOKUP(H2866,'Materiales unitario'!$A$1:$A$2500,'Materiales unitario'!B$1:B$2500,,0,1)</f>
        <v>Tubo metálico ø3/4" EMT</v>
      </c>
      <c r="D2866" s="184" t="str">
        <f>_xlfn.XLOOKUP(H2866,'Materiales unitario'!A$1:A$2500,'Materiales unitario'!C$1:C$2500,,0,1)</f>
        <v>ml</v>
      </c>
      <c r="E2866" s="197">
        <f>_xlfn.XLOOKUP(H2866,'Materiales unitario'!$A$1:$A$2500,'Materiales unitario'!D$1:D$2500,,0,1)</f>
        <v>11733</v>
      </c>
      <c r="F2866" s="19">
        <v>1.05</v>
      </c>
      <c r="G2866" s="20">
        <f t="shared" ref="G2866:G2875" si="84">+E2866*F2866</f>
        <v>12319.65</v>
      </c>
      <c r="H2866" s="217" t="s">
        <v>388</v>
      </c>
    </row>
    <row r="2867" spans="1:8" ht="15">
      <c r="A2867" s="211" t="s">
        <v>485</v>
      </c>
      <c r="B2867" s="216" t="str">
        <f ca="1">_xlfn.CONCAT(B2864,A2867)</f>
        <v>937EEB2-B</v>
      </c>
      <c r="C2867" s="17" t="str">
        <f>_xlfn.XLOOKUP(H2867,'Materiales unitario'!$A$1:$A$2500,'Materiales unitario'!B$1:B$2500,,0,1)</f>
        <v>Unión metálica ø3/4" EMT</v>
      </c>
      <c r="D2867" s="184" t="str">
        <f>_xlfn.XLOOKUP(H2867,'Materiales unitario'!A$1:A$2500,'Materiales unitario'!C$1:C$2500,,0,1)</f>
        <v>un</v>
      </c>
      <c r="E2867" s="197">
        <f>_xlfn.XLOOKUP(H2867,'Materiales unitario'!$A$1:$A$2500,'Materiales unitario'!D$1:D$2500,,0,1)</f>
        <v>1800</v>
      </c>
      <c r="F2867" s="19">
        <v>0.35</v>
      </c>
      <c r="G2867" s="20">
        <f t="shared" si="84"/>
        <v>630</v>
      </c>
      <c r="H2867" s="217" t="s">
        <v>392</v>
      </c>
    </row>
    <row r="2868" spans="1:8" ht="15">
      <c r="A2868" s="211" t="s">
        <v>486</v>
      </c>
      <c r="B2868" s="216" t="str">
        <f ca="1">_xlfn.CONCAT(B2864,A2868)</f>
        <v>937EEB2-C</v>
      </c>
      <c r="C2868" s="17" t="str">
        <f>_xlfn.XLOOKUP(H2868,'Materiales unitario'!$A$1:$A$2500,'Materiales unitario'!B$1:B$2500,,0,1)</f>
        <v xml:space="preserve">Terminal metálico ø3/4" EMT </v>
      </c>
      <c r="D2868" s="184" t="str">
        <f>_xlfn.XLOOKUP(H2868,'Materiales unitario'!A$1:A$2500,'Materiales unitario'!C$1:C$2500,,0,1)</f>
        <v>un</v>
      </c>
      <c r="E2868" s="197">
        <f>_xlfn.XLOOKUP(H2868,'Materiales unitario'!$A$1:$A$2500,'Materiales unitario'!D$1:D$2500,,0,1)</f>
        <v>2200</v>
      </c>
      <c r="F2868" s="19">
        <v>0.1</v>
      </c>
      <c r="G2868" s="20">
        <f t="shared" si="84"/>
        <v>220</v>
      </c>
      <c r="H2868" s="217" t="s">
        <v>371</v>
      </c>
    </row>
    <row r="2869" spans="1:8" ht="15">
      <c r="A2869" s="211" t="s">
        <v>487</v>
      </c>
      <c r="B2869" s="216" t="str">
        <f ca="1">_xlfn.CONCAT(B2864,A2869)</f>
        <v>937EEB2-D</v>
      </c>
      <c r="C2869" s="17" t="str">
        <f>_xlfn.XLOOKUP(H2869,'Materiales unitario'!$A$1:$A$2500,'Materiales unitario'!B$1:B$2500,,0,1)</f>
        <v xml:space="preserve">Soporte Metálico Uniestruc Tubería ø3/4" </v>
      </c>
      <c r="D2869" s="184" t="str">
        <f>_xlfn.XLOOKUP(H2869,'Materiales unitario'!A$1:A$2500,'Materiales unitario'!C$1:C$2500,,0,1)</f>
        <v>un</v>
      </c>
      <c r="E2869" s="197">
        <f>_xlfn.XLOOKUP(H2869,'Materiales unitario'!$A$1:$A$2500,'Materiales unitario'!D$1:D$2500,,0,1)</f>
        <v>630</v>
      </c>
      <c r="F2869" s="19">
        <v>1.5</v>
      </c>
      <c r="G2869" s="20">
        <f t="shared" si="84"/>
        <v>945</v>
      </c>
      <c r="H2869" s="217" t="s">
        <v>356</v>
      </c>
    </row>
    <row r="2870" spans="1:8" ht="15">
      <c r="A2870" s="211" t="s">
        <v>488</v>
      </c>
      <c r="B2870" s="216" t="str">
        <f ca="1">_xlfn.CONCAT(B2864,A2870)</f>
        <v>937EEB2-E</v>
      </c>
      <c r="C2870" s="17" t="str">
        <f>_xlfn.XLOOKUP(H2870,'Materiales unitario'!$A$1:$A$2500,'Materiales unitario'!B$1:B$2500,,0,1)</f>
        <v>Face plate de 2 puertos CAT 6A</v>
      </c>
      <c r="D2870" s="184" t="str">
        <f>_xlfn.XLOOKUP(H2870,'Materiales unitario'!A$1:A$2500,'Materiales unitario'!C$1:C$2500,,0,1)</f>
        <v>un</v>
      </c>
      <c r="E2870" s="197">
        <f>_xlfn.XLOOKUP(H2870,'Materiales unitario'!$A$1:$A$2500,'Materiales unitario'!D$1:D$2500,,0,1)</f>
        <v>4600</v>
      </c>
      <c r="F2870" s="19">
        <v>1</v>
      </c>
      <c r="G2870" s="20">
        <f t="shared" si="84"/>
        <v>4600</v>
      </c>
      <c r="H2870" s="217" t="s">
        <v>740</v>
      </c>
    </row>
    <row r="2871" spans="1:8" ht="15">
      <c r="A2871" s="211" t="s">
        <v>489</v>
      </c>
      <c r="B2871" s="216" t="str">
        <f ca="1">_xlfn.CONCAT(B2864,A2871)</f>
        <v>937EEB2-F</v>
      </c>
      <c r="C2871" s="17" t="str">
        <f>_xlfn.XLOOKUP(H2871,'Materiales unitario'!$A$1:$A$2500,'Materiales unitario'!B$1:B$2500,,0,1)</f>
        <v>jack rj45 rojo CAT 6</v>
      </c>
      <c r="D2871" s="184" t="str">
        <f>_xlfn.XLOOKUP(H2871,'Materiales unitario'!A$1:A$2500,'Materiales unitario'!C$1:C$2500,,0,1)</f>
        <v>un</v>
      </c>
      <c r="E2871" s="197">
        <f>_xlfn.XLOOKUP(H2871,'Materiales unitario'!$A$1:$A$2500,'Materiales unitario'!D$1:D$2500,,0,1)</f>
        <v>15600</v>
      </c>
      <c r="F2871" s="19">
        <v>2</v>
      </c>
      <c r="G2871" s="20">
        <f t="shared" si="84"/>
        <v>31200</v>
      </c>
      <c r="H2871" s="217" t="s">
        <v>741</v>
      </c>
    </row>
    <row r="2872" spans="1:8" ht="15">
      <c r="A2872" s="211" t="s">
        <v>490</v>
      </c>
      <c r="B2872" s="216" t="str">
        <f ca="1">_xlfn.CONCAT(B2864,A2872)</f>
        <v>937EEB2-G</v>
      </c>
      <c r="C2872" s="17" t="str">
        <f>_xlfn.XLOOKUP(H2872,'Materiales unitario'!$A$1:$A$2500,'Materiales unitario'!B$1:B$2500,,0,1)</f>
        <v>Cable UTP CAT 6A</v>
      </c>
      <c r="D2872" s="184" t="str">
        <f>_xlfn.XLOOKUP(H2872,'Materiales unitario'!A$1:A$2500,'Materiales unitario'!C$1:C$2500,,0,1)</f>
        <v>ml</v>
      </c>
      <c r="E2872" s="197">
        <f>_xlfn.XLOOKUP(H2872,'Materiales unitario'!$A$1:$A$2500,'Materiales unitario'!D$1:D$2500,,0,1)</f>
        <v>2140</v>
      </c>
      <c r="F2872" s="19">
        <v>8</v>
      </c>
      <c r="G2872" s="20">
        <f t="shared" si="84"/>
        <v>17120</v>
      </c>
      <c r="H2872" s="217" t="s">
        <v>743</v>
      </c>
    </row>
    <row r="2873" spans="1:8" ht="15">
      <c r="A2873" s="211" t="s">
        <v>491</v>
      </c>
      <c r="B2873" s="216" t="str">
        <f ca="1">_xlfn.CONCAT(B2864,A2873)</f>
        <v>937EEB2-H</v>
      </c>
      <c r="C2873" s="17" t="str">
        <f>_xlfn.XLOOKUP(H2873,'Materiales unitario'!$A$1:$A$2500,'Materiales unitario'!B$1:B$2500,,0,1)</f>
        <v>Marquillas para circuito</v>
      </c>
      <c r="D2873" s="184" t="str">
        <f>_xlfn.XLOOKUP(H2873,'Materiales unitario'!A$1:A$2500,'Materiales unitario'!C$1:C$2500,,0,1)</f>
        <v>un</v>
      </c>
      <c r="E2873" s="197">
        <f>_xlfn.XLOOKUP(H2873,'Materiales unitario'!$A$1:$A$2500,'Materiales unitario'!D$1:D$2500,,0,1)</f>
        <v>1000</v>
      </c>
      <c r="F2873" s="19">
        <v>1</v>
      </c>
      <c r="G2873" s="20">
        <f t="shared" si="84"/>
        <v>1000</v>
      </c>
      <c r="H2873" s="217" t="s">
        <v>339</v>
      </c>
    </row>
    <row r="2874" spans="1:8" ht="15">
      <c r="A2874" s="211" t="s">
        <v>492</v>
      </c>
      <c r="B2874" s="216" t="str">
        <f ca="1">_xlfn.CONCAT(B2864,A2874)</f>
        <v>937EEB2-I</v>
      </c>
      <c r="C2874" s="17" t="str">
        <f>_xlfn.XLOOKUP(H2874,'Materiales unitario'!$A$1:$A$2500,'Materiales unitario'!B$1:B$2500,,0,1)</f>
        <v>Caja doble fondo 10x10</v>
      </c>
      <c r="D2874" s="184" t="str">
        <f>_xlfn.XLOOKUP(H2874,'Materiales unitario'!A$1:A$2500,'Materiales unitario'!C$1:C$2500,,0,1)</f>
        <v>un</v>
      </c>
      <c r="E2874" s="197">
        <f>_xlfn.XLOOKUP(H2874,'Materiales unitario'!$A$1:$A$2500,'Materiales unitario'!D$1:D$2500,,0,1)</f>
        <v>4970</v>
      </c>
      <c r="F2874" s="19">
        <v>1</v>
      </c>
      <c r="G2874" s="20">
        <f t="shared" si="84"/>
        <v>4970</v>
      </c>
      <c r="H2874" s="217" t="s">
        <v>746</v>
      </c>
    </row>
    <row r="2875" spans="1:8" ht="15">
      <c r="A2875" s="211" t="s">
        <v>493</v>
      </c>
      <c r="B2875" s="216" t="str">
        <f ca="1">_xlfn.CONCAT(B2864,A2875)</f>
        <v>937EEB2-J</v>
      </c>
      <c r="C2875" s="17" t="str">
        <f>_xlfn.XLOOKUP(H2875,'Materiales unitario'!$A$1:$A$2500,'Materiales unitario'!B$1:B$2500,,0,1)</f>
        <v>Suplemento galvanizado de ø1/4" (Cal. 24)</v>
      </c>
      <c r="D2875" s="184" t="str">
        <f>_xlfn.XLOOKUP(H2875,'Materiales unitario'!A$1:A$2500,'Materiales unitario'!C$1:C$2500,,0,1)</f>
        <v>un</v>
      </c>
      <c r="E2875" s="197">
        <f>_xlfn.XLOOKUP(H2875,'Materiales unitario'!$A$1:$A$2500,'Materiales unitario'!D$1:D$2500,,0,1)</f>
        <v>1200</v>
      </c>
      <c r="F2875" s="19">
        <v>1</v>
      </c>
      <c r="G2875" s="20">
        <f t="shared" si="84"/>
        <v>1200</v>
      </c>
      <c r="H2875" s="217" t="s">
        <v>609</v>
      </c>
    </row>
    <row r="2876" spans="1:8">
      <c r="A2876" s="211" t="s">
        <v>494</v>
      </c>
      <c r="B2876" s="216" t="str">
        <f ca="1">_xlfn.CONCAT(B2864,A2876)</f>
        <v>937EEB2-K</v>
      </c>
      <c r="C2876" s="17"/>
      <c r="D2876" s="184"/>
      <c r="E2876" s="197"/>
      <c r="F2876" s="19"/>
      <c r="G2876" s="20"/>
    </row>
    <row r="2877" spans="1:8">
      <c r="A2877" s="211" t="s">
        <v>495</v>
      </c>
      <c r="B2877" s="216" t="str">
        <f ca="1">_xlfn.CONCAT(B2864,A2877)</f>
        <v>937EEB2-L</v>
      </c>
      <c r="C2877" s="17"/>
      <c r="D2877" s="184"/>
      <c r="E2877" s="197"/>
      <c r="F2877" s="19"/>
      <c r="G2877" s="20"/>
    </row>
    <row r="2878" spans="1:8">
      <c r="A2878" s="211" t="s">
        <v>496</v>
      </c>
      <c r="B2878" s="216" t="str">
        <f ca="1">_xlfn.CONCAT(B2864,A2878)</f>
        <v>937EEB2-M</v>
      </c>
      <c r="C2878" s="17"/>
      <c r="D2878" s="184"/>
      <c r="E2878" s="197"/>
      <c r="F2878" s="19"/>
      <c r="G2878" s="20"/>
    </row>
    <row r="2879" spans="1:8">
      <c r="A2879" s="211" t="s">
        <v>497</v>
      </c>
      <c r="B2879" s="216" t="str">
        <f ca="1">_xlfn.CONCAT(B2864,A2879)</f>
        <v>937EEB2-N</v>
      </c>
      <c r="C2879" s="17"/>
      <c r="D2879" s="184"/>
      <c r="E2879" s="197"/>
      <c r="F2879" s="19"/>
      <c r="G2879" s="20"/>
    </row>
    <row r="2880" spans="1:8">
      <c r="A2880" s="211" t="s">
        <v>498</v>
      </c>
      <c r="B2880" s="216" t="str">
        <f ca="1">_xlfn.CONCAT(B2864,A2880)</f>
        <v>937EEB2-O</v>
      </c>
      <c r="C2880" s="17"/>
      <c r="D2880" s="184"/>
      <c r="E2880" s="197"/>
      <c r="F2880" s="19"/>
      <c r="G2880" s="20"/>
    </row>
    <row r="2881" spans="1:8">
      <c r="A2881" s="211" t="s">
        <v>499</v>
      </c>
      <c r="B2881" s="216" t="str">
        <f ca="1">_xlfn.CONCAT(B2864,A2881)</f>
        <v>937EEB2-P</v>
      </c>
      <c r="C2881" s="17"/>
      <c r="D2881" s="184"/>
      <c r="E2881" s="197"/>
      <c r="F2881" s="19"/>
      <c r="G2881" s="20"/>
    </row>
    <row r="2882" spans="1:8">
      <c r="A2882" s="211" t="s">
        <v>500</v>
      </c>
      <c r="B2882" s="216" t="str">
        <f ca="1">_xlfn.CONCAT(B2864,A2882)</f>
        <v>937EEB2-Q</v>
      </c>
      <c r="C2882" s="17"/>
      <c r="D2882" s="184"/>
      <c r="E2882" s="197"/>
      <c r="F2882" s="19"/>
      <c r="G2882" s="20"/>
    </row>
    <row r="2883" spans="1:8">
      <c r="A2883" s="211" t="s">
        <v>501</v>
      </c>
      <c r="B2883" s="216" t="str">
        <f ca="1">_xlfn.CONCAT(B2864,A2883)</f>
        <v>937EEB2-R</v>
      </c>
      <c r="C2883" s="17"/>
      <c r="D2883" s="184"/>
      <c r="E2883" s="197"/>
      <c r="F2883" s="19"/>
      <c r="G2883" s="20"/>
    </row>
    <row r="2884" spans="1:8">
      <c r="A2884" s="211" t="s">
        <v>502</v>
      </c>
      <c r="B2884" s="216" t="str">
        <f ca="1">_xlfn.CONCAT(B2864,A2884)</f>
        <v>937EEB2-S</v>
      </c>
      <c r="C2884" s="17"/>
      <c r="D2884" s="184"/>
      <c r="E2884" s="197"/>
      <c r="F2884" s="19"/>
      <c r="G2884" s="20"/>
    </row>
    <row r="2885" spans="1:8">
      <c r="A2885" s="211" t="s">
        <v>503</v>
      </c>
      <c r="B2885" s="216" t="str">
        <f ca="1">_xlfn.CONCAT(B2864,A2885)</f>
        <v>937EEB2-T</v>
      </c>
      <c r="C2885" s="17"/>
      <c r="D2885" s="184"/>
      <c r="E2885" s="197"/>
      <c r="F2885" s="19"/>
      <c r="G2885" s="20"/>
    </row>
    <row r="2886" spans="1:8" ht="14.25" thickBot="1">
      <c r="A2886" s="211" t="s">
        <v>504</v>
      </c>
      <c r="B2886" s="216" t="str">
        <f ca="1">_xlfn.CONCAT(B2864,A2886)</f>
        <v>937EEB2-U</v>
      </c>
      <c r="C2886" s="17"/>
      <c r="D2886" s="184"/>
      <c r="E2886" s="197"/>
      <c r="F2886" s="19"/>
      <c r="G2886" s="20"/>
    </row>
    <row r="2887" spans="1:8" ht="16.5" customHeight="1" thickBot="1">
      <c r="A2887" s="211" t="s">
        <v>505</v>
      </c>
      <c r="B2887" s="216" t="str">
        <f ca="1">_xlfn.CONCAT(B2864,A2887)</f>
        <v>937EEB2-V</v>
      </c>
      <c r="C2887" s="17" t="s">
        <v>17</v>
      </c>
      <c r="D2887" s="192" t="s">
        <v>17</v>
      </c>
      <c r="E2887" s="18"/>
      <c r="F2887" s="22" t="s">
        <v>18</v>
      </c>
      <c r="G2887" s="23">
        <f>SUM(G2866:G2886)</f>
        <v>74204.649999999994</v>
      </c>
    </row>
    <row r="2888" spans="1:8" ht="28.5" customHeight="1" thickBot="1">
      <c r="A2888" s="211" t="s">
        <v>506</v>
      </c>
      <c r="B2888" s="216" t="str">
        <f ca="1">_xlfn.CONCAT(B2864,A2888)</f>
        <v>937EEB2-W</v>
      </c>
      <c r="C2888" s="10" t="s">
        <v>19</v>
      </c>
      <c r="D2888" s="190"/>
      <c r="E2888" s="11"/>
      <c r="F2888" s="12"/>
      <c r="G2888" s="13"/>
    </row>
    <row r="2889" spans="1:8" s="47" customFormat="1" ht="23.25" customHeight="1" thickBot="1">
      <c r="A2889" s="211" t="s">
        <v>507</v>
      </c>
      <c r="B2889" s="216" t="str">
        <f ca="1">_xlfn.CONCAT(B2864,A2889)</f>
        <v>937EEB2-X</v>
      </c>
      <c r="C2889" s="14" t="s">
        <v>1</v>
      </c>
      <c r="D2889" s="15"/>
      <c r="E2889" s="15" t="s">
        <v>20</v>
      </c>
      <c r="F2889" s="16" t="s">
        <v>21</v>
      </c>
      <c r="G2889" s="15" t="s">
        <v>5</v>
      </c>
      <c r="H2889" s="215"/>
    </row>
    <row r="2890" spans="1:8">
      <c r="A2890" s="211" t="s">
        <v>508</v>
      </c>
      <c r="B2890" s="216" t="str">
        <f ca="1">_xlfn.CONCAT(B2864,A2890)</f>
        <v>937EEB2-Y</v>
      </c>
      <c r="C2890" s="24" t="s">
        <v>22</v>
      </c>
      <c r="D2890" s="184"/>
      <c r="E2890" s="25">
        <f>_xlfn.XLOOKUP(C2890,'H-MO'!B$7:B$30,'H-MO'!D$7:D$30,,0,1)</f>
        <v>2436.5624999999995</v>
      </c>
      <c r="F2890" s="19">
        <v>0.35</v>
      </c>
      <c r="G2890" s="33">
        <f t="shared" ref="G2890:G2895" si="85">+E2890*F2890</f>
        <v>852.79687499999977</v>
      </c>
    </row>
    <row r="2891" spans="1:8">
      <c r="A2891" s="211" t="s">
        <v>509</v>
      </c>
      <c r="B2891" s="216" t="str">
        <f ca="1">_xlfn.CONCAT(B2864,A2891)</f>
        <v>937EEB2-Z</v>
      </c>
      <c r="C2891" s="24" t="s">
        <v>23</v>
      </c>
      <c r="D2891" s="184"/>
      <c r="E2891" s="25">
        <f>_xlfn.XLOOKUP(C2891,'H-MO'!B$7:B$30,'H-MO'!D$7:D$30,,0,1)</f>
        <v>1461.9374999999998</v>
      </c>
      <c r="F2891" s="19">
        <v>0.12239304347826087</v>
      </c>
      <c r="G2891" s="33">
        <f t="shared" si="85"/>
        <v>178.93097999999998</v>
      </c>
    </row>
    <row r="2892" spans="1:8">
      <c r="A2892" s="211" t="s">
        <v>510</v>
      </c>
      <c r="B2892" s="216" t="str">
        <f ca="1">_xlfn.CONCAT(B2864,A2892)</f>
        <v>937EEB2-aa</v>
      </c>
      <c r="C2892" s="24" t="s">
        <v>24</v>
      </c>
      <c r="D2892" s="185"/>
      <c r="E2892" s="25">
        <f>_xlfn.XLOOKUP(C2892,'H-MO'!B$7:B$30,'H-MO'!D$7:D$30,,0,1)</f>
        <v>29238.749999999996</v>
      </c>
      <c r="F2892" s="28">
        <v>0.02</v>
      </c>
      <c r="G2892" s="33">
        <f t="shared" si="85"/>
        <v>584.77499999999998</v>
      </c>
    </row>
    <row r="2893" spans="1:8">
      <c r="A2893" s="211" t="s">
        <v>511</v>
      </c>
      <c r="B2893" s="216" t="str">
        <f ca="1">_xlfn.CONCAT(B2864,A2893)</f>
        <v>937EEB2-ab</v>
      </c>
      <c r="C2893" s="24" t="s">
        <v>25</v>
      </c>
      <c r="D2893" s="185"/>
      <c r="E2893" s="25">
        <f>_xlfn.XLOOKUP(C2893,'H-MO'!B$7:B$30,'H-MO'!D$7:D$30,,0,1)</f>
        <v>2761.4374999999995</v>
      </c>
      <c r="F2893" s="28">
        <v>0.35</v>
      </c>
      <c r="G2893" s="33">
        <f t="shared" si="85"/>
        <v>966.50312499999973</v>
      </c>
    </row>
    <row r="2894" spans="1:8">
      <c r="A2894" s="211" t="s">
        <v>512</v>
      </c>
      <c r="B2894" s="216" t="str">
        <f ca="1">_xlfn.CONCAT(B2864,A2894)</f>
        <v>937EEB2-ac</v>
      </c>
      <c r="C2894" s="24"/>
      <c r="D2894" s="185"/>
      <c r="E2894" s="29"/>
      <c r="F2894" s="28"/>
      <c r="G2894" s="33">
        <f t="shared" si="85"/>
        <v>0</v>
      </c>
    </row>
    <row r="2895" spans="1:8" ht="14.25" thickBot="1">
      <c r="A2895" s="211" t="s">
        <v>513</v>
      </c>
      <c r="B2895" s="216" t="str">
        <f ca="1">_xlfn.CONCAT(B2864,A2895)</f>
        <v>937EEB2-ad</v>
      </c>
      <c r="C2895" s="24"/>
      <c r="D2895" s="185"/>
      <c r="E2895" s="29"/>
      <c r="F2895" s="28"/>
      <c r="G2895" s="33">
        <f t="shared" si="85"/>
        <v>0</v>
      </c>
    </row>
    <row r="2896" spans="1:8" ht="16.5" customHeight="1" thickBot="1">
      <c r="A2896" s="211" t="s">
        <v>514</v>
      </c>
      <c r="B2896" s="216" t="str">
        <f ca="1">_xlfn.CONCAT(B2864,A2896)</f>
        <v>937EEB2-ae</v>
      </c>
      <c r="C2896" s="17"/>
      <c r="D2896" s="192"/>
      <c r="E2896" s="18"/>
      <c r="F2896" s="22" t="s">
        <v>26</v>
      </c>
      <c r="G2896" s="23">
        <f>SUM(G2890:G2895)</f>
        <v>2583.0059799999995</v>
      </c>
    </row>
    <row r="2897" spans="1:8" ht="28.5" customHeight="1" thickBot="1">
      <c r="A2897" s="211" t="s">
        <v>515</v>
      </c>
      <c r="B2897" s="216" t="str">
        <f ca="1">_xlfn.CONCAT(B2864,A2897)</f>
        <v>937EEB2-af</v>
      </c>
      <c r="C2897" s="10" t="s">
        <v>27</v>
      </c>
      <c r="D2897" s="190"/>
      <c r="E2897" s="11"/>
      <c r="F2897" s="12"/>
      <c r="G2897" s="13"/>
    </row>
    <row r="2898" spans="1:8" s="47" customFormat="1" ht="23.25" customHeight="1" thickBot="1">
      <c r="A2898" s="211" t="s">
        <v>516</v>
      </c>
      <c r="B2898" s="216" t="str">
        <f ca="1">_xlfn.CONCAT(B2864,A2898)</f>
        <v>937EEB2-ag</v>
      </c>
      <c r="C2898" s="14" t="s">
        <v>1</v>
      </c>
      <c r="D2898" s="15" t="s">
        <v>28</v>
      </c>
      <c r="E2898" s="15" t="s">
        <v>20</v>
      </c>
      <c r="F2898" s="16" t="s">
        <v>21</v>
      </c>
      <c r="G2898" s="15" t="s">
        <v>5</v>
      </c>
      <c r="H2898" s="215"/>
    </row>
    <row r="2899" spans="1:8">
      <c r="A2899" s="211" t="s">
        <v>517</v>
      </c>
      <c r="B2899" s="216" t="str">
        <f ca="1">_xlfn.CONCAT(B2864,A2899)</f>
        <v>937EEB2-ah</v>
      </c>
      <c r="C2899" s="30" t="s">
        <v>29</v>
      </c>
      <c r="D2899" s="186">
        <f>'H-MO'!$N$77</f>
        <v>725918.52892505517</v>
      </c>
      <c r="E2899" s="31">
        <f>+D2899/8</f>
        <v>90739.816115631897</v>
      </c>
      <c r="F2899" s="32">
        <v>0.5</v>
      </c>
      <c r="G2899" s="33">
        <f>+E2899*F2899</f>
        <v>45369.908057815948</v>
      </c>
    </row>
    <row r="2900" spans="1:8">
      <c r="A2900" s="211" t="s">
        <v>518</v>
      </c>
      <c r="B2900" s="216" t="str">
        <f ca="1">_xlfn.CONCAT(B2864,A2900)</f>
        <v>937EEB2-ai</v>
      </c>
      <c r="C2900" s="34" t="s">
        <v>30</v>
      </c>
      <c r="D2900" s="187">
        <f>'H-MO'!$N$86</f>
        <v>685561.39085756091</v>
      </c>
      <c r="E2900" s="29">
        <f>+D2900/8</f>
        <v>85695.173857195114</v>
      </c>
      <c r="F2900" s="28">
        <v>0.03</v>
      </c>
      <c r="G2900" s="33">
        <f>+E2900*F2900</f>
        <v>2570.8552157158533</v>
      </c>
    </row>
    <row r="2901" spans="1:8" ht="14.25" thickBot="1">
      <c r="A2901" s="211" t="s">
        <v>519</v>
      </c>
      <c r="B2901" s="216" t="str">
        <f ca="1">_xlfn.CONCAT(B2864,A2901)</f>
        <v>937EEB2-aj</v>
      </c>
      <c r="C2901" s="34"/>
      <c r="D2901" s="187"/>
      <c r="E2901" s="29"/>
      <c r="F2901" s="28"/>
      <c r="G2901" s="33">
        <f>+E2901*F2901</f>
        <v>0</v>
      </c>
    </row>
    <row r="2902" spans="1:8" ht="17.25" customHeight="1" thickBot="1">
      <c r="A2902" s="211" t="s">
        <v>520</v>
      </c>
      <c r="B2902" s="216" t="str">
        <f ca="1">_xlfn.CONCAT(B2864,A2902)</f>
        <v>937EEB2-ak</v>
      </c>
      <c r="C2902" s="34"/>
      <c r="D2902" s="185"/>
      <c r="E2902" s="26"/>
      <c r="F2902" s="36" t="s">
        <v>31</v>
      </c>
      <c r="G2902" s="23">
        <f>SUM(G2899:G2901)</f>
        <v>47940.763273531804</v>
      </c>
    </row>
    <row r="2903" spans="1:8" ht="14.25" thickBot="1">
      <c r="A2903" s="211" t="s">
        <v>521</v>
      </c>
      <c r="B2903" s="216" t="str">
        <f ca="1">_xlfn.CONCAT(B2864,A2903)</f>
        <v>937EEB2-al</v>
      </c>
      <c r="C2903" s="37"/>
      <c r="E2903" s="38"/>
      <c r="F2903" s="22"/>
      <c r="G2903" s="39"/>
    </row>
    <row r="2904" spans="1:8" ht="23.25" customHeight="1" thickBot="1">
      <c r="A2904" s="211" t="s">
        <v>522</v>
      </c>
      <c r="B2904" s="216" t="str">
        <f ca="1">_xlfn.CONCAT(B2864,A2904)</f>
        <v>937EEB2-am</v>
      </c>
      <c r="C2904" s="40"/>
      <c r="D2904" s="193"/>
      <c r="E2904" s="41"/>
      <c r="F2904" s="42"/>
      <c r="G2904" s="43">
        <f>+G2887+G2896+G2902</f>
        <v>124728.4192535318</v>
      </c>
    </row>
    <row r="2905" spans="1:8" ht="21.75" thickBot="1">
      <c r="B2905" s="212" t="s">
        <v>550</v>
      </c>
      <c r="C2905" s="2"/>
      <c r="D2905" s="183"/>
      <c r="F2905" s="4"/>
      <c r="G2905" s="5"/>
    </row>
    <row r="2906" spans="1:8" s="45" customFormat="1" ht="34.5" customHeight="1">
      <c r="A2906" s="213"/>
      <c r="B2906" s="214">
        <v>67</v>
      </c>
      <c r="C2906" s="242" t="str">
        <f ca="1">_xlfn.XLOOKUP(B2906,Cantidades!$A$10:$A$314,Cantidades!$C$10:$C$314,,0,1)</f>
        <v>Suministro e instalación de tubería PVC SCH40 1".</v>
      </c>
      <c r="D2906" s="243"/>
      <c r="E2906" s="243"/>
      <c r="F2906" s="243"/>
      <c r="G2906" s="244"/>
      <c r="H2906" s="213"/>
    </row>
    <row r="2907" spans="1:8" s="47" customFormat="1" ht="24.95" customHeight="1" thickBot="1">
      <c r="A2907" s="215"/>
      <c r="B2907" s="216" t="s">
        <v>550</v>
      </c>
      <c r="C2907" s="177"/>
      <c r="D2907" s="189"/>
      <c r="E2907" s="178"/>
      <c r="F2907" s="179" t="s">
        <v>636</v>
      </c>
      <c r="G2907" s="209" t="str">
        <f ca="1">B2908</f>
        <v>3A4A8F88-</v>
      </c>
      <c r="H2907" s="215"/>
    </row>
    <row r="2908" spans="1:8" ht="28.5" customHeight="1" thickBot="1">
      <c r="B2908" s="212" t="str">
        <f ca="1">_xlfn.XLOOKUP(C2906,Cantidades!$C$1:$C$314,Cantidades!$B$1:$B$314,"",0,1)</f>
        <v>3A4A8F88-</v>
      </c>
      <c r="C2908" s="10" t="s">
        <v>0</v>
      </c>
      <c r="D2908" s="190"/>
      <c r="E2908" s="11"/>
      <c r="F2908" s="12"/>
      <c r="G2908" s="13"/>
    </row>
    <row r="2909" spans="1:8" s="47" customFormat="1" ht="23.25" customHeight="1" thickBot="1">
      <c r="A2909" s="215"/>
      <c r="B2909" s="216" t="s">
        <v>550</v>
      </c>
      <c r="C2909" s="14" t="s">
        <v>1</v>
      </c>
      <c r="D2909" s="15" t="s">
        <v>2</v>
      </c>
      <c r="E2909" s="15" t="s">
        <v>3</v>
      </c>
      <c r="F2909" s="16" t="s">
        <v>4</v>
      </c>
      <c r="G2909" s="15" t="s">
        <v>5</v>
      </c>
      <c r="H2909" s="215"/>
    </row>
    <row r="2910" spans="1:8" ht="15">
      <c r="A2910" s="211" t="s">
        <v>484</v>
      </c>
      <c r="B2910" s="216" t="str">
        <f ca="1">_xlfn.CONCAT(B2908,A2910)</f>
        <v>3A4A8F88-A</v>
      </c>
      <c r="C2910" s="17" t="str">
        <f>_xlfn.XLOOKUP(H2910,'Materiales unitario'!$A$1:$A$2500,'Materiales unitario'!B$1:B$2500,,0,1)</f>
        <v>Tubo Conduit PVC SCH40 ø1"</v>
      </c>
      <c r="D2910" s="184" t="str">
        <f>_xlfn.XLOOKUP(H2910,'Materiales unitario'!A$1:A$2500,'Materiales unitario'!C$1:C$2500,,0,1)</f>
        <v>ml</v>
      </c>
      <c r="E2910" s="197">
        <f>_xlfn.XLOOKUP(H2910,'Materiales unitario'!$A$1:$A$2500,'Materiales unitario'!D$1:D$2500,,0,1)</f>
        <v>5866.666666666667</v>
      </c>
      <c r="F2910" s="19">
        <v>1.05</v>
      </c>
      <c r="G2910" s="20">
        <f>+E2910*F2910</f>
        <v>6160.0000000000009</v>
      </c>
      <c r="H2910" s="217" t="s">
        <v>756</v>
      </c>
    </row>
    <row r="2911" spans="1:8" ht="15">
      <c r="A2911" s="211" t="s">
        <v>485</v>
      </c>
      <c r="B2911" s="216" t="str">
        <f ca="1">_xlfn.CONCAT(B2908,A2911)</f>
        <v>3A4A8F88-B</v>
      </c>
      <c r="C2911" s="17" t="str">
        <f>_xlfn.XLOOKUP(H2911,'Materiales unitario'!$A$1:$A$2500,'Materiales unitario'!B$1:B$2500,,0,1)</f>
        <v>Adaptador terminal PVC SCH40  ø1"</v>
      </c>
      <c r="D2911" s="184" t="str">
        <f>_xlfn.XLOOKUP(H2911,'Materiales unitario'!A$1:A$2500,'Materiales unitario'!C$1:C$2500,,0,1)</f>
        <v>un</v>
      </c>
      <c r="E2911" s="197">
        <f>_xlfn.XLOOKUP(H2911,'Materiales unitario'!$A$1:$A$2500,'Materiales unitario'!D$1:D$2500,,0,1)</f>
        <v>1700</v>
      </c>
      <c r="F2911" s="19">
        <v>0.1</v>
      </c>
      <c r="G2911" s="20">
        <f>+E2911*F2911</f>
        <v>170</v>
      </c>
      <c r="H2911" s="217" t="s">
        <v>757</v>
      </c>
    </row>
    <row r="2912" spans="1:8" ht="15">
      <c r="A2912" s="211" t="s">
        <v>486</v>
      </c>
      <c r="B2912" s="216" t="str">
        <f ca="1">_xlfn.CONCAT(B2908,A2912)</f>
        <v>3A4A8F88-C</v>
      </c>
      <c r="C2912" s="17" t="str">
        <f>_xlfn.XLOOKUP(H2912,'Materiales unitario'!$A$1:$A$2500,'Materiales unitario'!B$1:B$2500,,0,1)</f>
        <v>Curva PVC SCH40 ø1"</v>
      </c>
      <c r="D2912" s="184" t="str">
        <f>_xlfn.XLOOKUP(H2912,'Materiales unitario'!A$1:A$2500,'Materiales unitario'!C$1:C$2500,,0,1)</f>
        <v>un</v>
      </c>
      <c r="E2912" s="197">
        <f>_xlfn.XLOOKUP(H2912,'Materiales unitario'!$A$1:$A$2500,'Materiales unitario'!D$1:D$2500,,0,1)</f>
        <v>2250</v>
      </c>
      <c r="F2912" s="19">
        <v>7.0000000000000007E-2</v>
      </c>
      <c r="G2912" s="20">
        <f>+E2912*F2912</f>
        <v>157.50000000000003</v>
      </c>
      <c r="H2912" s="217" t="s">
        <v>758</v>
      </c>
    </row>
    <row r="2913" spans="1:8" ht="15">
      <c r="A2913" s="211" t="s">
        <v>487</v>
      </c>
      <c r="B2913" s="216" t="str">
        <f ca="1">_xlfn.CONCAT(B2908,A2913)</f>
        <v>3A4A8F88-D</v>
      </c>
      <c r="C2913" s="17" t="str">
        <f>_xlfn.XLOOKUP(H2913,'Materiales unitario'!$A$1:$A$2500,'Materiales unitario'!B$1:B$2500,,0,1)</f>
        <v xml:space="preserve">Soporte Metálico Uniestruc Tubería ø1" </v>
      </c>
      <c r="D2913" s="184" t="str">
        <f>_xlfn.XLOOKUP(H2913,'Materiales unitario'!A$1:A$2500,'Materiales unitario'!C$1:C$2500,,0,1)</f>
        <v>un</v>
      </c>
      <c r="E2913" s="197">
        <f>_xlfn.XLOOKUP(H2913,'Materiales unitario'!$A$1:$A$2500,'Materiales unitario'!D$1:D$2500,,0,1)</f>
        <v>1300</v>
      </c>
      <c r="F2913" s="19">
        <v>0.3</v>
      </c>
      <c r="G2913" s="20">
        <f>+E2913*F2913</f>
        <v>390</v>
      </c>
      <c r="H2913" s="217" t="s">
        <v>579</v>
      </c>
    </row>
    <row r="2914" spans="1:8" ht="15">
      <c r="A2914" s="211" t="s">
        <v>488</v>
      </c>
      <c r="B2914" s="216" t="str">
        <f ca="1">_xlfn.CONCAT(B2908,A2914)</f>
        <v>3A4A8F88-E</v>
      </c>
      <c r="C2914" s="17" t="str">
        <f>_xlfn.XLOOKUP(H2914,'Materiales unitario'!$A$1:$A$2500,'Materiales unitario'!B$1:B$2500,,0,1)</f>
        <v>Soldadura liquida PVC 1/4 de galón</v>
      </c>
      <c r="D2914" s="184" t="str">
        <f>_xlfn.XLOOKUP(H2914,'Materiales unitario'!A$1:A$2500,'Materiales unitario'!C$1:C$2500,,0,1)</f>
        <v>un</v>
      </c>
      <c r="E2914" s="197">
        <f>_xlfn.XLOOKUP(H2914,'Materiales unitario'!$A$1:$A$2500,'Materiales unitario'!D$1:D$2500,,0,1)</f>
        <v>60900</v>
      </c>
      <c r="F2914" s="19">
        <v>5.0000000000000001E-3</v>
      </c>
      <c r="G2914" s="20">
        <f>+E2914*F2914</f>
        <v>304.5</v>
      </c>
      <c r="H2914" s="217" t="s">
        <v>530</v>
      </c>
    </row>
    <row r="2915" spans="1:8" ht="15">
      <c r="A2915" s="211" t="s">
        <v>489</v>
      </c>
      <c r="B2915" s="216" t="str">
        <f ca="1">_xlfn.CONCAT(B2908,A2915)</f>
        <v>3A4A8F88-F</v>
      </c>
      <c r="C2915" s="17"/>
      <c r="D2915" s="184"/>
      <c r="E2915" s="197"/>
      <c r="F2915" s="19"/>
      <c r="G2915" s="20"/>
      <c r="H2915" s="217"/>
    </row>
    <row r="2916" spans="1:8">
      <c r="A2916" s="211" t="s">
        <v>490</v>
      </c>
      <c r="B2916" s="216" t="str">
        <f ca="1">_xlfn.CONCAT(B2908,A2916)</f>
        <v>3A4A8F88-G</v>
      </c>
      <c r="C2916" s="17"/>
      <c r="D2916" s="184"/>
      <c r="E2916" s="197"/>
      <c r="F2916" s="19"/>
      <c r="G2916" s="20"/>
    </row>
    <row r="2917" spans="1:8">
      <c r="A2917" s="211" t="s">
        <v>491</v>
      </c>
      <c r="B2917" s="216" t="str">
        <f ca="1">_xlfn.CONCAT(B2908,A2917)</f>
        <v>3A4A8F88-H</v>
      </c>
      <c r="C2917" s="17"/>
      <c r="D2917" s="184"/>
      <c r="E2917" s="197"/>
      <c r="F2917" s="19"/>
      <c r="G2917" s="20"/>
    </row>
    <row r="2918" spans="1:8">
      <c r="A2918" s="211" t="s">
        <v>492</v>
      </c>
      <c r="B2918" s="216" t="str">
        <f ca="1">_xlfn.CONCAT(B2908,A2918)</f>
        <v>3A4A8F88-I</v>
      </c>
      <c r="C2918" s="17"/>
      <c r="D2918" s="184"/>
      <c r="E2918" s="197"/>
      <c r="F2918" s="19"/>
      <c r="G2918" s="20"/>
    </row>
    <row r="2919" spans="1:8">
      <c r="A2919" s="211" t="s">
        <v>493</v>
      </c>
      <c r="B2919" s="216" t="str">
        <f ca="1">_xlfn.CONCAT(B2908,A2919)</f>
        <v>3A4A8F88-J</v>
      </c>
      <c r="C2919" s="17"/>
      <c r="D2919" s="184"/>
      <c r="E2919" s="197"/>
      <c r="F2919" s="19"/>
      <c r="G2919" s="20"/>
    </row>
    <row r="2920" spans="1:8">
      <c r="A2920" s="211" t="s">
        <v>494</v>
      </c>
      <c r="B2920" s="216" t="str">
        <f ca="1">_xlfn.CONCAT(B2908,A2920)</f>
        <v>3A4A8F88-K</v>
      </c>
      <c r="C2920" s="17"/>
      <c r="D2920" s="184"/>
      <c r="E2920" s="197"/>
      <c r="F2920" s="19"/>
      <c r="G2920" s="20"/>
    </row>
    <row r="2921" spans="1:8">
      <c r="A2921" s="211" t="s">
        <v>495</v>
      </c>
      <c r="B2921" s="216" t="str">
        <f ca="1">_xlfn.CONCAT(B2908,A2921)</f>
        <v>3A4A8F88-L</v>
      </c>
      <c r="C2921" s="17"/>
      <c r="D2921" s="184"/>
      <c r="E2921" s="197"/>
      <c r="F2921" s="19"/>
      <c r="G2921" s="20"/>
    </row>
    <row r="2922" spans="1:8">
      <c r="A2922" s="211" t="s">
        <v>496</v>
      </c>
      <c r="B2922" s="216" t="str">
        <f ca="1">_xlfn.CONCAT(B2908,A2922)</f>
        <v>3A4A8F88-M</v>
      </c>
      <c r="C2922" s="17"/>
      <c r="D2922" s="184"/>
      <c r="E2922" s="197"/>
      <c r="F2922" s="19"/>
      <c r="G2922" s="20"/>
    </row>
    <row r="2923" spans="1:8">
      <c r="A2923" s="211" t="s">
        <v>497</v>
      </c>
      <c r="B2923" s="216" t="str">
        <f ca="1">_xlfn.CONCAT(B2908,A2923)</f>
        <v>3A4A8F88-N</v>
      </c>
      <c r="C2923" s="17"/>
      <c r="D2923" s="184"/>
      <c r="E2923" s="197"/>
      <c r="F2923" s="19"/>
      <c r="G2923" s="20"/>
    </row>
    <row r="2924" spans="1:8">
      <c r="A2924" s="211" t="s">
        <v>498</v>
      </c>
      <c r="B2924" s="216" t="str">
        <f ca="1">_xlfn.CONCAT(B2908,A2924)</f>
        <v>3A4A8F88-O</v>
      </c>
      <c r="C2924" s="17"/>
      <c r="D2924" s="184"/>
      <c r="E2924" s="197"/>
      <c r="F2924" s="19"/>
      <c r="G2924" s="20"/>
    </row>
    <row r="2925" spans="1:8">
      <c r="A2925" s="211" t="s">
        <v>499</v>
      </c>
      <c r="B2925" s="216" t="str">
        <f ca="1">_xlfn.CONCAT(B2908,A2925)</f>
        <v>3A4A8F88-P</v>
      </c>
      <c r="C2925" s="17"/>
      <c r="D2925" s="184"/>
      <c r="E2925" s="197"/>
      <c r="F2925" s="19"/>
      <c r="G2925" s="20"/>
    </row>
    <row r="2926" spans="1:8">
      <c r="A2926" s="211" t="s">
        <v>500</v>
      </c>
      <c r="B2926" s="216" t="str">
        <f ca="1">_xlfn.CONCAT(B2908,A2926)</f>
        <v>3A4A8F88-Q</v>
      </c>
      <c r="C2926" s="17"/>
      <c r="D2926" s="184"/>
      <c r="E2926" s="197"/>
      <c r="F2926" s="19"/>
      <c r="G2926" s="20"/>
    </row>
    <row r="2927" spans="1:8">
      <c r="A2927" s="211" t="s">
        <v>501</v>
      </c>
      <c r="B2927" s="216" t="str">
        <f ca="1">_xlfn.CONCAT(B2908,A2927)</f>
        <v>3A4A8F88-R</v>
      </c>
      <c r="C2927" s="17"/>
      <c r="D2927" s="184"/>
      <c r="E2927" s="197"/>
      <c r="F2927" s="19"/>
      <c r="G2927" s="20"/>
    </row>
    <row r="2928" spans="1:8">
      <c r="A2928" s="211" t="s">
        <v>502</v>
      </c>
      <c r="B2928" s="216" t="str">
        <f ca="1">_xlfn.CONCAT(B2908,A2928)</f>
        <v>3A4A8F88-S</v>
      </c>
      <c r="C2928" s="17"/>
      <c r="D2928" s="184"/>
      <c r="E2928" s="197"/>
      <c r="F2928" s="19"/>
      <c r="G2928" s="20"/>
    </row>
    <row r="2929" spans="1:8">
      <c r="A2929" s="211" t="s">
        <v>503</v>
      </c>
      <c r="B2929" s="216" t="str">
        <f ca="1">_xlfn.CONCAT(B2908,A2929)</f>
        <v>3A4A8F88-T</v>
      </c>
      <c r="C2929" s="17"/>
      <c r="D2929" s="184"/>
      <c r="E2929" s="197"/>
      <c r="F2929" s="19"/>
      <c r="G2929" s="20"/>
    </row>
    <row r="2930" spans="1:8" ht="14.25" thickBot="1">
      <c r="A2930" s="211" t="s">
        <v>504</v>
      </c>
      <c r="B2930" s="216" t="str">
        <f ca="1">_xlfn.CONCAT(B2908,A2930)</f>
        <v>3A4A8F88-U</v>
      </c>
      <c r="C2930" s="17"/>
      <c r="D2930" s="184"/>
      <c r="E2930" s="197"/>
      <c r="F2930" s="19"/>
      <c r="G2930" s="20"/>
    </row>
    <row r="2931" spans="1:8" ht="16.5" customHeight="1" thickBot="1">
      <c r="A2931" s="211" t="s">
        <v>505</v>
      </c>
      <c r="B2931" s="216" t="str">
        <f ca="1">_xlfn.CONCAT(B2908,A2931)</f>
        <v>3A4A8F88-V</v>
      </c>
      <c r="C2931" s="17" t="s">
        <v>17</v>
      </c>
      <c r="D2931" s="192" t="s">
        <v>17</v>
      </c>
      <c r="E2931" s="18"/>
      <c r="F2931" s="22" t="s">
        <v>18</v>
      </c>
      <c r="G2931" s="23">
        <f>SUM(G2910:G2930)</f>
        <v>7182.0000000000009</v>
      </c>
    </row>
    <row r="2932" spans="1:8" ht="28.5" customHeight="1" thickBot="1">
      <c r="A2932" s="211" t="s">
        <v>506</v>
      </c>
      <c r="B2932" s="216" t="str">
        <f ca="1">_xlfn.CONCAT(B2908,A2932)</f>
        <v>3A4A8F88-W</v>
      </c>
      <c r="C2932" s="10" t="s">
        <v>19</v>
      </c>
      <c r="D2932" s="190"/>
      <c r="E2932" s="11"/>
      <c r="F2932" s="12"/>
      <c r="G2932" s="13"/>
    </row>
    <row r="2933" spans="1:8" s="47" customFormat="1" ht="23.25" customHeight="1" thickBot="1">
      <c r="A2933" s="211" t="s">
        <v>507</v>
      </c>
      <c r="B2933" s="216" t="str">
        <f ca="1">_xlfn.CONCAT(B2908,A2933)</f>
        <v>3A4A8F88-X</v>
      </c>
      <c r="C2933" s="14" t="s">
        <v>1</v>
      </c>
      <c r="D2933" s="15"/>
      <c r="E2933" s="15" t="s">
        <v>20</v>
      </c>
      <c r="F2933" s="16" t="s">
        <v>21</v>
      </c>
      <c r="G2933" s="15" t="s">
        <v>5</v>
      </c>
      <c r="H2933" s="215"/>
    </row>
    <row r="2934" spans="1:8">
      <c r="A2934" s="211" t="s">
        <v>508</v>
      </c>
      <c r="B2934" s="216" t="str">
        <f ca="1">_xlfn.CONCAT(B2908,A2934)</f>
        <v>3A4A8F88-Y</v>
      </c>
      <c r="C2934" s="24" t="s">
        <v>22</v>
      </c>
      <c r="D2934" s="184"/>
      <c r="E2934" s="25">
        <f>_xlfn.XLOOKUP(C2934,'H-MO'!B$7:B$30,'H-MO'!D$7:D$30,,0,1)</f>
        <v>2436.5624999999995</v>
      </c>
      <c r="F2934" s="19">
        <v>4.3575652173913045E-3</v>
      </c>
      <c r="G2934" s="33">
        <f t="shared" ref="G2934:G2939" si="86">+E2934*F2934</f>
        <v>10.617479999999999</v>
      </c>
    </row>
    <row r="2935" spans="1:8">
      <c r="A2935" s="211" t="s">
        <v>509</v>
      </c>
      <c r="B2935" s="216" t="str">
        <f ca="1">_xlfn.CONCAT(B2908,A2935)</f>
        <v>3A4A8F88-Z</v>
      </c>
      <c r="C2935" s="24" t="s">
        <v>23</v>
      </c>
      <c r="D2935" s="184"/>
      <c r="E2935" s="25">
        <f>_xlfn.XLOOKUP(C2935,'H-MO'!B$7:B$30,'H-MO'!D$7:D$30,,0,1)</f>
        <v>1461.9374999999998</v>
      </c>
      <c r="F2935" s="19">
        <v>1.0893913043478261E-2</v>
      </c>
      <c r="G2935" s="33">
        <f t="shared" si="86"/>
        <v>15.926219999999997</v>
      </c>
    </row>
    <row r="2936" spans="1:8">
      <c r="A2936" s="211" t="s">
        <v>510</v>
      </c>
      <c r="B2936" s="216" t="str">
        <f ca="1">_xlfn.CONCAT(B2908,A2936)</f>
        <v>3A4A8F88-aa</v>
      </c>
      <c r="C2936" s="24" t="s">
        <v>24</v>
      </c>
      <c r="D2936" s="185"/>
      <c r="E2936" s="25">
        <f>_xlfn.XLOOKUP(C2936,'H-MO'!B$7:B$30,'H-MO'!D$7:D$30,,0,1)</f>
        <v>29238.749999999996</v>
      </c>
      <c r="F2936" s="28">
        <v>1.8156521739130435E-4</v>
      </c>
      <c r="G2936" s="33">
        <f t="shared" si="86"/>
        <v>5.3087399999999993</v>
      </c>
    </row>
    <row r="2937" spans="1:8">
      <c r="A2937" s="211" t="s">
        <v>511</v>
      </c>
      <c r="B2937" s="216" t="str">
        <f ca="1">_xlfn.CONCAT(B2908,A2937)</f>
        <v>3A4A8F88-ab</v>
      </c>
      <c r="C2937" s="24" t="s">
        <v>25</v>
      </c>
      <c r="D2937" s="185"/>
      <c r="E2937" s="25">
        <f>_xlfn.XLOOKUP(C2937,'H-MO'!B$7:B$30,'H-MO'!D$7:D$30,,0,1)</f>
        <v>2761.4374999999995</v>
      </c>
      <c r="F2937" s="28">
        <v>3.8449104859335044E-3</v>
      </c>
      <c r="G2937" s="33">
        <f t="shared" si="86"/>
        <v>10.61748</v>
      </c>
    </row>
    <row r="2938" spans="1:8">
      <c r="A2938" s="211" t="s">
        <v>512</v>
      </c>
      <c r="B2938" s="216" t="str">
        <f ca="1">_xlfn.CONCAT(B2908,A2938)</f>
        <v>3A4A8F88-ac</v>
      </c>
      <c r="C2938" s="24"/>
      <c r="D2938" s="185"/>
      <c r="E2938" s="29"/>
      <c r="F2938" s="28"/>
      <c r="G2938" s="33">
        <f t="shared" si="86"/>
        <v>0</v>
      </c>
    </row>
    <row r="2939" spans="1:8" ht="14.25" thickBot="1">
      <c r="A2939" s="211" t="s">
        <v>513</v>
      </c>
      <c r="B2939" s="216" t="str">
        <f ca="1">_xlfn.CONCAT(B2908,A2939)</f>
        <v>3A4A8F88-ad</v>
      </c>
      <c r="C2939" s="24"/>
      <c r="D2939" s="185"/>
      <c r="E2939" s="29"/>
      <c r="F2939" s="28"/>
      <c r="G2939" s="33">
        <f t="shared" si="86"/>
        <v>0</v>
      </c>
    </row>
    <row r="2940" spans="1:8" ht="16.5" customHeight="1" thickBot="1">
      <c r="A2940" s="211" t="s">
        <v>514</v>
      </c>
      <c r="B2940" s="216" t="str">
        <f ca="1">_xlfn.CONCAT(B2908,A2940)</f>
        <v>3A4A8F88-ae</v>
      </c>
      <c r="C2940" s="17"/>
      <c r="D2940" s="192"/>
      <c r="E2940" s="18"/>
      <c r="F2940" s="22" t="s">
        <v>26</v>
      </c>
      <c r="G2940" s="23">
        <f>SUM(G2934:G2939)</f>
        <v>42.469919999999995</v>
      </c>
    </row>
    <row r="2941" spans="1:8" ht="28.5" customHeight="1" thickBot="1">
      <c r="A2941" s="211" t="s">
        <v>515</v>
      </c>
      <c r="B2941" s="216" t="str">
        <f ca="1">_xlfn.CONCAT(B2908,A2941)</f>
        <v>3A4A8F88-af</v>
      </c>
      <c r="C2941" s="10" t="s">
        <v>27</v>
      </c>
      <c r="D2941" s="190"/>
      <c r="E2941" s="11"/>
      <c r="F2941" s="12"/>
      <c r="G2941" s="13"/>
    </row>
    <row r="2942" spans="1:8" s="47" customFormat="1" ht="23.25" customHeight="1" thickBot="1">
      <c r="A2942" s="211" t="s">
        <v>516</v>
      </c>
      <c r="B2942" s="216" t="str">
        <f ca="1">_xlfn.CONCAT(B2908,A2942)</f>
        <v>3A4A8F88-ag</v>
      </c>
      <c r="C2942" s="14" t="s">
        <v>1</v>
      </c>
      <c r="D2942" s="15" t="s">
        <v>28</v>
      </c>
      <c r="E2942" s="15" t="s">
        <v>20</v>
      </c>
      <c r="F2942" s="16" t="s">
        <v>21</v>
      </c>
      <c r="G2942" s="15" t="s">
        <v>5</v>
      </c>
      <c r="H2942" s="215"/>
    </row>
    <row r="2943" spans="1:8">
      <c r="A2943" s="211" t="s">
        <v>517</v>
      </c>
      <c r="B2943" s="216" t="str">
        <f ca="1">_xlfn.CONCAT(B2908,A2943)</f>
        <v>3A4A8F88-ah</v>
      </c>
      <c r="C2943" s="30" t="s">
        <v>29</v>
      </c>
      <c r="D2943" s="186">
        <f>'H-MO'!$N$77</f>
        <v>725918.52892505517</v>
      </c>
      <c r="E2943" s="31">
        <f>+D2943/8</f>
        <v>90739.816115631897</v>
      </c>
      <c r="F2943" s="32">
        <v>0.11</v>
      </c>
      <c r="G2943" s="33">
        <f>+E2943*F2943</f>
        <v>9981.3797727195088</v>
      </c>
    </row>
    <row r="2944" spans="1:8">
      <c r="A2944" s="211" t="s">
        <v>518</v>
      </c>
      <c r="B2944" s="216" t="str">
        <f ca="1">_xlfn.CONCAT(B2908,A2944)</f>
        <v>3A4A8F88-ai</v>
      </c>
      <c r="C2944" s="34" t="s">
        <v>30</v>
      </c>
      <c r="D2944" s="187">
        <f>'H-MO'!$N$86</f>
        <v>685561.39085756091</v>
      </c>
      <c r="E2944" s="29">
        <f>+D2944/8</f>
        <v>85695.173857195114</v>
      </c>
      <c r="F2944" s="28">
        <v>0</v>
      </c>
      <c r="G2944" s="33">
        <f>+E2944*F2944</f>
        <v>0</v>
      </c>
    </row>
    <row r="2945" spans="1:8" ht="14.25" thickBot="1">
      <c r="A2945" s="211" t="s">
        <v>519</v>
      </c>
      <c r="B2945" s="216" t="str">
        <f ca="1">_xlfn.CONCAT(B2908,A2945)</f>
        <v>3A4A8F88-aj</v>
      </c>
      <c r="C2945" s="34"/>
      <c r="D2945" s="187"/>
      <c r="E2945" s="29"/>
      <c r="F2945" s="28"/>
      <c r="G2945" s="33">
        <f>+E2945*F2945</f>
        <v>0</v>
      </c>
    </row>
    <row r="2946" spans="1:8" ht="17.25" customHeight="1" thickBot="1">
      <c r="A2946" s="211" t="s">
        <v>520</v>
      </c>
      <c r="B2946" s="216" t="str">
        <f ca="1">_xlfn.CONCAT(B2908,A2946)</f>
        <v>3A4A8F88-ak</v>
      </c>
      <c r="C2946" s="34"/>
      <c r="D2946" s="185"/>
      <c r="E2946" s="26"/>
      <c r="F2946" s="36" t="s">
        <v>31</v>
      </c>
      <c r="G2946" s="23">
        <f>SUM(G2943:G2945)</f>
        <v>9981.3797727195088</v>
      </c>
    </row>
    <row r="2947" spans="1:8" ht="14.25" thickBot="1">
      <c r="A2947" s="211" t="s">
        <v>521</v>
      </c>
      <c r="B2947" s="216" t="str">
        <f ca="1">_xlfn.CONCAT(B2908,A2947)</f>
        <v>3A4A8F88-al</v>
      </c>
      <c r="C2947" s="37"/>
      <c r="E2947" s="38"/>
      <c r="F2947" s="22"/>
      <c r="G2947" s="39"/>
    </row>
    <row r="2948" spans="1:8" ht="23.25" customHeight="1" thickBot="1">
      <c r="A2948" s="211" t="s">
        <v>522</v>
      </c>
      <c r="B2948" s="216" t="str">
        <f ca="1">_xlfn.CONCAT(B2908,A2948)</f>
        <v>3A4A8F88-am</v>
      </c>
      <c r="C2948" s="40"/>
      <c r="D2948" s="193"/>
      <c r="E2948" s="41"/>
      <c r="F2948" s="42"/>
      <c r="G2948" s="43">
        <f>+G2931+G2940+G2946</f>
        <v>17205.849692719508</v>
      </c>
    </row>
    <row r="2949" spans="1:8" ht="21.75" thickBot="1">
      <c r="B2949" s="212" t="s">
        <v>550</v>
      </c>
      <c r="C2949" s="2"/>
      <c r="D2949" s="183"/>
      <c r="F2949" s="4"/>
      <c r="G2949" s="5"/>
    </row>
    <row r="2950" spans="1:8" s="45" customFormat="1" ht="34.5" customHeight="1">
      <c r="A2950" s="213"/>
      <c r="B2950" s="214">
        <v>68</v>
      </c>
      <c r="C2950" s="242" t="str">
        <f ca="1">_xlfn.XLOOKUP(B2950,Cantidades!$A$10:$A$314,Cantidades!$C$10:$C$314,,0,1)</f>
        <v>Suministro e instalación de cable UTP cat 6A. Incluye cable UTP cat 6A y demas accesorios para su correcta instalación, funcionamiento y señalización.</v>
      </c>
      <c r="D2950" s="243"/>
      <c r="E2950" s="243"/>
      <c r="F2950" s="243"/>
      <c r="G2950" s="244"/>
      <c r="H2950" s="213"/>
    </row>
    <row r="2951" spans="1:8" s="47" customFormat="1" ht="24.95" customHeight="1" thickBot="1">
      <c r="A2951" s="215"/>
      <c r="B2951" s="216" t="s">
        <v>550</v>
      </c>
      <c r="C2951" s="177"/>
      <c r="D2951" s="189"/>
      <c r="E2951" s="178"/>
      <c r="F2951" s="179" t="s">
        <v>636</v>
      </c>
      <c r="G2951" s="209" t="str">
        <f ca="1">B2952</f>
        <v>339E8F9E-</v>
      </c>
      <c r="H2951" s="215"/>
    </row>
    <row r="2952" spans="1:8" ht="28.5" customHeight="1" thickBot="1">
      <c r="B2952" s="212" t="str">
        <f ca="1">_xlfn.XLOOKUP(C2950,Cantidades!$C$1:$C$314,Cantidades!$B$1:$B$314,"",0,1)</f>
        <v>339E8F9E-</v>
      </c>
      <c r="C2952" s="10" t="s">
        <v>0</v>
      </c>
      <c r="D2952" s="190"/>
      <c r="E2952" s="11"/>
      <c r="F2952" s="12"/>
      <c r="G2952" s="13"/>
    </row>
    <row r="2953" spans="1:8" s="47" customFormat="1" ht="23.25" customHeight="1" thickBot="1">
      <c r="A2953" s="215"/>
      <c r="B2953" s="216" t="s">
        <v>550</v>
      </c>
      <c r="C2953" s="14" t="s">
        <v>1</v>
      </c>
      <c r="D2953" s="15" t="s">
        <v>2</v>
      </c>
      <c r="E2953" s="15" t="s">
        <v>3</v>
      </c>
      <c r="F2953" s="16" t="s">
        <v>4</v>
      </c>
      <c r="G2953" s="15" t="s">
        <v>5</v>
      </c>
      <c r="H2953" s="215"/>
    </row>
    <row r="2954" spans="1:8" ht="15">
      <c r="A2954" s="211" t="s">
        <v>484</v>
      </c>
      <c r="B2954" s="216" t="str">
        <f ca="1">_xlfn.CONCAT(B2952,A2954)</f>
        <v>339E8F9E-A</v>
      </c>
      <c r="C2954" s="17" t="str">
        <f>_xlfn.XLOOKUP(H2954,'Materiales unitario'!$A$1:$A$2500,'Materiales unitario'!B$1:B$2500,,0,1)</f>
        <v>Cable UTP CAT 6A</v>
      </c>
      <c r="D2954" s="184" t="str">
        <f>_xlfn.XLOOKUP(H2954,'Materiales unitario'!A$1:A$2500,'Materiales unitario'!C$1:C$2500,,0,1)</f>
        <v>ml</v>
      </c>
      <c r="E2954" s="197">
        <f>_xlfn.XLOOKUP(H2954,'Materiales unitario'!$A$1:$A$2500,'Materiales unitario'!D$1:D$2500,,0,1)</f>
        <v>2140</v>
      </c>
      <c r="F2954" s="19">
        <v>1.05</v>
      </c>
      <c r="G2954" s="20">
        <f>+E2954*F2954</f>
        <v>2247</v>
      </c>
      <c r="H2954" s="217" t="s">
        <v>743</v>
      </c>
    </row>
    <row r="2955" spans="1:8" ht="15">
      <c r="A2955" s="211" t="s">
        <v>485</v>
      </c>
      <c r="B2955" s="216" t="str">
        <f ca="1">_xlfn.CONCAT(B2952,A2955)</f>
        <v>339E8F9E-B</v>
      </c>
      <c r="C2955" s="17" t="str">
        <f>_xlfn.XLOOKUP(H2955,'Materiales unitario'!$A$1:$A$2500,'Materiales unitario'!B$1:B$2500,,0,1)</f>
        <v>Amarre plastico</v>
      </c>
      <c r="D2955" s="184" t="str">
        <f>_xlfn.XLOOKUP(H2955,'Materiales unitario'!A$1:A$2500,'Materiales unitario'!C$1:C$2500,,0,1)</f>
        <v>un</v>
      </c>
      <c r="E2955" s="197">
        <f>_xlfn.XLOOKUP(H2955,'Materiales unitario'!$A$1:$A$2500,'Materiales unitario'!D$1:D$2500,,0,1)</f>
        <v>100</v>
      </c>
      <c r="F2955" s="19">
        <v>1</v>
      </c>
      <c r="G2955" s="20">
        <f>+E2955*F2955</f>
        <v>100</v>
      </c>
      <c r="H2955" s="217" t="s">
        <v>752</v>
      </c>
    </row>
    <row r="2956" spans="1:8" ht="15">
      <c r="A2956" s="211" t="s">
        <v>486</v>
      </c>
      <c r="B2956" s="216" t="str">
        <f ca="1">_xlfn.CONCAT(B2952,A2956)</f>
        <v>339E8F9E-C</v>
      </c>
      <c r="C2956" s="17"/>
      <c r="D2956" s="184"/>
      <c r="E2956" s="197"/>
      <c r="F2956" s="19"/>
      <c r="G2956" s="20"/>
      <c r="H2956" s="217"/>
    </row>
    <row r="2957" spans="1:8" ht="15">
      <c r="A2957" s="211" t="s">
        <v>487</v>
      </c>
      <c r="B2957" s="216" t="str">
        <f ca="1">_xlfn.CONCAT(B2952,A2957)</f>
        <v>339E8F9E-D</v>
      </c>
      <c r="C2957" s="17"/>
      <c r="D2957" s="184"/>
      <c r="E2957" s="197"/>
      <c r="F2957" s="19"/>
      <c r="G2957" s="20"/>
      <c r="H2957" s="217"/>
    </row>
    <row r="2958" spans="1:8" ht="15">
      <c r="A2958" s="211" t="s">
        <v>488</v>
      </c>
      <c r="B2958" s="216" t="str">
        <f ca="1">_xlfn.CONCAT(B2952,A2958)</f>
        <v>339E8F9E-E</v>
      </c>
      <c r="C2958" s="17"/>
      <c r="D2958" s="184"/>
      <c r="E2958" s="197"/>
      <c r="F2958" s="19"/>
      <c r="G2958" s="20"/>
      <c r="H2958" s="217"/>
    </row>
    <row r="2959" spans="1:8" ht="15">
      <c r="A2959" s="211" t="s">
        <v>489</v>
      </c>
      <c r="B2959" s="216" t="str">
        <f ca="1">_xlfn.CONCAT(B2952,A2959)</f>
        <v>339E8F9E-F</v>
      </c>
      <c r="C2959" s="17"/>
      <c r="D2959" s="184"/>
      <c r="E2959" s="197"/>
      <c r="F2959" s="19"/>
      <c r="G2959" s="20"/>
      <c r="H2959" s="217"/>
    </row>
    <row r="2960" spans="1:8" ht="15">
      <c r="A2960" s="211" t="s">
        <v>490</v>
      </c>
      <c r="B2960" s="216" t="str">
        <f ca="1">_xlfn.CONCAT(B2952,A2960)</f>
        <v>339E8F9E-G</v>
      </c>
      <c r="C2960" s="17"/>
      <c r="D2960" s="184"/>
      <c r="E2960" s="197"/>
      <c r="F2960" s="19"/>
      <c r="G2960" s="20"/>
      <c r="H2960" s="217"/>
    </row>
    <row r="2961" spans="1:8" ht="15">
      <c r="A2961" s="211" t="s">
        <v>491</v>
      </c>
      <c r="B2961" s="216" t="str">
        <f ca="1">_xlfn.CONCAT(B2952,A2961)</f>
        <v>339E8F9E-H</v>
      </c>
      <c r="C2961" s="17"/>
      <c r="D2961" s="184"/>
      <c r="E2961" s="197"/>
      <c r="F2961" s="19"/>
      <c r="G2961" s="20"/>
      <c r="H2961" s="217"/>
    </row>
    <row r="2962" spans="1:8" ht="15">
      <c r="A2962" s="211" t="s">
        <v>492</v>
      </c>
      <c r="B2962" s="216" t="str">
        <f ca="1">_xlfn.CONCAT(B2952,A2962)</f>
        <v>339E8F9E-I</v>
      </c>
      <c r="C2962" s="17"/>
      <c r="D2962" s="184"/>
      <c r="E2962" s="197"/>
      <c r="F2962" s="19"/>
      <c r="G2962" s="20"/>
      <c r="H2962" s="217"/>
    </row>
    <row r="2963" spans="1:8" ht="15">
      <c r="A2963" s="211" t="s">
        <v>493</v>
      </c>
      <c r="B2963" s="216" t="str">
        <f ca="1">_xlfn.CONCAT(B2952,A2963)</f>
        <v>339E8F9E-J</v>
      </c>
      <c r="C2963" s="17"/>
      <c r="D2963" s="184"/>
      <c r="E2963" s="197"/>
      <c r="F2963" s="19"/>
      <c r="G2963" s="20"/>
      <c r="H2963" s="217"/>
    </row>
    <row r="2964" spans="1:8">
      <c r="A2964" s="211" t="s">
        <v>494</v>
      </c>
      <c r="B2964" s="216" t="str">
        <f ca="1">_xlfn.CONCAT(B2952,A2964)</f>
        <v>339E8F9E-K</v>
      </c>
      <c r="C2964" s="17"/>
      <c r="D2964" s="184"/>
      <c r="E2964" s="197"/>
      <c r="F2964" s="19"/>
      <c r="G2964" s="20"/>
    </row>
    <row r="2965" spans="1:8">
      <c r="A2965" s="211" t="s">
        <v>495</v>
      </c>
      <c r="B2965" s="216" t="str">
        <f ca="1">_xlfn.CONCAT(B2952,A2965)</f>
        <v>339E8F9E-L</v>
      </c>
      <c r="C2965" s="17"/>
      <c r="D2965" s="184"/>
      <c r="E2965" s="197"/>
      <c r="F2965" s="19"/>
      <c r="G2965" s="20"/>
    </row>
    <row r="2966" spans="1:8">
      <c r="A2966" s="211" t="s">
        <v>496</v>
      </c>
      <c r="B2966" s="216" t="str">
        <f ca="1">_xlfn.CONCAT(B2952,A2966)</f>
        <v>339E8F9E-M</v>
      </c>
      <c r="C2966" s="17"/>
      <c r="D2966" s="184"/>
      <c r="E2966" s="197"/>
      <c r="F2966" s="19"/>
      <c r="G2966" s="20"/>
    </row>
    <row r="2967" spans="1:8">
      <c r="A2967" s="211" t="s">
        <v>497</v>
      </c>
      <c r="B2967" s="216" t="str">
        <f ca="1">_xlfn.CONCAT(B2952,A2967)</f>
        <v>339E8F9E-N</v>
      </c>
      <c r="C2967" s="17"/>
      <c r="D2967" s="184"/>
      <c r="E2967" s="197"/>
      <c r="F2967" s="19"/>
      <c r="G2967" s="20"/>
    </row>
    <row r="2968" spans="1:8">
      <c r="A2968" s="211" t="s">
        <v>498</v>
      </c>
      <c r="B2968" s="216" t="str">
        <f ca="1">_xlfn.CONCAT(B2952,A2968)</f>
        <v>339E8F9E-O</v>
      </c>
      <c r="C2968" s="17"/>
      <c r="D2968" s="184"/>
      <c r="E2968" s="197"/>
      <c r="F2968" s="19"/>
      <c r="G2968" s="20"/>
    </row>
    <row r="2969" spans="1:8">
      <c r="A2969" s="211" t="s">
        <v>499</v>
      </c>
      <c r="B2969" s="216" t="str">
        <f ca="1">_xlfn.CONCAT(B2952,A2969)</f>
        <v>339E8F9E-P</v>
      </c>
      <c r="C2969" s="17"/>
      <c r="D2969" s="184"/>
      <c r="E2969" s="197"/>
      <c r="F2969" s="19"/>
      <c r="G2969" s="20"/>
    </row>
    <row r="2970" spans="1:8">
      <c r="A2970" s="211" t="s">
        <v>500</v>
      </c>
      <c r="B2970" s="216" t="str">
        <f ca="1">_xlfn.CONCAT(B2952,A2970)</f>
        <v>339E8F9E-Q</v>
      </c>
      <c r="C2970" s="17"/>
      <c r="D2970" s="184"/>
      <c r="E2970" s="197"/>
      <c r="F2970" s="19"/>
      <c r="G2970" s="20"/>
    </row>
    <row r="2971" spans="1:8">
      <c r="A2971" s="211" t="s">
        <v>501</v>
      </c>
      <c r="B2971" s="216" t="str">
        <f ca="1">_xlfn.CONCAT(B2952,A2971)</f>
        <v>339E8F9E-R</v>
      </c>
      <c r="C2971" s="17"/>
      <c r="D2971" s="184"/>
      <c r="E2971" s="197"/>
      <c r="F2971" s="19"/>
      <c r="G2971" s="20"/>
    </row>
    <row r="2972" spans="1:8">
      <c r="A2972" s="211" t="s">
        <v>502</v>
      </c>
      <c r="B2972" s="216" t="str">
        <f ca="1">_xlfn.CONCAT(B2952,A2972)</f>
        <v>339E8F9E-S</v>
      </c>
      <c r="C2972" s="17"/>
      <c r="D2972" s="184"/>
      <c r="E2972" s="197"/>
      <c r="F2972" s="19"/>
      <c r="G2972" s="20"/>
    </row>
    <row r="2973" spans="1:8">
      <c r="A2973" s="211" t="s">
        <v>503</v>
      </c>
      <c r="B2973" s="216" t="str">
        <f ca="1">_xlfn.CONCAT(B2952,A2973)</f>
        <v>339E8F9E-T</v>
      </c>
      <c r="C2973" s="17"/>
      <c r="D2973" s="184"/>
      <c r="E2973" s="197"/>
      <c r="F2973" s="19"/>
      <c r="G2973" s="20"/>
    </row>
    <row r="2974" spans="1:8" ht="14.25" thickBot="1">
      <c r="A2974" s="211" t="s">
        <v>504</v>
      </c>
      <c r="B2974" s="216" t="str">
        <f ca="1">_xlfn.CONCAT(B2952,A2974)</f>
        <v>339E8F9E-U</v>
      </c>
      <c r="C2974" s="17"/>
      <c r="D2974" s="184"/>
      <c r="E2974" s="197"/>
      <c r="F2974" s="19"/>
      <c r="G2974" s="20"/>
    </row>
    <row r="2975" spans="1:8" ht="16.5" customHeight="1" thickBot="1">
      <c r="A2975" s="211" t="s">
        <v>505</v>
      </c>
      <c r="B2975" s="216" t="str">
        <f ca="1">_xlfn.CONCAT(B2952,A2975)</f>
        <v>339E8F9E-V</v>
      </c>
      <c r="C2975" s="17" t="s">
        <v>17</v>
      </c>
      <c r="D2975" s="192" t="s">
        <v>17</v>
      </c>
      <c r="E2975" s="18"/>
      <c r="F2975" s="22" t="s">
        <v>18</v>
      </c>
      <c r="G2975" s="23">
        <f>SUM(G2954:G2974)</f>
        <v>2347</v>
      </c>
    </row>
    <row r="2976" spans="1:8" ht="28.5" customHeight="1" thickBot="1">
      <c r="A2976" s="211" t="s">
        <v>506</v>
      </c>
      <c r="B2976" s="216" t="str">
        <f ca="1">_xlfn.CONCAT(B2952,A2976)</f>
        <v>339E8F9E-W</v>
      </c>
      <c r="C2976" s="10" t="s">
        <v>19</v>
      </c>
      <c r="D2976" s="190"/>
      <c r="E2976" s="11"/>
      <c r="F2976" s="12"/>
      <c r="G2976" s="13"/>
    </row>
    <row r="2977" spans="1:8" s="47" customFormat="1" ht="23.25" customHeight="1" thickBot="1">
      <c r="A2977" s="211" t="s">
        <v>507</v>
      </c>
      <c r="B2977" s="216" t="str">
        <f ca="1">_xlfn.CONCAT(B2952,A2977)</f>
        <v>339E8F9E-X</v>
      </c>
      <c r="C2977" s="14" t="s">
        <v>1</v>
      </c>
      <c r="D2977" s="15"/>
      <c r="E2977" s="15" t="s">
        <v>20</v>
      </c>
      <c r="F2977" s="16" t="s">
        <v>21</v>
      </c>
      <c r="G2977" s="15" t="s">
        <v>5</v>
      </c>
      <c r="H2977" s="215"/>
    </row>
    <row r="2978" spans="1:8">
      <c r="A2978" s="211" t="s">
        <v>508</v>
      </c>
      <c r="B2978" s="216" t="str">
        <f ca="1">_xlfn.CONCAT(B2952,A2978)</f>
        <v>339E8F9E-Y</v>
      </c>
      <c r="C2978" s="24" t="s">
        <v>22</v>
      </c>
      <c r="D2978" s="184"/>
      <c r="E2978" s="25">
        <f>_xlfn.XLOOKUP(C2978,'H-MO'!B$7:B$30,'H-MO'!D$7:D$30,,0,1)</f>
        <v>2436.5624999999995</v>
      </c>
      <c r="F2978" s="19">
        <v>0.01</v>
      </c>
      <c r="G2978" s="33">
        <f t="shared" ref="G2978:G2983" si="87">+E2978*F2978</f>
        <v>24.365624999999994</v>
      </c>
    </row>
    <row r="2979" spans="1:8">
      <c r="A2979" s="211" t="s">
        <v>509</v>
      </c>
      <c r="B2979" s="216" t="str">
        <f ca="1">_xlfn.CONCAT(B2952,A2979)</f>
        <v>339E8F9E-Z</v>
      </c>
      <c r="C2979" s="24" t="s">
        <v>23</v>
      </c>
      <c r="D2979" s="184"/>
      <c r="E2979" s="25">
        <f>_xlfn.XLOOKUP(C2979,'H-MO'!B$7:B$30,'H-MO'!D$7:D$30,,0,1)</f>
        <v>1461.9374999999998</v>
      </c>
      <c r="F2979" s="19">
        <v>0.01</v>
      </c>
      <c r="G2979" s="33">
        <f t="shared" si="87"/>
        <v>14.619374999999998</v>
      </c>
    </row>
    <row r="2980" spans="1:8">
      <c r="A2980" s="211" t="s">
        <v>510</v>
      </c>
      <c r="B2980" s="216" t="str">
        <f ca="1">_xlfn.CONCAT(B2952,A2980)</f>
        <v>339E8F9E-aa</v>
      </c>
      <c r="C2980" s="24" t="s">
        <v>24</v>
      </c>
      <c r="D2980" s="185"/>
      <c r="E2980" s="25">
        <f>_xlfn.XLOOKUP(C2980,'H-MO'!B$7:B$30,'H-MO'!D$7:D$30,,0,1)</f>
        <v>29238.749999999996</v>
      </c>
      <c r="F2980" s="28">
        <v>0.01</v>
      </c>
      <c r="G2980" s="33">
        <f t="shared" si="87"/>
        <v>292.38749999999999</v>
      </c>
    </row>
    <row r="2981" spans="1:8">
      <c r="A2981" s="211" t="s">
        <v>511</v>
      </c>
      <c r="B2981" s="216" t="str">
        <f ca="1">_xlfn.CONCAT(B2952,A2981)</f>
        <v>339E8F9E-ab</v>
      </c>
      <c r="C2981" s="24" t="s">
        <v>25</v>
      </c>
      <c r="D2981" s="185"/>
      <c r="E2981" s="25">
        <f>_xlfn.XLOOKUP(C2981,'H-MO'!B$7:B$30,'H-MO'!D$7:D$30,,0,1)</f>
        <v>2761.4374999999995</v>
      </c>
      <c r="F2981" s="28">
        <v>0.1</v>
      </c>
      <c r="G2981" s="33">
        <f t="shared" si="87"/>
        <v>276.14374999999995</v>
      </c>
    </row>
    <row r="2982" spans="1:8">
      <c r="A2982" s="211" t="s">
        <v>512</v>
      </c>
      <c r="B2982" s="216" t="str">
        <f ca="1">_xlfn.CONCAT(B2952,A2982)</f>
        <v>339E8F9E-ac</v>
      </c>
      <c r="C2982" s="24"/>
      <c r="D2982" s="185"/>
      <c r="E2982" s="29"/>
      <c r="F2982" s="28"/>
      <c r="G2982" s="33">
        <f t="shared" si="87"/>
        <v>0</v>
      </c>
    </row>
    <row r="2983" spans="1:8" ht="14.25" thickBot="1">
      <c r="A2983" s="211" t="s">
        <v>513</v>
      </c>
      <c r="B2983" s="216" t="str">
        <f ca="1">_xlfn.CONCAT(B2952,A2983)</f>
        <v>339E8F9E-ad</v>
      </c>
      <c r="C2983" s="24"/>
      <c r="D2983" s="185"/>
      <c r="E2983" s="29"/>
      <c r="F2983" s="28"/>
      <c r="G2983" s="33">
        <f t="shared" si="87"/>
        <v>0</v>
      </c>
    </row>
    <row r="2984" spans="1:8" ht="16.5" customHeight="1" thickBot="1">
      <c r="A2984" s="211" t="s">
        <v>514</v>
      </c>
      <c r="B2984" s="216" t="str">
        <f ca="1">_xlfn.CONCAT(B2952,A2984)</f>
        <v>339E8F9E-ae</v>
      </c>
      <c r="C2984" s="17"/>
      <c r="D2984" s="192"/>
      <c r="E2984" s="18"/>
      <c r="F2984" s="22" t="s">
        <v>26</v>
      </c>
      <c r="G2984" s="23">
        <f>SUM(G2978:G2983)</f>
        <v>607.5162499999999</v>
      </c>
    </row>
    <row r="2985" spans="1:8" ht="28.5" customHeight="1" thickBot="1">
      <c r="A2985" s="211" t="s">
        <v>515</v>
      </c>
      <c r="B2985" s="216" t="str">
        <f ca="1">_xlfn.CONCAT(B2952,A2985)</f>
        <v>339E8F9E-af</v>
      </c>
      <c r="C2985" s="10" t="s">
        <v>27</v>
      </c>
      <c r="D2985" s="190"/>
      <c r="E2985" s="11"/>
      <c r="F2985" s="12"/>
      <c r="G2985" s="13"/>
    </row>
    <row r="2986" spans="1:8" s="47" customFormat="1" ht="23.25" customHeight="1" thickBot="1">
      <c r="A2986" s="211" t="s">
        <v>516</v>
      </c>
      <c r="B2986" s="216" t="str">
        <f ca="1">_xlfn.CONCAT(B2952,A2986)</f>
        <v>339E8F9E-ag</v>
      </c>
      <c r="C2986" s="14" t="s">
        <v>1</v>
      </c>
      <c r="D2986" s="15" t="s">
        <v>28</v>
      </c>
      <c r="E2986" s="15" t="s">
        <v>20</v>
      </c>
      <c r="F2986" s="16" t="s">
        <v>21</v>
      </c>
      <c r="G2986" s="15" t="s">
        <v>5</v>
      </c>
      <c r="H2986" s="215"/>
    </row>
    <row r="2987" spans="1:8">
      <c r="A2987" s="211" t="s">
        <v>517</v>
      </c>
      <c r="B2987" s="216" t="str">
        <f ca="1">_xlfn.CONCAT(B2952,A2987)</f>
        <v>339E8F9E-ah</v>
      </c>
      <c r="C2987" s="30" t="s">
        <v>29</v>
      </c>
      <c r="D2987" s="186">
        <f>'H-MO'!$N$77</f>
        <v>725918.52892505517</v>
      </c>
      <c r="E2987" s="31">
        <f>+D2987/8</f>
        <v>90739.816115631897</v>
      </c>
      <c r="F2987" s="32">
        <v>0.03</v>
      </c>
      <c r="G2987" s="33">
        <f>+E2987*F2987</f>
        <v>2722.1944834689566</v>
      </c>
    </row>
    <row r="2988" spans="1:8">
      <c r="A2988" s="211" t="s">
        <v>518</v>
      </c>
      <c r="B2988" s="216" t="str">
        <f ca="1">_xlfn.CONCAT(B2952,A2988)</f>
        <v>339E8F9E-ai</v>
      </c>
      <c r="C2988" s="34" t="s">
        <v>30</v>
      </c>
      <c r="D2988" s="187">
        <f>'H-MO'!$N$86</f>
        <v>685561.39085756091</v>
      </c>
      <c r="E2988" s="29">
        <f>+D2988/8</f>
        <v>85695.173857195114</v>
      </c>
      <c r="F2988" s="28"/>
      <c r="G2988" s="33">
        <f>+E2988*F2988</f>
        <v>0</v>
      </c>
    </row>
    <row r="2989" spans="1:8" ht="14.25" thickBot="1">
      <c r="A2989" s="211" t="s">
        <v>519</v>
      </c>
      <c r="B2989" s="216" t="str">
        <f ca="1">_xlfn.CONCAT(B2952,A2989)</f>
        <v>339E8F9E-aj</v>
      </c>
      <c r="C2989" s="34"/>
      <c r="D2989" s="187"/>
      <c r="E2989" s="29"/>
      <c r="F2989" s="28"/>
      <c r="G2989" s="33">
        <f>+E2989*F2989</f>
        <v>0</v>
      </c>
    </row>
    <row r="2990" spans="1:8" ht="17.25" customHeight="1" thickBot="1">
      <c r="A2990" s="211" t="s">
        <v>520</v>
      </c>
      <c r="B2990" s="216" t="str">
        <f ca="1">_xlfn.CONCAT(B2952,A2990)</f>
        <v>339E8F9E-ak</v>
      </c>
      <c r="C2990" s="34"/>
      <c r="D2990" s="185"/>
      <c r="E2990" s="26"/>
      <c r="F2990" s="36" t="s">
        <v>31</v>
      </c>
      <c r="G2990" s="23">
        <f>SUM(G2987:G2989)</f>
        <v>2722.1944834689566</v>
      </c>
    </row>
    <row r="2991" spans="1:8" ht="14.25" thickBot="1">
      <c r="A2991" s="211" t="s">
        <v>521</v>
      </c>
      <c r="B2991" s="216" t="str">
        <f ca="1">_xlfn.CONCAT(B2952,A2991)</f>
        <v>339E8F9E-al</v>
      </c>
      <c r="C2991" s="37"/>
      <c r="E2991" s="38"/>
      <c r="F2991" s="22"/>
      <c r="G2991" s="39"/>
    </row>
    <row r="2992" spans="1:8" ht="23.25" customHeight="1" thickBot="1">
      <c r="A2992" s="211" t="s">
        <v>522</v>
      </c>
      <c r="B2992" s="216" t="str">
        <f ca="1">_xlfn.CONCAT(B2952,A2992)</f>
        <v>339E8F9E-am</v>
      </c>
      <c r="C2992" s="40"/>
      <c r="D2992" s="193"/>
      <c r="E2992" s="41"/>
      <c r="F2992" s="42"/>
      <c r="G2992" s="43">
        <f>+G2975+G2984+G2990</f>
        <v>5676.7107334689563</v>
      </c>
    </row>
    <row r="2993" spans="1:8" ht="21.75" thickBot="1">
      <c r="B2993" s="212" t="s">
        <v>550</v>
      </c>
      <c r="C2993" s="2"/>
      <c r="D2993" s="183"/>
      <c r="F2993" s="4"/>
      <c r="G2993" s="5"/>
    </row>
    <row r="2994" spans="1:8" s="45" customFormat="1" ht="34.5" customHeight="1">
      <c r="A2994" s="213"/>
      <c r="B2994" s="214">
        <v>69</v>
      </c>
      <c r="C2994" s="242" t="str">
        <f ca="1">_xlfn.XLOOKUP(B2994,Cantidades!$A$10:$A$314,Cantidades!$C$10:$C$314,,0,1)</f>
        <v>Suministro e instalación de tubería PVC SCH40 1-1/4"</v>
      </c>
      <c r="D2994" s="243"/>
      <c r="E2994" s="243"/>
      <c r="F2994" s="243"/>
      <c r="G2994" s="244"/>
      <c r="H2994" s="213"/>
    </row>
    <row r="2995" spans="1:8" s="47" customFormat="1" ht="24.95" customHeight="1" thickBot="1">
      <c r="A2995" s="215"/>
      <c r="B2995" s="216" t="s">
        <v>550</v>
      </c>
      <c r="C2995" s="177"/>
      <c r="D2995" s="189"/>
      <c r="E2995" s="178"/>
      <c r="F2995" s="179" t="s">
        <v>636</v>
      </c>
      <c r="G2995" s="209" t="str">
        <f ca="1">B2996</f>
        <v>2F9A9059-</v>
      </c>
      <c r="H2995" s="215"/>
    </row>
    <row r="2996" spans="1:8" ht="28.5" customHeight="1" thickBot="1">
      <c r="B2996" s="212" t="str">
        <f ca="1">_xlfn.XLOOKUP(C2994,Cantidades!$C$1:$C$314,Cantidades!$B$1:$B$314,"",0,1)</f>
        <v>2F9A9059-</v>
      </c>
      <c r="C2996" s="10" t="s">
        <v>0</v>
      </c>
      <c r="D2996" s="190"/>
      <c r="E2996" s="11"/>
      <c r="F2996" s="12"/>
      <c r="G2996" s="13"/>
    </row>
    <row r="2997" spans="1:8" s="47" customFormat="1" ht="23.25" customHeight="1" thickBot="1">
      <c r="A2997" s="215"/>
      <c r="B2997" s="216" t="s">
        <v>550</v>
      </c>
      <c r="C2997" s="14" t="s">
        <v>1</v>
      </c>
      <c r="D2997" s="15" t="s">
        <v>2</v>
      </c>
      <c r="E2997" s="15" t="s">
        <v>3</v>
      </c>
      <c r="F2997" s="16" t="s">
        <v>4</v>
      </c>
      <c r="G2997" s="15" t="s">
        <v>5</v>
      </c>
      <c r="H2997" s="215"/>
    </row>
    <row r="2998" spans="1:8" ht="15">
      <c r="A2998" s="211" t="s">
        <v>484</v>
      </c>
      <c r="B2998" s="216" t="str">
        <f ca="1">_xlfn.CONCAT(B2996,A2998)</f>
        <v>2F9A9059-A</v>
      </c>
      <c r="C2998" s="17" t="str">
        <f>_xlfn.XLOOKUP(H2998,'Materiales unitario'!$A$1:$A$2500,'Materiales unitario'!B$1:B$2500,,0,1)</f>
        <v>Tubo Conduit PVC SCH40 ø1 1/4"</v>
      </c>
      <c r="D2998" s="184" t="str">
        <f>_xlfn.XLOOKUP(H2998,'Materiales unitario'!A$1:A$2500,'Materiales unitario'!C$1:C$2500,,0,1)</f>
        <v>ml</v>
      </c>
      <c r="E2998" s="197">
        <f>_xlfn.XLOOKUP(H2998,'Materiales unitario'!$A$1:$A$2500,'Materiales unitario'!D$1:D$2500,,0,1)</f>
        <v>8100</v>
      </c>
      <c r="F2998" s="19">
        <v>1.05</v>
      </c>
      <c r="G2998" s="20">
        <f>+E2998*F2998</f>
        <v>8505</v>
      </c>
      <c r="H2998" s="217" t="s">
        <v>765</v>
      </c>
    </row>
    <row r="2999" spans="1:8" ht="15">
      <c r="A2999" s="211" t="s">
        <v>485</v>
      </c>
      <c r="B2999" s="216" t="str">
        <f ca="1">_xlfn.CONCAT(B2996,A2999)</f>
        <v>2F9A9059-B</v>
      </c>
      <c r="C2999" s="17" t="str">
        <f>_xlfn.XLOOKUP(H2999,'Materiales unitario'!$A$1:$A$2500,'Materiales unitario'!B$1:B$2500,,0,1)</f>
        <v>Adaptador terminal PVC SCH40  ø1 1/4"</v>
      </c>
      <c r="D2999" s="184" t="str">
        <f>_xlfn.XLOOKUP(H2999,'Materiales unitario'!A$1:A$2500,'Materiales unitario'!C$1:C$2500,,0,1)</f>
        <v>un</v>
      </c>
      <c r="E2999" s="197">
        <f>_xlfn.XLOOKUP(H2999,'Materiales unitario'!$A$1:$A$2500,'Materiales unitario'!D$1:D$2500,,0,1)</f>
        <v>4650</v>
      </c>
      <c r="F2999" s="19">
        <v>0.1</v>
      </c>
      <c r="G2999" s="20">
        <f>+E2999*F2999</f>
        <v>465</v>
      </c>
      <c r="H2999" s="217" t="s">
        <v>766</v>
      </c>
    </row>
    <row r="3000" spans="1:8" ht="15">
      <c r="A3000" s="211" t="s">
        <v>486</v>
      </c>
      <c r="B3000" s="216" t="str">
        <f ca="1">_xlfn.CONCAT(B2996,A3000)</f>
        <v>2F9A9059-C</v>
      </c>
      <c r="C3000" s="17" t="str">
        <f>_xlfn.XLOOKUP(H3000,'Materiales unitario'!$A$1:$A$2500,'Materiales unitario'!B$1:B$2500,,0,1)</f>
        <v>Curva PVC SCH40 ø1 1/4"</v>
      </c>
      <c r="D3000" s="184" t="str">
        <f>_xlfn.XLOOKUP(H3000,'Materiales unitario'!A$1:A$2500,'Materiales unitario'!C$1:C$2500,,0,1)</f>
        <v>un</v>
      </c>
      <c r="E3000" s="197">
        <f>_xlfn.XLOOKUP(H3000,'Materiales unitario'!$A$1:$A$2500,'Materiales unitario'!D$1:D$2500,,0,1)</f>
        <v>3650</v>
      </c>
      <c r="F3000" s="19">
        <v>7.0000000000000007E-2</v>
      </c>
      <c r="G3000" s="20">
        <f>+E3000*F3000</f>
        <v>255.50000000000003</v>
      </c>
      <c r="H3000" s="217" t="s">
        <v>767</v>
      </c>
    </row>
    <row r="3001" spans="1:8" ht="15">
      <c r="A3001" s="211" t="s">
        <v>487</v>
      </c>
      <c r="B3001" s="216" t="str">
        <f ca="1">_xlfn.CONCAT(B2996,A3001)</f>
        <v>2F9A9059-D</v>
      </c>
      <c r="C3001" s="17" t="str">
        <f>_xlfn.XLOOKUP(H3001,'Materiales unitario'!$A$1:$A$2500,'Materiales unitario'!B$1:B$2500,,0,1)</f>
        <v>Soporte metalico 1 1/4"</v>
      </c>
      <c r="D3001" s="184" t="str">
        <f>_xlfn.XLOOKUP(H3001,'Materiales unitario'!A$1:A$2500,'Materiales unitario'!C$1:C$2500,,0,1)</f>
        <v>un</v>
      </c>
      <c r="E3001" s="197">
        <f>_xlfn.XLOOKUP(H3001,'Materiales unitario'!$A$1:$A$2500,'Materiales unitario'!D$1:D$2500,,0,1)</f>
        <v>3110</v>
      </c>
      <c r="F3001" s="19">
        <v>0.3</v>
      </c>
      <c r="G3001" s="20">
        <f>+E3001*F3001</f>
        <v>933</v>
      </c>
      <c r="H3001" s="217" t="s">
        <v>769</v>
      </c>
    </row>
    <row r="3002" spans="1:8" ht="15">
      <c r="A3002" s="211" t="s">
        <v>488</v>
      </c>
      <c r="B3002" s="216" t="str">
        <f ca="1">_xlfn.CONCAT(B2996,A3002)</f>
        <v>2F9A9059-E</v>
      </c>
      <c r="C3002" s="17" t="str">
        <f>_xlfn.XLOOKUP(H3002,'Materiales unitario'!$A$1:$A$2500,'Materiales unitario'!B$1:B$2500,,0,1)</f>
        <v>Soldadura liquida PVC 1/4 de galón</v>
      </c>
      <c r="D3002" s="184" t="str">
        <f>_xlfn.XLOOKUP(H3002,'Materiales unitario'!A$1:A$2500,'Materiales unitario'!C$1:C$2500,,0,1)</f>
        <v>un</v>
      </c>
      <c r="E3002" s="197">
        <f>_xlfn.XLOOKUP(H3002,'Materiales unitario'!$A$1:$A$2500,'Materiales unitario'!D$1:D$2500,,0,1)</f>
        <v>60900</v>
      </c>
      <c r="F3002" s="19">
        <v>5.0000000000000001E-3</v>
      </c>
      <c r="G3002" s="20">
        <f>+E3002*F3002</f>
        <v>304.5</v>
      </c>
      <c r="H3002" s="217" t="s">
        <v>530</v>
      </c>
    </row>
    <row r="3003" spans="1:8" ht="15">
      <c r="A3003" s="211" t="s">
        <v>489</v>
      </c>
      <c r="B3003" s="216" t="str">
        <f ca="1">_xlfn.CONCAT(B2996,A3003)</f>
        <v>2F9A9059-F</v>
      </c>
      <c r="C3003" s="17"/>
      <c r="D3003" s="184"/>
      <c r="E3003" s="197"/>
      <c r="F3003" s="19"/>
      <c r="G3003" s="20"/>
      <c r="H3003" s="217"/>
    </row>
    <row r="3004" spans="1:8">
      <c r="A3004" s="211" t="s">
        <v>490</v>
      </c>
      <c r="B3004" s="216" t="str">
        <f ca="1">_xlfn.CONCAT(B2996,A3004)</f>
        <v>2F9A9059-G</v>
      </c>
      <c r="C3004" s="17"/>
      <c r="D3004" s="184"/>
      <c r="E3004" s="197"/>
      <c r="F3004" s="19"/>
      <c r="G3004" s="20"/>
    </row>
    <row r="3005" spans="1:8">
      <c r="A3005" s="211" t="s">
        <v>491</v>
      </c>
      <c r="B3005" s="216" t="str">
        <f ca="1">_xlfn.CONCAT(B2996,A3005)</f>
        <v>2F9A9059-H</v>
      </c>
      <c r="C3005" s="17"/>
      <c r="D3005" s="184"/>
      <c r="E3005" s="197"/>
      <c r="F3005" s="19"/>
      <c r="G3005" s="20"/>
    </row>
    <row r="3006" spans="1:8">
      <c r="A3006" s="211" t="s">
        <v>492</v>
      </c>
      <c r="B3006" s="216" t="str">
        <f ca="1">_xlfn.CONCAT(B2996,A3006)</f>
        <v>2F9A9059-I</v>
      </c>
      <c r="C3006" s="17"/>
      <c r="D3006" s="184"/>
      <c r="E3006" s="197"/>
      <c r="F3006" s="19"/>
      <c r="G3006" s="20"/>
    </row>
    <row r="3007" spans="1:8">
      <c r="A3007" s="211" t="s">
        <v>493</v>
      </c>
      <c r="B3007" s="216" t="str">
        <f ca="1">_xlfn.CONCAT(B2996,A3007)</f>
        <v>2F9A9059-J</v>
      </c>
      <c r="C3007" s="17"/>
      <c r="D3007" s="184"/>
      <c r="E3007" s="197"/>
      <c r="F3007" s="19"/>
      <c r="G3007" s="20"/>
    </row>
    <row r="3008" spans="1:8">
      <c r="A3008" s="211" t="s">
        <v>494</v>
      </c>
      <c r="B3008" s="216" t="str">
        <f ca="1">_xlfn.CONCAT(B2996,A3008)</f>
        <v>2F9A9059-K</v>
      </c>
      <c r="C3008" s="17"/>
      <c r="D3008" s="184"/>
      <c r="E3008" s="197"/>
      <c r="F3008" s="19"/>
      <c r="G3008" s="20"/>
    </row>
    <row r="3009" spans="1:8">
      <c r="A3009" s="211" t="s">
        <v>495</v>
      </c>
      <c r="B3009" s="216" t="str">
        <f ca="1">_xlfn.CONCAT(B2996,A3009)</f>
        <v>2F9A9059-L</v>
      </c>
      <c r="C3009" s="17"/>
      <c r="D3009" s="184"/>
      <c r="E3009" s="197"/>
      <c r="F3009" s="19"/>
      <c r="G3009" s="20"/>
    </row>
    <row r="3010" spans="1:8">
      <c r="A3010" s="211" t="s">
        <v>496</v>
      </c>
      <c r="B3010" s="216" t="str">
        <f ca="1">_xlfn.CONCAT(B2996,A3010)</f>
        <v>2F9A9059-M</v>
      </c>
      <c r="C3010" s="17"/>
      <c r="D3010" s="184"/>
      <c r="E3010" s="197"/>
      <c r="F3010" s="19"/>
      <c r="G3010" s="20"/>
    </row>
    <row r="3011" spans="1:8">
      <c r="A3011" s="211" t="s">
        <v>497</v>
      </c>
      <c r="B3011" s="216" t="str">
        <f ca="1">_xlfn.CONCAT(B2996,A3011)</f>
        <v>2F9A9059-N</v>
      </c>
      <c r="C3011" s="17"/>
      <c r="D3011" s="184"/>
      <c r="E3011" s="197"/>
      <c r="F3011" s="19"/>
      <c r="G3011" s="20"/>
    </row>
    <row r="3012" spans="1:8">
      <c r="A3012" s="211" t="s">
        <v>498</v>
      </c>
      <c r="B3012" s="216" t="str">
        <f ca="1">_xlfn.CONCAT(B2996,A3012)</f>
        <v>2F9A9059-O</v>
      </c>
      <c r="C3012" s="17"/>
      <c r="D3012" s="184"/>
      <c r="E3012" s="197"/>
      <c r="F3012" s="19"/>
      <c r="G3012" s="20"/>
    </row>
    <row r="3013" spans="1:8">
      <c r="A3013" s="211" t="s">
        <v>499</v>
      </c>
      <c r="B3013" s="216" t="str">
        <f ca="1">_xlfn.CONCAT(B2996,A3013)</f>
        <v>2F9A9059-P</v>
      </c>
      <c r="C3013" s="17"/>
      <c r="D3013" s="184"/>
      <c r="E3013" s="197"/>
      <c r="F3013" s="19"/>
      <c r="G3013" s="20"/>
    </row>
    <row r="3014" spans="1:8">
      <c r="A3014" s="211" t="s">
        <v>500</v>
      </c>
      <c r="B3014" s="216" t="str">
        <f ca="1">_xlfn.CONCAT(B2996,A3014)</f>
        <v>2F9A9059-Q</v>
      </c>
      <c r="C3014" s="17"/>
      <c r="D3014" s="184"/>
      <c r="E3014" s="197"/>
      <c r="F3014" s="19"/>
      <c r="G3014" s="20"/>
    </row>
    <row r="3015" spans="1:8">
      <c r="A3015" s="211" t="s">
        <v>501</v>
      </c>
      <c r="B3015" s="216" t="str">
        <f ca="1">_xlfn.CONCAT(B2996,A3015)</f>
        <v>2F9A9059-R</v>
      </c>
      <c r="C3015" s="17"/>
      <c r="D3015" s="184"/>
      <c r="E3015" s="197"/>
      <c r="F3015" s="19"/>
      <c r="G3015" s="20"/>
    </row>
    <row r="3016" spans="1:8">
      <c r="A3016" s="211" t="s">
        <v>502</v>
      </c>
      <c r="B3016" s="216" t="str">
        <f ca="1">_xlfn.CONCAT(B2996,A3016)</f>
        <v>2F9A9059-S</v>
      </c>
      <c r="C3016" s="17"/>
      <c r="D3016" s="184"/>
      <c r="E3016" s="197"/>
      <c r="F3016" s="19"/>
      <c r="G3016" s="20"/>
    </row>
    <row r="3017" spans="1:8">
      <c r="A3017" s="211" t="s">
        <v>503</v>
      </c>
      <c r="B3017" s="216" t="str">
        <f ca="1">_xlfn.CONCAT(B2996,A3017)</f>
        <v>2F9A9059-T</v>
      </c>
      <c r="C3017" s="17"/>
      <c r="D3017" s="184"/>
      <c r="E3017" s="197"/>
      <c r="F3017" s="19"/>
      <c r="G3017" s="20"/>
    </row>
    <row r="3018" spans="1:8" ht="14.25" thickBot="1">
      <c r="A3018" s="211" t="s">
        <v>504</v>
      </c>
      <c r="B3018" s="216" t="str">
        <f ca="1">_xlfn.CONCAT(B2996,A3018)</f>
        <v>2F9A9059-U</v>
      </c>
      <c r="C3018" s="17"/>
      <c r="D3018" s="184"/>
      <c r="E3018" s="197"/>
      <c r="F3018" s="19"/>
      <c r="G3018" s="20"/>
    </row>
    <row r="3019" spans="1:8" ht="16.5" customHeight="1" thickBot="1">
      <c r="A3019" s="211" t="s">
        <v>505</v>
      </c>
      <c r="B3019" s="216" t="str">
        <f ca="1">_xlfn.CONCAT(B2996,A3019)</f>
        <v>2F9A9059-V</v>
      </c>
      <c r="C3019" s="17" t="s">
        <v>17</v>
      </c>
      <c r="D3019" s="192" t="s">
        <v>17</v>
      </c>
      <c r="E3019" s="18"/>
      <c r="F3019" s="22" t="s">
        <v>18</v>
      </c>
      <c r="G3019" s="23">
        <f>SUM(G2998:G3018)</f>
        <v>10463</v>
      </c>
    </row>
    <row r="3020" spans="1:8" ht="28.5" customHeight="1" thickBot="1">
      <c r="A3020" s="211" t="s">
        <v>506</v>
      </c>
      <c r="B3020" s="216" t="str">
        <f ca="1">_xlfn.CONCAT(B2996,A3020)</f>
        <v>2F9A9059-W</v>
      </c>
      <c r="C3020" s="10" t="s">
        <v>19</v>
      </c>
      <c r="D3020" s="190"/>
      <c r="E3020" s="11"/>
      <c r="F3020" s="12"/>
      <c r="G3020" s="13"/>
    </row>
    <row r="3021" spans="1:8" s="47" customFormat="1" ht="23.25" customHeight="1" thickBot="1">
      <c r="A3021" s="211" t="s">
        <v>507</v>
      </c>
      <c r="B3021" s="216" t="str">
        <f ca="1">_xlfn.CONCAT(B2996,A3021)</f>
        <v>2F9A9059-X</v>
      </c>
      <c r="C3021" s="14" t="s">
        <v>1</v>
      </c>
      <c r="D3021" s="15"/>
      <c r="E3021" s="15" t="s">
        <v>20</v>
      </c>
      <c r="F3021" s="16" t="s">
        <v>21</v>
      </c>
      <c r="G3021" s="15" t="s">
        <v>5</v>
      </c>
      <c r="H3021" s="215"/>
    </row>
    <row r="3022" spans="1:8">
      <c r="A3022" s="211" t="s">
        <v>508</v>
      </c>
      <c r="B3022" s="216" t="str">
        <f ca="1">_xlfn.CONCAT(B2996,A3022)</f>
        <v>2F9A9059-Y</v>
      </c>
      <c r="C3022" s="24" t="s">
        <v>22</v>
      </c>
      <c r="D3022" s="184"/>
      <c r="E3022" s="25">
        <f>_xlfn.XLOOKUP(C3022,'H-MO'!B$7:B$30,'H-MO'!D$7:D$30,,0,1)</f>
        <v>2436.5624999999995</v>
      </c>
      <c r="F3022" s="19">
        <v>4.3575652173913045E-3</v>
      </c>
      <c r="G3022" s="33">
        <f t="shared" ref="G3022:G3027" si="88">+E3022*F3022</f>
        <v>10.617479999999999</v>
      </c>
    </row>
    <row r="3023" spans="1:8">
      <c r="A3023" s="211" t="s">
        <v>509</v>
      </c>
      <c r="B3023" s="216" t="str">
        <f ca="1">_xlfn.CONCAT(B2996,A3023)</f>
        <v>2F9A9059-Z</v>
      </c>
      <c r="C3023" s="24" t="s">
        <v>23</v>
      </c>
      <c r="D3023" s="184"/>
      <c r="E3023" s="25">
        <f>_xlfn.XLOOKUP(C3023,'H-MO'!B$7:B$30,'H-MO'!D$7:D$30,,0,1)</f>
        <v>1461.9374999999998</v>
      </c>
      <c r="F3023" s="19">
        <v>1.0893913043478261E-2</v>
      </c>
      <c r="G3023" s="33">
        <f t="shared" si="88"/>
        <v>15.926219999999997</v>
      </c>
    </row>
    <row r="3024" spans="1:8">
      <c r="A3024" s="211" t="s">
        <v>510</v>
      </c>
      <c r="B3024" s="216" t="str">
        <f ca="1">_xlfn.CONCAT(B2996,A3024)</f>
        <v>2F9A9059-aa</v>
      </c>
      <c r="C3024" s="24" t="s">
        <v>24</v>
      </c>
      <c r="D3024" s="185"/>
      <c r="E3024" s="25">
        <f>_xlfn.XLOOKUP(C3024,'H-MO'!B$7:B$30,'H-MO'!D$7:D$30,,0,1)</f>
        <v>29238.749999999996</v>
      </c>
      <c r="F3024" s="28">
        <v>1.8156521739130435E-4</v>
      </c>
      <c r="G3024" s="33">
        <f t="shared" si="88"/>
        <v>5.3087399999999993</v>
      </c>
    </row>
    <row r="3025" spans="1:8">
      <c r="A3025" s="211" t="s">
        <v>511</v>
      </c>
      <c r="B3025" s="216" t="str">
        <f ca="1">_xlfn.CONCAT(B2996,A3025)</f>
        <v>2F9A9059-ab</v>
      </c>
      <c r="C3025" s="24" t="s">
        <v>25</v>
      </c>
      <c r="D3025" s="185"/>
      <c r="E3025" s="25">
        <f>_xlfn.XLOOKUP(C3025,'H-MO'!B$7:B$30,'H-MO'!D$7:D$30,,0,1)</f>
        <v>2761.4374999999995</v>
      </c>
      <c r="F3025" s="28">
        <v>3.8449104859335044E-3</v>
      </c>
      <c r="G3025" s="33">
        <f t="shared" si="88"/>
        <v>10.61748</v>
      </c>
    </row>
    <row r="3026" spans="1:8">
      <c r="A3026" s="211" t="s">
        <v>512</v>
      </c>
      <c r="B3026" s="216" t="str">
        <f ca="1">_xlfn.CONCAT(B2996,A3026)</f>
        <v>2F9A9059-ac</v>
      </c>
      <c r="C3026" s="24"/>
      <c r="D3026" s="185"/>
      <c r="E3026" s="29"/>
      <c r="F3026" s="28"/>
      <c r="G3026" s="33">
        <f t="shared" si="88"/>
        <v>0</v>
      </c>
    </row>
    <row r="3027" spans="1:8" ht="14.25" thickBot="1">
      <c r="A3027" s="211" t="s">
        <v>513</v>
      </c>
      <c r="B3027" s="216" t="str">
        <f ca="1">_xlfn.CONCAT(B2996,A3027)</f>
        <v>2F9A9059-ad</v>
      </c>
      <c r="C3027" s="24"/>
      <c r="D3027" s="185"/>
      <c r="E3027" s="29"/>
      <c r="F3027" s="28"/>
      <c r="G3027" s="33">
        <f t="shared" si="88"/>
        <v>0</v>
      </c>
    </row>
    <row r="3028" spans="1:8" ht="16.5" customHeight="1" thickBot="1">
      <c r="A3028" s="211" t="s">
        <v>514</v>
      </c>
      <c r="B3028" s="216" t="str">
        <f ca="1">_xlfn.CONCAT(B2996,A3028)</f>
        <v>2F9A9059-ae</v>
      </c>
      <c r="C3028" s="17"/>
      <c r="D3028" s="192"/>
      <c r="E3028" s="18"/>
      <c r="F3028" s="22" t="s">
        <v>26</v>
      </c>
      <c r="G3028" s="23">
        <f>SUM(G3022:G3027)</f>
        <v>42.469919999999995</v>
      </c>
    </row>
    <row r="3029" spans="1:8" ht="28.5" customHeight="1" thickBot="1">
      <c r="A3029" s="211" t="s">
        <v>515</v>
      </c>
      <c r="B3029" s="216" t="str">
        <f ca="1">_xlfn.CONCAT(B2996,A3029)</f>
        <v>2F9A9059-af</v>
      </c>
      <c r="C3029" s="10" t="s">
        <v>27</v>
      </c>
      <c r="D3029" s="190"/>
      <c r="E3029" s="11"/>
      <c r="F3029" s="12"/>
      <c r="G3029" s="13"/>
    </row>
    <row r="3030" spans="1:8" s="47" customFormat="1" ht="23.25" customHeight="1" thickBot="1">
      <c r="A3030" s="211" t="s">
        <v>516</v>
      </c>
      <c r="B3030" s="216" t="str">
        <f ca="1">_xlfn.CONCAT(B2996,A3030)</f>
        <v>2F9A9059-ag</v>
      </c>
      <c r="C3030" s="14" t="s">
        <v>1</v>
      </c>
      <c r="D3030" s="15" t="s">
        <v>28</v>
      </c>
      <c r="E3030" s="15" t="s">
        <v>20</v>
      </c>
      <c r="F3030" s="16" t="s">
        <v>21</v>
      </c>
      <c r="G3030" s="15" t="s">
        <v>5</v>
      </c>
      <c r="H3030" s="215"/>
    </row>
    <row r="3031" spans="1:8">
      <c r="A3031" s="211" t="s">
        <v>517</v>
      </c>
      <c r="B3031" s="216" t="str">
        <f ca="1">_xlfn.CONCAT(B2996,A3031)</f>
        <v>2F9A9059-ah</v>
      </c>
      <c r="C3031" s="30" t="s">
        <v>29</v>
      </c>
      <c r="D3031" s="186">
        <f>'H-MO'!$N$77</f>
        <v>725918.52892505517</v>
      </c>
      <c r="E3031" s="31">
        <f>+D3031/8</f>
        <v>90739.816115631897</v>
      </c>
      <c r="F3031" s="32">
        <v>0.16</v>
      </c>
      <c r="G3031" s="33">
        <f>+E3031*F3031</f>
        <v>14518.370578501104</v>
      </c>
    </row>
    <row r="3032" spans="1:8">
      <c r="A3032" s="211" t="s">
        <v>518</v>
      </c>
      <c r="B3032" s="216" t="str">
        <f ca="1">_xlfn.CONCAT(B2996,A3032)</f>
        <v>2F9A9059-ai</v>
      </c>
      <c r="C3032" s="34" t="s">
        <v>30</v>
      </c>
      <c r="D3032" s="187">
        <f>'H-MO'!$N$86</f>
        <v>685561.39085756091</v>
      </c>
      <c r="E3032" s="29">
        <f>+D3032/8</f>
        <v>85695.173857195114</v>
      </c>
      <c r="F3032" s="28">
        <v>0</v>
      </c>
      <c r="G3032" s="33">
        <f>+E3032*F3032</f>
        <v>0</v>
      </c>
    </row>
    <row r="3033" spans="1:8" ht="14.25" thickBot="1">
      <c r="A3033" s="211" t="s">
        <v>519</v>
      </c>
      <c r="B3033" s="216" t="str">
        <f ca="1">_xlfn.CONCAT(B2996,A3033)</f>
        <v>2F9A9059-aj</v>
      </c>
      <c r="C3033" s="34"/>
      <c r="D3033" s="187"/>
      <c r="E3033" s="29"/>
      <c r="F3033" s="28"/>
      <c r="G3033" s="33">
        <f>+E3033*F3033</f>
        <v>0</v>
      </c>
    </row>
    <row r="3034" spans="1:8" ht="17.25" customHeight="1" thickBot="1">
      <c r="A3034" s="211" t="s">
        <v>520</v>
      </c>
      <c r="B3034" s="216" t="str">
        <f ca="1">_xlfn.CONCAT(B2996,A3034)</f>
        <v>2F9A9059-ak</v>
      </c>
      <c r="C3034" s="34"/>
      <c r="D3034" s="185"/>
      <c r="E3034" s="26"/>
      <c r="F3034" s="36" t="s">
        <v>31</v>
      </c>
      <c r="G3034" s="23">
        <f>SUM(G3031:G3033)</f>
        <v>14518.370578501104</v>
      </c>
    </row>
    <row r="3035" spans="1:8" ht="14.25" thickBot="1">
      <c r="A3035" s="211" t="s">
        <v>521</v>
      </c>
      <c r="B3035" s="216" t="str">
        <f ca="1">_xlfn.CONCAT(B2996,A3035)</f>
        <v>2F9A9059-al</v>
      </c>
      <c r="C3035" s="37"/>
      <c r="E3035" s="38"/>
      <c r="F3035" s="22"/>
      <c r="G3035" s="39"/>
    </row>
    <row r="3036" spans="1:8" ht="23.25" customHeight="1" thickBot="1">
      <c r="A3036" s="211" t="s">
        <v>522</v>
      </c>
      <c r="B3036" s="216" t="str">
        <f ca="1">_xlfn.CONCAT(B2996,A3036)</f>
        <v>2F9A9059-am</v>
      </c>
      <c r="C3036" s="40"/>
      <c r="D3036" s="193"/>
      <c r="E3036" s="41"/>
      <c r="F3036" s="42"/>
      <c r="G3036" s="43">
        <f>+G3019+G3028+G3034</f>
        <v>25023.840498501104</v>
      </c>
    </row>
    <row r="3037" spans="1:8" ht="21.75" thickBot="1">
      <c r="B3037" s="212" t="s">
        <v>550</v>
      </c>
      <c r="C3037" s="2"/>
      <c r="D3037" s="183"/>
      <c r="F3037" s="4"/>
      <c r="G3037" s="5"/>
    </row>
    <row r="3038" spans="1:8" s="45" customFormat="1" ht="34.5" customHeight="1">
      <c r="A3038" s="213"/>
      <c r="B3038" s="214">
        <v>70</v>
      </c>
      <c r="C3038" s="242" t="str">
        <f ca="1">_xlfn.XLOOKUP(B3038,Cantidades!$A$10:$A$314,Cantidades!$C$10:$C$314,,0,1)</f>
        <v>Suministro e instalación de cable HDMI L=10m.</v>
      </c>
      <c r="D3038" s="243"/>
      <c r="E3038" s="243"/>
      <c r="F3038" s="243"/>
      <c r="G3038" s="244"/>
      <c r="H3038" s="213"/>
    </row>
    <row r="3039" spans="1:8" s="47" customFormat="1" ht="24.95" customHeight="1" thickBot="1">
      <c r="A3039" s="215"/>
      <c r="B3039" s="216" t="s">
        <v>550</v>
      </c>
      <c r="C3039" s="177"/>
      <c r="D3039" s="189"/>
      <c r="E3039" s="178"/>
      <c r="F3039" s="179" t="s">
        <v>636</v>
      </c>
      <c r="G3039" s="209" t="str">
        <f ca="1">B3040</f>
        <v>25DF6E95-</v>
      </c>
      <c r="H3039" s="215"/>
    </row>
    <row r="3040" spans="1:8" ht="28.5" customHeight="1" thickBot="1">
      <c r="B3040" s="212" t="str">
        <f ca="1">_xlfn.XLOOKUP(C3038,Cantidades!$C$1:$C$314,Cantidades!$B$1:$B$314,"",0,1)</f>
        <v>25DF6E95-</v>
      </c>
      <c r="C3040" s="10" t="s">
        <v>0</v>
      </c>
      <c r="D3040" s="190"/>
      <c r="E3040" s="11"/>
      <c r="F3040" s="12"/>
      <c r="G3040" s="13"/>
    </row>
    <row r="3041" spans="1:8" s="47" customFormat="1" ht="23.25" customHeight="1" thickBot="1">
      <c r="A3041" s="215"/>
      <c r="B3041" s="216" t="s">
        <v>550</v>
      </c>
      <c r="C3041" s="14" t="s">
        <v>1</v>
      </c>
      <c r="D3041" s="15" t="s">
        <v>2</v>
      </c>
      <c r="E3041" s="15" t="s">
        <v>3</v>
      </c>
      <c r="F3041" s="16" t="s">
        <v>4</v>
      </c>
      <c r="G3041" s="15" t="s">
        <v>5</v>
      </c>
      <c r="H3041" s="215"/>
    </row>
    <row r="3042" spans="1:8" ht="15">
      <c r="A3042" s="211" t="s">
        <v>484</v>
      </c>
      <c r="B3042" s="216" t="str">
        <f ca="1">_xlfn.CONCAT(B3040,A3042)</f>
        <v>25DF6E95-A</v>
      </c>
      <c r="C3042" s="17" t="str">
        <f>_xlfn.XLOOKUP(H3042,'Materiales unitario'!$A$1:$A$2500,'Materiales unitario'!B$1:B$2500,,0,1)</f>
        <v>Cable HDMI 10m</v>
      </c>
      <c r="D3042" s="184" t="str">
        <f>_xlfn.XLOOKUP(H3042,'Materiales unitario'!A$1:A$2500,'Materiales unitario'!C$1:C$2500,,0,1)</f>
        <v>un</v>
      </c>
      <c r="E3042" s="197">
        <f>_xlfn.XLOOKUP(H3042,'Materiales unitario'!$A$1:$A$2500,'Materiales unitario'!D$1:D$2500,,0,1)</f>
        <v>42300</v>
      </c>
      <c r="F3042" s="19">
        <v>1.05</v>
      </c>
      <c r="G3042" s="20">
        <f>+E3042*F3042</f>
        <v>44415</v>
      </c>
      <c r="H3042" s="217" t="s">
        <v>773</v>
      </c>
    </row>
    <row r="3043" spans="1:8" ht="15">
      <c r="A3043" s="211" t="s">
        <v>485</v>
      </c>
      <c r="B3043" s="216" t="str">
        <f ca="1">_xlfn.CONCAT(B3040,A3043)</f>
        <v>25DF6E95-B</v>
      </c>
      <c r="C3043" s="17" t="str">
        <f>_xlfn.XLOOKUP(H3043,'Materiales unitario'!$A$1:$A$2500,'Materiales unitario'!B$1:B$2500,,0,1)</f>
        <v>Amarre plastico</v>
      </c>
      <c r="D3043" s="184" t="str">
        <f>_xlfn.XLOOKUP(H3043,'Materiales unitario'!A$1:A$2500,'Materiales unitario'!C$1:C$2500,,0,1)</f>
        <v>un</v>
      </c>
      <c r="E3043" s="197">
        <f>_xlfn.XLOOKUP(H3043,'Materiales unitario'!$A$1:$A$2500,'Materiales unitario'!D$1:D$2500,,0,1)</f>
        <v>100</v>
      </c>
      <c r="F3043" s="19">
        <v>8</v>
      </c>
      <c r="G3043" s="20">
        <f>+E3043*F3043</f>
        <v>800</v>
      </c>
      <c r="H3043" s="217" t="s">
        <v>752</v>
      </c>
    </row>
    <row r="3044" spans="1:8" ht="15">
      <c r="A3044" s="211" t="s">
        <v>486</v>
      </c>
      <c r="B3044" s="216" t="str">
        <f ca="1">_xlfn.CONCAT(B3040,A3044)</f>
        <v>25DF6E95-C</v>
      </c>
      <c r="C3044" s="17"/>
      <c r="D3044" s="184"/>
      <c r="E3044" s="197"/>
      <c r="F3044" s="19"/>
      <c r="G3044" s="20"/>
      <c r="H3044" s="217"/>
    </row>
    <row r="3045" spans="1:8" ht="15">
      <c r="A3045" s="211" t="s">
        <v>487</v>
      </c>
      <c r="B3045" s="216" t="str">
        <f ca="1">_xlfn.CONCAT(B3040,A3045)</f>
        <v>25DF6E95-D</v>
      </c>
      <c r="C3045" s="17"/>
      <c r="D3045" s="184"/>
      <c r="E3045" s="197"/>
      <c r="F3045" s="19"/>
      <c r="G3045" s="20"/>
      <c r="H3045" s="217"/>
    </row>
    <row r="3046" spans="1:8" ht="15">
      <c r="A3046" s="211" t="s">
        <v>488</v>
      </c>
      <c r="B3046" s="216" t="str">
        <f ca="1">_xlfn.CONCAT(B3040,A3046)</f>
        <v>25DF6E95-E</v>
      </c>
      <c r="C3046" s="17"/>
      <c r="D3046" s="184"/>
      <c r="E3046" s="197"/>
      <c r="F3046" s="19"/>
      <c r="G3046" s="20"/>
      <c r="H3046" s="217"/>
    </row>
    <row r="3047" spans="1:8" ht="15">
      <c r="A3047" s="211" t="s">
        <v>489</v>
      </c>
      <c r="B3047" s="216" t="str">
        <f ca="1">_xlfn.CONCAT(B3040,A3047)</f>
        <v>25DF6E95-F</v>
      </c>
      <c r="C3047" s="17"/>
      <c r="D3047" s="184"/>
      <c r="E3047" s="197"/>
      <c r="F3047" s="19"/>
      <c r="G3047" s="20"/>
      <c r="H3047" s="217"/>
    </row>
    <row r="3048" spans="1:8">
      <c r="A3048" s="211" t="s">
        <v>490</v>
      </c>
      <c r="B3048" s="216" t="str">
        <f ca="1">_xlfn.CONCAT(B3040,A3048)</f>
        <v>25DF6E95-G</v>
      </c>
      <c r="C3048" s="17"/>
      <c r="D3048" s="184"/>
      <c r="E3048" s="197"/>
      <c r="F3048" s="19"/>
      <c r="G3048" s="20"/>
    </row>
    <row r="3049" spans="1:8">
      <c r="A3049" s="211" t="s">
        <v>491</v>
      </c>
      <c r="B3049" s="216" t="str">
        <f ca="1">_xlfn.CONCAT(B3040,A3049)</f>
        <v>25DF6E95-H</v>
      </c>
      <c r="C3049" s="17"/>
      <c r="D3049" s="184"/>
      <c r="E3049" s="197"/>
      <c r="F3049" s="19"/>
      <c r="G3049" s="20"/>
    </row>
    <row r="3050" spans="1:8">
      <c r="A3050" s="211" t="s">
        <v>492</v>
      </c>
      <c r="B3050" s="216" t="str">
        <f ca="1">_xlfn.CONCAT(B3040,A3050)</f>
        <v>25DF6E95-I</v>
      </c>
      <c r="C3050" s="17"/>
      <c r="D3050" s="184"/>
      <c r="E3050" s="197"/>
      <c r="F3050" s="19"/>
      <c r="G3050" s="20"/>
    </row>
    <row r="3051" spans="1:8">
      <c r="A3051" s="211" t="s">
        <v>493</v>
      </c>
      <c r="B3051" s="216" t="str">
        <f ca="1">_xlfn.CONCAT(B3040,A3051)</f>
        <v>25DF6E95-J</v>
      </c>
      <c r="C3051" s="17"/>
      <c r="D3051" s="184"/>
      <c r="E3051" s="197"/>
      <c r="F3051" s="19"/>
      <c r="G3051" s="20"/>
    </row>
    <row r="3052" spans="1:8">
      <c r="A3052" s="211" t="s">
        <v>494</v>
      </c>
      <c r="B3052" s="216" t="str">
        <f ca="1">_xlfn.CONCAT(B3040,A3052)</f>
        <v>25DF6E95-K</v>
      </c>
      <c r="C3052" s="17"/>
      <c r="D3052" s="184"/>
      <c r="E3052" s="197"/>
      <c r="F3052" s="19"/>
      <c r="G3052" s="20"/>
    </row>
    <row r="3053" spans="1:8">
      <c r="A3053" s="211" t="s">
        <v>495</v>
      </c>
      <c r="B3053" s="216" t="str">
        <f ca="1">_xlfn.CONCAT(B3040,A3053)</f>
        <v>25DF6E95-L</v>
      </c>
      <c r="C3053" s="17"/>
      <c r="D3053" s="184"/>
      <c r="E3053" s="197"/>
      <c r="F3053" s="19"/>
      <c r="G3053" s="20"/>
    </row>
    <row r="3054" spans="1:8">
      <c r="A3054" s="211" t="s">
        <v>496</v>
      </c>
      <c r="B3054" s="216" t="str">
        <f ca="1">_xlfn.CONCAT(B3040,A3054)</f>
        <v>25DF6E95-M</v>
      </c>
      <c r="C3054" s="17"/>
      <c r="D3054" s="184"/>
      <c r="E3054" s="197"/>
      <c r="F3054" s="19"/>
      <c r="G3054" s="20"/>
    </row>
    <row r="3055" spans="1:8">
      <c r="A3055" s="211" t="s">
        <v>497</v>
      </c>
      <c r="B3055" s="216" t="str">
        <f ca="1">_xlfn.CONCAT(B3040,A3055)</f>
        <v>25DF6E95-N</v>
      </c>
      <c r="C3055" s="17"/>
      <c r="D3055" s="184"/>
      <c r="E3055" s="197"/>
      <c r="F3055" s="19"/>
      <c r="G3055" s="20"/>
    </row>
    <row r="3056" spans="1:8">
      <c r="A3056" s="211" t="s">
        <v>498</v>
      </c>
      <c r="B3056" s="216" t="str">
        <f ca="1">_xlfn.CONCAT(B3040,A3056)</f>
        <v>25DF6E95-O</v>
      </c>
      <c r="C3056" s="17"/>
      <c r="D3056" s="184"/>
      <c r="E3056" s="197"/>
      <c r="F3056" s="19"/>
      <c r="G3056" s="20"/>
    </row>
    <row r="3057" spans="1:8">
      <c r="A3057" s="211" t="s">
        <v>499</v>
      </c>
      <c r="B3057" s="216" t="str">
        <f ca="1">_xlfn.CONCAT(B3040,A3057)</f>
        <v>25DF6E95-P</v>
      </c>
      <c r="C3057" s="17"/>
      <c r="D3057" s="184"/>
      <c r="E3057" s="197"/>
      <c r="F3057" s="19"/>
      <c r="G3057" s="20"/>
    </row>
    <row r="3058" spans="1:8">
      <c r="A3058" s="211" t="s">
        <v>500</v>
      </c>
      <c r="B3058" s="216" t="str">
        <f ca="1">_xlfn.CONCAT(B3040,A3058)</f>
        <v>25DF6E95-Q</v>
      </c>
      <c r="C3058" s="17"/>
      <c r="D3058" s="184"/>
      <c r="E3058" s="197"/>
      <c r="F3058" s="19"/>
      <c r="G3058" s="20"/>
    </row>
    <row r="3059" spans="1:8">
      <c r="A3059" s="211" t="s">
        <v>501</v>
      </c>
      <c r="B3059" s="216" t="str">
        <f ca="1">_xlfn.CONCAT(B3040,A3059)</f>
        <v>25DF6E95-R</v>
      </c>
      <c r="C3059" s="17"/>
      <c r="D3059" s="184"/>
      <c r="E3059" s="197"/>
      <c r="F3059" s="19"/>
      <c r="G3059" s="20"/>
    </row>
    <row r="3060" spans="1:8">
      <c r="A3060" s="211" t="s">
        <v>502</v>
      </c>
      <c r="B3060" s="216" t="str">
        <f ca="1">_xlfn.CONCAT(B3040,A3060)</f>
        <v>25DF6E95-S</v>
      </c>
      <c r="C3060" s="17"/>
      <c r="D3060" s="184"/>
      <c r="E3060" s="197"/>
      <c r="F3060" s="19"/>
      <c r="G3060" s="20"/>
    </row>
    <row r="3061" spans="1:8">
      <c r="A3061" s="211" t="s">
        <v>503</v>
      </c>
      <c r="B3061" s="216" t="str">
        <f ca="1">_xlfn.CONCAT(B3040,A3061)</f>
        <v>25DF6E95-T</v>
      </c>
      <c r="C3061" s="17"/>
      <c r="D3061" s="184"/>
      <c r="E3061" s="197"/>
      <c r="F3061" s="19"/>
      <c r="G3061" s="20"/>
    </row>
    <row r="3062" spans="1:8" ht="14.25" thickBot="1">
      <c r="A3062" s="211" t="s">
        <v>504</v>
      </c>
      <c r="B3062" s="216" t="str">
        <f ca="1">_xlfn.CONCAT(B3040,A3062)</f>
        <v>25DF6E95-U</v>
      </c>
      <c r="C3062" s="17"/>
      <c r="D3062" s="184"/>
      <c r="E3062" s="197"/>
      <c r="F3062" s="19"/>
      <c r="G3062" s="20"/>
    </row>
    <row r="3063" spans="1:8" ht="16.5" customHeight="1" thickBot="1">
      <c r="A3063" s="211" t="s">
        <v>505</v>
      </c>
      <c r="B3063" s="216" t="str">
        <f ca="1">_xlfn.CONCAT(B3040,A3063)</f>
        <v>25DF6E95-V</v>
      </c>
      <c r="C3063" s="17" t="s">
        <v>17</v>
      </c>
      <c r="D3063" s="192" t="s">
        <v>17</v>
      </c>
      <c r="E3063" s="18"/>
      <c r="F3063" s="22" t="s">
        <v>18</v>
      </c>
      <c r="G3063" s="23">
        <f>SUM(G3042:G3062)</f>
        <v>45215</v>
      </c>
    </row>
    <row r="3064" spans="1:8" ht="28.5" customHeight="1" thickBot="1">
      <c r="A3064" s="211" t="s">
        <v>506</v>
      </c>
      <c r="B3064" s="216" t="str">
        <f ca="1">_xlfn.CONCAT(B3040,A3064)</f>
        <v>25DF6E95-W</v>
      </c>
      <c r="C3064" s="10" t="s">
        <v>19</v>
      </c>
      <c r="D3064" s="190"/>
      <c r="E3064" s="11"/>
      <c r="F3064" s="12"/>
      <c r="G3064" s="13"/>
    </row>
    <row r="3065" spans="1:8" s="47" customFormat="1" ht="23.25" customHeight="1" thickBot="1">
      <c r="A3065" s="211" t="s">
        <v>507</v>
      </c>
      <c r="B3065" s="216" t="str">
        <f ca="1">_xlfn.CONCAT(B3040,A3065)</f>
        <v>25DF6E95-X</v>
      </c>
      <c r="C3065" s="14" t="s">
        <v>1</v>
      </c>
      <c r="D3065" s="15"/>
      <c r="E3065" s="15" t="s">
        <v>20</v>
      </c>
      <c r="F3065" s="16" t="s">
        <v>21</v>
      </c>
      <c r="G3065" s="15" t="s">
        <v>5</v>
      </c>
      <c r="H3065" s="215"/>
    </row>
    <row r="3066" spans="1:8">
      <c r="A3066" s="211" t="s">
        <v>508</v>
      </c>
      <c r="B3066" s="216" t="str">
        <f ca="1">_xlfn.CONCAT(B3040,A3066)</f>
        <v>25DF6E95-Y</v>
      </c>
      <c r="C3066" s="24" t="s">
        <v>22</v>
      </c>
      <c r="D3066" s="184"/>
      <c r="E3066" s="25">
        <f>_xlfn.XLOOKUP(C3066,'H-MO'!B$7:B$30,'H-MO'!D$7:D$30,,0,1)</f>
        <v>2436.5624999999995</v>
      </c>
      <c r="F3066" s="19">
        <v>4.3575652173913045E-3</v>
      </c>
      <c r="G3066" s="33">
        <f t="shared" ref="G3066:G3071" si="89">+E3066*F3066</f>
        <v>10.617479999999999</v>
      </c>
    </row>
    <row r="3067" spans="1:8">
      <c r="A3067" s="211" t="s">
        <v>509</v>
      </c>
      <c r="B3067" s="216" t="str">
        <f ca="1">_xlfn.CONCAT(B3040,A3067)</f>
        <v>25DF6E95-Z</v>
      </c>
      <c r="C3067" s="24" t="s">
        <v>23</v>
      </c>
      <c r="D3067" s="184"/>
      <c r="E3067" s="25">
        <f>_xlfn.XLOOKUP(C3067,'H-MO'!B$7:B$30,'H-MO'!D$7:D$30,,0,1)</f>
        <v>1461.9374999999998</v>
      </c>
      <c r="F3067" s="19">
        <v>1.0893913043478261E-2</v>
      </c>
      <c r="G3067" s="33">
        <f t="shared" si="89"/>
        <v>15.926219999999997</v>
      </c>
    </row>
    <row r="3068" spans="1:8">
      <c r="A3068" s="211" t="s">
        <v>510</v>
      </c>
      <c r="B3068" s="216" t="str">
        <f ca="1">_xlfn.CONCAT(B3040,A3068)</f>
        <v>25DF6E95-aa</v>
      </c>
      <c r="C3068" s="24" t="s">
        <v>24</v>
      </c>
      <c r="D3068" s="185"/>
      <c r="E3068" s="25">
        <f>_xlfn.XLOOKUP(C3068,'H-MO'!B$7:B$30,'H-MO'!D$7:D$30,,0,1)</f>
        <v>29238.749999999996</v>
      </c>
      <c r="F3068" s="28">
        <v>1.8156521739130435E-4</v>
      </c>
      <c r="G3068" s="33">
        <f t="shared" si="89"/>
        <v>5.3087399999999993</v>
      </c>
    </row>
    <row r="3069" spans="1:8">
      <c r="A3069" s="211" t="s">
        <v>511</v>
      </c>
      <c r="B3069" s="216" t="str">
        <f ca="1">_xlfn.CONCAT(B3040,A3069)</f>
        <v>25DF6E95-ab</v>
      </c>
      <c r="C3069" s="24" t="s">
        <v>25</v>
      </c>
      <c r="D3069" s="185"/>
      <c r="E3069" s="25">
        <f>_xlfn.XLOOKUP(C3069,'H-MO'!B$7:B$30,'H-MO'!D$7:D$30,,0,1)</f>
        <v>2761.4374999999995</v>
      </c>
      <c r="F3069" s="28">
        <v>3.8449104859335044E-3</v>
      </c>
      <c r="G3069" s="33">
        <f t="shared" si="89"/>
        <v>10.61748</v>
      </c>
    </row>
    <row r="3070" spans="1:8">
      <c r="A3070" s="211" t="s">
        <v>512</v>
      </c>
      <c r="B3070" s="216" t="str">
        <f ca="1">_xlfn.CONCAT(B3040,A3070)</f>
        <v>25DF6E95-ac</v>
      </c>
      <c r="C3070" s="24"/>
      <c r="D3070" s="185"/>
      <c r="E3070" s="29"/>
      <c r="F3070" s="28"/>
      <c r="G3070" s="33">
        <f t="shared" si="89"/>
        <v>0</v>
      </c>
    </row>
    <row r="3071" spans="1:8" ht="14.25" thickBot="1">
      <c r="A3071" s="211" t="s">
        <v>513</v>
      </c>
      <c r="B3071" s="216" t="str">
        <f ca="1">_xlfn.CONCAT(B3040,A3071)</f>
        <v>25DF6E95-ad</v>
      </c>
      <c r="C3071" s="24"/>
      <c r="D3071" s="185"/>
      <c r="E3071" s="29"/>
      <c r="F3071" s="28"/>
      <c r="G3071" s="33">
        <f t="shared" si="89"/>
        <v>0</v>
      </c>
    </row>
    <row r="3072" spans="1:8" ht="16.5" customHeight="1" thickBot="1">
      <c r="A3072" s="211" t="s">
        <v>514</v>
      </c>
      <c r="B3072" s="216" t="str">
        <f ca="1">_xlfn.CONCAT(B3040,A3072)</f>
        <v>25DF6E95-ae</v>
      </c>
      <c r="C3072" s="17"/>
      <c r="D3072" s="192"/>
      <c r="E3072" s="18"/>
      <c r="F3072" s="22" t="s">
        <v>26</v>
      </c>
      <c r="G3072" s="23">
        <f>SUM(G3066:G3071)</f>
        <v>42.469919999999995</v>
      </c>
    </row>
    <row r="3073" spans="1:8" ht="28.5" customHeight="1" thickBot="1">
      <c r="A3073" s="211" t="s">
        <v>515</v>
      </c>
      <c r="B3073" s="216" t="str">
        <f ca="1">_xlfn.CONCAT(B3040,A3073)</f>
        <v>25DF6E95-af</v>
      </c>
      <c r="C3073" s="10" t="s">
        <v>27</v>
      </c>
      <c r="D3073" s="190"/>
      <c r="E3073" s="11"/>
      <c r="F3073" s="12"/>
      <c r="G3073" s="13"/>
    </row>
    <row r="3074" spans="1:8" s="47" customFormat="1" ht="23.25" customHeight="1" thickBot="1">
      <c r="A3074" s="211" t="s">
        <v>516</v>
      </c>
      <c r="B3074" s="216" t="str">
        <f ca="1">_xlfn.CONCAT(B3040,A3074)</f>
        <v>25DF6E95-ag</v>
      </c>
      <c r="C3074" s="14" t="s">
        <v>1</v>
      </c>
      <c r="D3074" s="15" t="s">
        <v>28</v>
      </c>
      <c r="E3074" s="15" t="s">
        <v>20</v>
      </c>
      <c r="F3074" s="16" t="s">
        <v>21</v>
      </c>
      <c r="G3074" s="15" t="s">
        <v>5</v>
      </c>
      <c r="H3074" s="215"/>
    </row>
    <row r="3075" spans="1:8">
      <c r="A3075" s="211" t="s">
        <v>517</v>
      </c>
      <c r="B3075" s="216" t="str">
        <f ca="1">_xlfn.CONCAT(B3040,A3075)</f>
        <v>25DF6E95-ah</v>
      </c>
      <c r="C3075" s="30" t="s">
        <v>29</v>
      </c>
      <c r="D3075" s="186">
        <f>'H-MO'!$N$77</f>
        <v>725918.52892505517</v>
      </c>
      <c r="E3075" s="31">
        <f>+D3075/8</f>
        <v>90739.816115631897</v>
      </c>
      <c r="F3075" s="32">
        <v>0.08</v>
      </c>
      <c r="G3075" s="33">
        <f>+E3075*F3075</f>
        <v>7259.1852892505522</v>
      </c>
    </row>
    <row r="3076" spans="1:8">
      <c r="A3076" s="211" t="s">
        <v>518</v>
      </c>
      <c r="B3076" s="216" t="str">
        <f ca="1">_xlfn.CONCAT(B3040,A3076)</f>
        <v>25DF6E95-ai</v>
      </c>
      <c r="C3076" s="34" t="s">
        <v>30</v>
      </c>
      <c r="D3076" s="187">
        <f>'H-MO'!$N$86</f>
        <v>685561.39085756091</v>
      </c>
      <c r="E3076" s="29">
        <f>+D3076/8</f>
        <v>85695.173857195114</v>
      </c>
      <c r="F3076" s="28">
        <v>0</v>
      </c>
      <c r="G3076" s="33">
        <f>+E3076*F3076</f>
        <v>0</v>
      </c>
    </row>
    <row r="3077" spans="1:8" ht="14.25" thickBot="1">
      <c r="A3077" s="211" t="s">
        <v>519</v>
      </c>
      <c r="B3077" s="216" t="str">
        <f ca="1">_xlfn.CONCAT(B3040,A3077)</f>
        <v>25DF6E95-aj</v>
      </c>
      <c r="C3077" s="34"/>
      <c r="D3077" s="187"/>
      <c r="E3077" s="29"/>
      <c r="F3077" s="28"/>
      <c r="G3077" s="33">
        <f>+E3077*F3077</f>
        <v>0</v>
      </c>
    </row>
    <row r="3078" spans="1:8" ht="17.25" customHeight="1" thickBot="1">
      <c r="A3078" s="211" t="s">
        <v>520</v>
      </c>
      <c r="B3078" s="216" t="str">
        <f ca="1">_xlfn.CONCAT(B3040,A3078)</f>
        <v>25DF6E95-ak</v>
      </c>
      <c r="C3078" s="34"/>
      <c r="D3078" s="185"/>
      <c r="E3078" s="26"/>
      <c r="F3078" s="36" t="s">
        <v>31</v>
      </c>
      <c r="G3078" s="23">
        <f>SUM(G3075:G3077)</f>
        <v>7259.1852892505522</v>
      </c>
    </row>
    <row r="3079" spans="1:8" ht="14.25" thickBot="1">
      <c r="A3079" s="211" t="s">
        <v>521</v>
      </c>
      <c r="B3079" s="216" t="str">
        <f ca="1">_xlfn.CONCAT(B3040,A3079)</f>
        <v>25DF6E95-al</v>
      </c>
      <c r="C3079" s="37"/>
      <c r="E3079" s="38"/>
      <c r="F3079" s="22"/>
      <c r="G3079" s="39"/>
    </row>
    <row r="3080" spans="1:8" ht="23.25" customHeight="1" thickBot="1">
      <c r="A3080" s="211" t="s">
        <v>522</v>
      </c>
      <c r="B3080" s="216" t="str">
        <f ca="1">_xlfn.CONCAT(B3040,A3080)</f>
        <v>25DF6E95-am</v>
      </c>
      <c r="C3080" s="40"/>
      <c r="D3080" s="193"/>
      <c r="E3080" s="41"/>
      <c r="F3080" s="42"/>
      <c r="G3080" s="43">
        <f>+G3063+G3072+G3078</f>
        <v>52516.655209250559</v>
      </c>
    </row>
    <row r="3081" spans="1:8" ht="21.75" thickBot="1">
      <c r="B3081" s="212" t="s">
        <v>550</v>
      </c>
      <c r="C3081" s="2"/>
      <c r="D3081" s="183"/>
      <c r="F3081" s="4"/>
      <c r="G3081" s="5"/>
    </row>
    <row r="3082" spans="1:8" s="45" customFormat="1" ht="34.5" customHeight="1">
      <c r="A3082" s="213"/>
      <c r="B3082" s="214">
        <v>71</v>
      </c>
      <c r="C3082" s="242" t="str">
        <f ca="1">_xlfn.XLOOKUP(B3082,Cantidades!$A$10:$A$314,Cantidades!$C$10:$C$314,,0,1)</f>
        <v>Suministro e instalación de salida con cable HDMI</v>
      </c>
      <c r="D3082" s="243"/>
      <c r="E3082" s="243"/>
      <c r="F3082" s="243"/>
      <c r="G3082" s="244"/>
      <c r="H3082" s="213"/>
    </row>
    <row r="3083" spans="1:8" s="47" customFormat="1" ht="24.95" customHeight="1" thickBot="1">
      <c r="A3083" s="215"/>
      <c r="B3083" s="216" t="s">
        <v>550</v>
      </c>
      <c r="C3083" s="177"/>
      <c r="D3083" s="189"/>
      <c r="E3083" s="178"/>
      <c r="F3083" s="179" t="s">
        <v>636</v>
      </c>
      <c r="G3083" s="209" t="str">
        <f ca="1">B3084</f>
        <v>378AC041-</v>
      </c>
      <c r="H3083" s="215"/>
    </row>
    <row r="3084" spans="1:8" ht="28.5" customHeight="1" thickBot="1">
      <c r="B3084" s="212" t="str">
        <f ca="1">_xlfn.XLOOKUP(C3082,Cantidades!$C$1:$C$314,Cantidades!$B$1:$B$314,"",0,1)</f>
        <v>378AC041-</v>
      </c>
      <c r="C3084" s="10" t="s">
        <v>0</v>
      </c>
      <c r="D3084" s="190"/>
      <c r="E3084" s="11"/>
      <c r="F3084" s="12"/>
      <c r="G3084" s="13"/>
    </row>
    <row r="3085" spans="1:8" s="47" customFormat="1" ht="23.25" customHeight="1" thickBot="1">
      <c r="A3085" s="215"/>
      <c r="B3085" s="216" t="s">
        <v>550</v>
      </c>
      <c r="C3085" s="14" t="s">
        <v>1</v>
      </c>
      <c r="D3085" s="15" t="s">
        <v>2</v>
      </c>
      <c r="E3085" s="15" t="s">
        <v>3</v>
      </c>
      <c r="F3085" s="16" t="s">
        <v>4</v>
      </c>
      <c r="G3085" s="15" t="s">
        <v>5</v>
      </c>
      <c r="H3085" s="215"/>
    </row>
    <row r="3086" spans="1:8" ht="15">
      <c r="A3086" s="211" t="s">
        <v>484</v>
      </c>
      <c r="B3086" s="216" t="str">
        <f ca="1">_xlfn.CONCAT(B3084,A3086)</f>
        <v>378AC041-A</v>
      </c>
      <c r="C3086" s="17" t="str">
        <f>_xlfn.XLOOKUP(H3086,'Materiales unitario'!$A$1:$A$2500,'Materiales unitario'!B$1:B$2500,,0,1)</f>
        <v>Toma HDMI</v>
      </c>
      <c r="D3086" s="184" t="str">
        <f>_xlfn.XLOOKUP(H3086,'Materiales unitario'!A$1:A$2500,'Materiales unitario'!C$1:C$2500,,0,1)</f>
        <v>un</v>
      </c>
      <c r="E3086" s="197">
        <f>_xlfn.XLOOKUP(H3086,'Materiales unitario'!$A$1:$A$2500,'Materiales unitario'!D$1:D$2500,,0,1)</f>
        <v>51360</v>
      </c>
      <c r="F3086" s="19">
        <v>1</v>
      </c>
      <c r="G3086" s="20">
        <f>+E3086*F3086</f>
        <v>51360</v>
      </c>
      <c r="H3086" s="217" t="s">
        <v>777</v>
      </c>
    </row>
    <row r="3087" spans="1:8" ht="15">
      <c r="A3087" s="211" t="s">
        <v>485</v>
      </c>
      <c r="B3087" s="216" t="str">
        <f ca="1">_xlfn.CONCAT(B3084,A3087)</f>
        <v>378AC041-B</v>
      </c>
      <c r="C3087" s="17" t="str">
        <f>_xlfn.XLOOKUP(H3087,'Materiales unitario'!$A$1:$A$2500,'Materiales unitario'!B$1:B$2500,,0,1)</f>
        <v>Caja doble fondo 10x10</v>
      </c>
      <c r="D3087" s="184" t="str">
        <f>_xlfn.XLOOKUP(H3087,'Materiales unitario'!A$1:A$2500,'Materiales unitario'!C$1:C$2500,,0,1)</f>
        <v>un</v>
      </c>
      <c r="E3087" s="197">
        <f>_xlfn.XLOOKUP(H3087,'Materiales unitario'!$A$1:$A$2500,'Materiales unitario'!D$1:D$2500,,0,1)</f>
        <v>4970</v>
      </c>
      <c r="F3087" s="19">
        <v>1</v>
      </c>
      <c r="G3087" s="20">
        <f>+E3087*F3087</f>
        <v>4970</v>
      </c>
      <c r="H3087" s="217" t="s">
        <v>746</v>
      </c>
    </row>
    <row r="3088" spans="1:8" ht="15">
      <c r="A3088" s="211" t="s">
        <v>486</v>
      </c>
      <c r="B3088" s="216" t="str">
        <f ca="1">_xlfn.CONCAT(B3084,A3088)</f>
        <v>378AC041-C</v>
      </c>
      <c r="C3088" s="17"/>
      <c r="D3088" s="184"/>
      <c r="E3088" s="197"/>
      <c r="F3088" s="19"/>
      <c r="G3088" s="20"/>
      <c r="H3088" s="217"/>
    </row>
    <row r="3089" spans="1:8" ht="15">
      <c r="A3089" s="211" t="s">
        <v>487</v>
      </c>
      <c r="B3089" s="216" t="str">
        <f ca="1">_xlfn.CONCAT(B3084,A3089)</f>
        <v>378AC041-D</v>
      </c>
      <c r="C3089" s="17"/>
      <c r="D3089" s="184"/>
      <c r="E3089" s="197"/>
      <c r="F3089" s="19"/>
      <c r="G3089" s="20"/>
      <c r="H3089" s="217"/>
    </row>
    <row r="3090" spans="1:8" ht="15">
      <c r="A3090" s="211" t="s">
        <v>488</v>
      </c>
      <c r="B3090" s="216" t="str">
        <f ca="1">_xlfn.CONCAT(B3084,A3090)</f>
        <v>378AC041-E</v>
      </c>
      <c r="C3090" s="17"/>
      <c r="D3090" s="184"/>
      <c r="E3090" s="197"/>
      <c r="F3090" s="19"/>
      <c r="G3090" s="20"/>
      <c r="H3090" s="217"/>
    </row>
    <row r="3091" spans="1:8" ht="15">
      <c r="A3091" s="211" t="s">
        <v>489</v>
      </c>
      <c r="B3091" s="216" t="str">
        <f ca="1">_xlfn.CONCAT(B3084,A3091)</f>
        <v>378AC041-F</v>
      </c>
      <c r="C3091" s="17"/>
      <c r="D3091" s="184"/>
      <c r="E3091" s="197"/>
      <c r="F3091" s="19"/>
      <c r="G3091" s="20"/>
      <c r="H3091" s="217"/>
    </row>
    <row r="3092" spans="1:8">
      <c r="A3092" s="211" t="s">
        <v>490</v>
      </c>
      <c r="B3092" s="216" t="str">
        <f ca="1">_xlfn.CONCAT(B3084,A3092)</f>
        <v>378AC041-G</v>
      </c>
      <c r="C3092" s="17"/>
      <c r="D3092" s="184"/>
      <c r="E3092" s="197"/>
      <c r="F3092" s="19"/>
      <c r="G3092" s="20"/>
    </row>
    <row r="3093" spans="1:8">
      <c r="A3093" s="211" t="s">
        <v>491</v>
      </c>
      <c r="B3093" s="216" t="str">
        <f ca="1">_xlfn.CONCAT(B3084,A3093)</f>
        <v>378AC041-H</v>
      </c>
      <c r="C3093" s="17"/>
      <c r="D3093" s="184"/>
      <c r="E3093" s="197"/>
      <c r="F3093" s="19"/>
      <c r="G3093" s="20"/>
    </row>
    <row r="3094" spans="1:8">
      <c r="A3094" s="211" t="s">
        <v>492</v>
      </c>
      <c r="B3094" s="216" t="str">
        <f ca="1">_xlfn.CONCAT(B3084,A3094)</f>
        <v>378AC041-I</v>
      </c>
      <c r="C3094" s="17"/>
      <c r="D3094" s="184"/>
      <c r="E3094" s="197"/>
      <c r="F3094" s="19"/>
      <c r="G3094" s="20"/>
    </row>
    <row r="3095" spans="1:8">
      <c r="A3095" s="211" t="s">
        <v>493</v>
      </c>
      <c r="B3095" s="216" t="str">
        <f ca="1">_xlfn.CONCAT(B3084,A3095)</f>
        <v>378AC041-J</v>
      </c>
      <c r="C3095" s="17"/>
      <c r="D3095" s="184"/>
      <c r="E3095" s="197"/>
      <c r="F3095" s="19"/>
      <c r="G3095" s="20"/>
    </row>
    <row r="3096" spans="1:8">
      <c r="A3096" s="211" t="s">
        <v>494</v>
      </c>
      <c r="B3096" s="216" t="str">
        <f ca="1">_xlfn.CONCAT(B3084,A3096)</f>
        <v>378AC041-K</v>
      </c>
      <c r="C3096" s="17"/>
      <c r="D3096" s="184"/>
      <c r="E3096" s="197"/>
      <c r="F3096" s="19"/>
      <c r="G3096" s="20"/>
    </row>
    <row r="3097" spans="1:8">
      <c r="A3097" s="211" t="s">
        <v>495</v>
      </c>
      <c r="B3097" s="216" t="str">
        <f ca="1">_xlfn.CONCAT(B3084,A3097)</f>
        <v>378AC041-L</v>
      </c>
      <c r="C3097" s="17"/>
      <c r="D3097" s="184"/>
      <c r="E3097" s="197"/>
      <c r="F3097" s="19"/>
      <c r="G3097" s="20"/>
    </row>
    <row r="3098" spans="1:8">
      <c r="A3098" s="211" t="s">
        <v>496</v>
      </c>
      <c r="B3098" s="216" t="str">
        <f ca="1">_xlfn.CONCAT(B3084,A3098)</f>
        <v>378AC041-M</v>
      </c>
      <c r="C3098" s="17"/>
      <c r="D3098" s="184"/>
      <c r="E3098" s="197"/>
      <c r="F3098" s="19"/>
      <c r="G3098" s="20"/>
    </row>
    <row r="3099" spans="1:8">
      <c r="A3099" s="211" t="s">
        <v>497</v>
      </c>
      <c r="B3099" s="216" t="str">
        <f ca="1">_xlfn.CONCAT(B3084,A3099)</f>
        <v>378AC041-N</v>
      </c>
      <c r="C3099" s="17"/>
      <c r="D3099" s="184"/>
      <c r="E3099" s="197"/>
      <c r="F3099" s="19"/>
      <c r="G3099" s="20"/>
    </row>
    <row r="3100" spans="1:8">
      <c r="A3100" s="211" t="s">
        <v>498</v>
      </c>
      <c r="B3100" s="216" t="str">
        <f ca="1">_xlfn.CONCAT(B3084,A3100)</f>
        <v>378AC041-O</v>
      </c>
      <c r="C3100" s="17"/>
      <c r="D3100" s="184"/>
      <c r="E3100" s="197"/>
      <c r="F3100" s="19"/>
      <c r="G3100" s="20"/>
    </row>
    <row r="3101" spans="1:8">
      <c r="A3101" s="211" t="s">
        <v>499</v>
      </c>
      <c r="B3101" s="216" t="str">
        <f ca="1">_xlfn.CONCAT(B3084,A3101)</f>
        <v>378AC041-P</v>
      </c>
      <c r="C3101" s="17"/>
      <c r="D3101" s="184"/>
      <c r="E3101" s="197"/>
      <c r="F3101" s="19"/>
      <c r="G3101" s="20"/>
    </row>
    <row r="3102" spans="1:8">
      <c r="A3102" s="211" t="s">
        <v>500</v>
      </c>
      <c r="B3102" s="216" t="str">
        <f ca="1">_xlfn.CONCAT(B3084,A3102)</f>
        <v>378AC041-Q</v>
      </c>
      <c r="C3102" s="17"/>
      <c r="D3102" s="184"/>
      <c r="E3102" s="197"/>
      <c r="F3102" s="19"/>
      <c r="G3102" s="20"/>
    </row>
    <row r="3103" spans="1:8">
      <c r="A3103" s="211" t="s">
        <v>501</v>
      </c>
      <c r="B3103" s="216" t="str">
        <f ca="1">_xlfn.CONCAT(B3084,A3103)</f>
        <v>378AC041-R</v>
      </c>
      <c r="C3103" s="17"/>
      <c r="D3103" s="184"/>
      <c r="E3103" s="197"/>
      <c r="F3103" s="19"/>
      <c r="G3103" s="20"/>
    </row>
    <row r="3104" spans="1:8">
      <c r="A3104" s="211" t="s">
        <v>502</v>
      </c>
      <c r="B3104" s="216" t="str">
        <f ca="1">_xlfn.CONCAT(B3084,A3104)</f>
        <v>378AC041-S</v>
      </c>
      <c r="C3104" s="17"/>
      <c r="D3104" s="184"/>
      <c r="E3104" s="197"/>
      <c r="F3104" s="19"/>
      <c r="G3104" s="20"/>
    </row>
    <row r="3105" spans="1:8">
      <c r="A3105" s="211" t="s">
        <v>503</v>
      </c>
      <c r="B3105" s="216" t="str">
        <f ca="1">_xlfn.CONCAT(B3084,A3105)</f>
        <v>378AC041-T</v>
      </c>
      <c r="C3105" s="17"/>
      <c r="D3105" s="184"/>
      <c r="E3105" s="197"/>
      <c r="F3105" s="19"/>
      <c r="G3105" s="20"/>
    </row>
    <row r="3106" spans="1:8" ht="14.25" thickBot="1">
      <c r="A3106" s="211" t="s">
        <v>504</v>
      </c>
      <c r="B3106" s="216" t="str">
        <f ca="1">_xlfn.CONCAT(B3084,A3106)</f>
        <v>378AC041-U</v>
      </c>
      <c r="C3106" s="17"/>
      <c r="D3106" s="184"/>
      <c r="E3106" s="197"/>
      <c r="F3106" s="19"/>
      <c r="G3106" s="20"/>
    </row>
    <row r="3107" spans="1:8" ht="16.5" customHeight="1" thickBot="1">
      <c r="A3107" s="211" t="s">
        <v>505</v>
      </c>
      <c r="B3107" s="216" t="str">
        <f ca="1">_xlfn.CONCAT(B3084,A3107)</f>
        <v>378AC041-V</v>
      </c>
      <c r="C3107" s="17" t="s">
        <v>17</v>
      </c>
      <c r="D3107" s="192" t="s">
        <v>17</v>
      </c>
      <c r="E3107" s="18"/>
      <c r="F3107" s="22" t="s">
        <v>18</v>
      </c>
      <c r="G3107" s="23">
        <f>SUM(G3086:G3106)</f>
        <v>56330</v>
      </c>
    </row>
    <row r="3108" spans="1:8" ht="28.5" customHeight="1" thickBot="1">
      <c r="A3108" s="211" t="s">
        <v>506</v>
      </c>
      <c r="B3108" s="216" t="str">
        <f ca="1">_xlfn.CONCAT(B3084,A3108)</f>
        <v>378AC041-W</v>
      </c>
      <c r="C3108" s="10" t="s">
        <v>19</v>
      </c>
      <c r="D3108" s="190"/>
      <c r="E3108" s="11"/>
      <c r="F3108" s="12"/>
      <c r="G3108" s="13"/>
    </row>
    <row r="3109" spans="1:8" s="47" customFormat="1" ht="23.25" customHeight="1" thickBot="1">
      <c r="A3109" s="211" t="s">
        <v>507</v>
      </c>
      <c r="B3109" s="216" t="str">
        <f ca="1">_xlfn.CONCAT(B3084,A3109)</f>
        <v>378AC041-X</v>
      </c>
      <c r="C3109" s="14" t="s">
        <v>1</v>
      </c>
      <c r="D3109" s="15"/>
      <c r="E3109" s="15" t="s">
        <v>20</v>
      </c>
      <c r="F3109" s="16" t="s">
        <v>21</v>
      </c>
      <c r="G3109" s="15" t="s">
        <v>5</v>
      </c>
      <c r="H3109" s="215"/>
    </row>
    <row r="3110" spans="1:8">
      <c r="A3110" s="211" t="s">
        <v>508</v>
      </c>
      <c r="B3110" s="216" t="str">
        <f ca="1">_xlfn.CONCAT(B3084,A3110)</f>
        <v>378AC041-Y</v>
      </c>
      <c r="C3110" s="24" t="s">
        <v>22</v>
      </c>
      <c r="D3110" s="184"/>
      <c r="E3110" s="25">
        <f>_xlfn.XLOOKUP(C3110,'H-MO'!B$7:B$30,'H-MO'!D$7:D$30,,0,1)</f>
        <v>2436.5624999999995</v>
      </c>
      <c r="F3110" s="19">
        <v>0.7</v>
      </c>
      <c r="G3110" s="33">
        <f t="shared" ref="G3110:G3115" si="90">+E3110*F3110</f>
        <v>1705.5937499999995</v>
      </c>
    </row>
    <row r="3111" spans="1:8">
      <c r="A3111" s="211" t="s">
        <v>509</v>
      </c>
      <c r="B3111" s="216" t="str">
        <f ca="1">_xlfn.CONCAT(B3084,A3111)</f>
        <v>378AC041-Z</v>
      </c>
      <c r="C3111" s="24" t="s">
        <v>23</v>
      </c>
      <c r="D3111" s="184"/>
      <c r="E3111" s="25">
        <f>_xlfn.XLOOKUP(C3111,'H-MO'!B$7:B$30,'H-MO'!D$7:D$30,,0,1)</f>
        <v>1461.9374999999998</v>
      </c>
      <c r="F3111" s="19">
        <v>0.1</v>
      </c>
      <c r="G3111" s="33">
        <f t="shared" si="90"/>
        <v>146.19374999999999</v>
      </c>
    </row>
    <row r="3112" spans="1:8">
      <c r="A3112" s="211" t="s">
        <v>510</v>
      </c>
      <c r="B3112" s="216" t="str">
        <f ca="1">_xlfn.CONCAT(B3084,A3112)</f>
        <v>378AC041-aa</v>
      </c>
      <c r="C3112" s="24" t="s">
        <v>24</v>
      </c>
      <c r="D3112" s="185"/>
      <c r="E3112" s="25">
        <f>_xlfn.XLOOKUP(C3112,'H-MO'!B$7:B$30,'H-MO'!D$7:D$30,,0,1)</f>
        <v>29238.749999999996</v>
      </c>
      <c r="F3112" s="28">
        <v>0.01</v>
      </c>
      <c r="G3112" s="33">
        <f t="shared" si="90"/>
        <v>292.38749999999999</v>
      </c>
    </row>
    <row r="3113" spans="1:8">
      <c r="A3113" s="211" t="s">
        <v>511</v>
      </c>
      <c r="B3113" s="216" t="str">
        <f ca="1">_xlfn.CONCAT(B3084,A3113)</f>
        <v>378AC041-ab</v>
      </c>
      <c r="C3113" s="24" t="s">
        <v>25</v>
      </c>
      <c r="D3113" s="185"/>
      <c r="E3113" s="25">
        <f>_xlfn.XLOOKUP(C3113,'H-MO'!B$7:B$30,'H-MO'!D$7:D$30,,0,1)</f>
        <v>2761.4374999999995</v>
      </c>
      <c r="F3113" s="28">
        <v>0.01</v>
      </c>
      <c r="G3113" s="33">
        <f t="shared" si="90"/>
        <v>27.614374999999995</v>
      </c>
    </row>
    <row r="3114" spans="1:8">
      <c r="A3114" s="211" t="s">
        <v>512</v>
      </c>
      <c r="B3114" s="216" t="str">
        <f ca="1">_xlfn.CONCAT(B3084,A3114)</f>
        <v>378AC041-ac</v>
      </c>
      <c r="C3114" s="24"/>
      <c r="D3114" s="185"/>
      <c r="E3114" s="29"/>
      <c r="F3114" s="28"/>
      <c r="G3114" s="33">
        <f t="shared" si="90"/>
        <v>0</v>
      </c>
    </row>
    <row r="3115" spans="1:8" ht="14.25" thickBot="1">
      <c r="A3115" s="211" t="s">
        <v>513</v>
      </c>
      <c r="B3115" s="216" t="str">
        <f ca="1">_xlfn.CONCAT(B3084,A3115)</f>
        <v>378AC041-ad</v>
      </c>
      <c r="C3115" s="24"/>
      <c r="D3115" s="185"/>
      <c r="E3115" s="29"/>
      <c r="F3115" s="28"/>
      <c r="G3115" s="33">
        <f t="shared" si="90"/>
        <v>0</v>
      </c>
    </row>
    <row r="3116" spans="1:8" ht="16.5" customHeight="1" thickBot="1">
      <c r="A3116" s="211" t="s">
        <v>514</v>
      </c>
      <c r="B3116" s="216" t="str">
        <f ca="1">_xlfn.CONCAT(B3084,A3116)</f>
        <v>378AC041-ae</v>
      </c>
      <c r="C3116" s="17"/>
      <c r="D3116" s="192"/>
      <c r="E3116" s="18"/>
      <c r="F3116" s="22" t="s">
        <v>26</v>
      </c>
      <c r="G3116" s="23">
        <f>SUM(G3110:G3115)</f>
        <v>2171.7893749999994</v>
      </c>
    </row>
    <row r="3117" spans="1:8" ht="28.5" customHeight="1" thickBot="1">
      <c r="A3117" s="211" t="s">
        <v>515</v>
      </c>
      <c r="B3117" s="216" t="str">
        <f ca="1">_xlfn.CONCAT(B3084,A3117)</f>
        <v>378AC041-af</v>
      </c>
      <c r="C3117" s="10" t="s">
        <v>27</v>
      </c>
      <c r="D3117" s="190"/>
      <c r="E3117" s="11"/>
      <c r="F3117" s="12"/>
      <c r="G3117" s="13"/>
    </row>
    <row r="3118" spans="1:8" s="47" customFormat="1" ht="23.25" customHeight="1" thickBot="1">
      <c r="A3118" s="211" t="s">
        <v>516</v>
      </c>
      <c r="B3118" s="216" t="str">
        <f ca="1">_xlfn.CONCAT(B3084,A3118)</f>
        <v>378AC041-ag</v>
      </c>
      <c r="C3118" s="14" t="s">
        <v>1</v>
      </c>
      <c r="D3118" s="15" t="s">
        <v>28</v>
      </c>
      <c r="E3118" s="15" t="s">
        <v>20</v>
      </c>
      <c r="F3118" s="16" t="s">
        <v>21</v>
      </c>
      <c r="G3118" s="15" t="s">
        <v>5</v>
      </c>
      <c r="H3118" s="215"/>
    </row>
    <row r="3119" spans="1:8">
      <c r="A3119" s="211" t="s">
        <v>517</v>
      </c>
      <c r="B3119" s="216" t="str">
        <f ca="1">_xlfn.CONCAT(B3084,A3119)</f>
        <v>378AC041-ah</v>
      </c>
      <c r="C3119" s="30" t="s">
        <v>29</v>
      </c>
      <c r="D3119" s="186">
        <f>'H-MO'!$N$77</f>
        <v>725918.52892505517</v>
      </c>
      <c r="E3119" s="31">
        <f>+D3119/8</f>
        <v>90739.816115631897</v>
      </c>
      <c r="F3119" s="32">
        <v>0.25</v>
      </c>
      <c r="G3119" s="33">
        <f>+E3119*F3119</f>
        <v>22684.954028907974</v>
      </c>
    </row>
    <row r="3120" spans="1:8">
      <c r="A3120" s="211" t="s">
        <v>518</v>
      </c>
      <c r="B3120" s="216" t="str">
        <f ca="1">_xlfn.CONCAT(B3084,A3120)</f>
        <v>378AC041-ai</v>
      </c>
      <c r="C3120" s="34" t="s">
        <v>30</v>
      </c>
      <c r="D3120" s="187">
        <f>'H-MO'!$N$86</f>
        <v>685561.39085756091</v>
      </c>
      <c r="E3120" s="29">
        <f>+D3120/8</f>
        <v>85695.173857195114</v>
      </c>
      <c r="F3120" s="28">
        <v>0</v>
      </c>
      <c r="G3120" s="33">
        <f>+E3120*F3120</f>
        <v>0</v>
      </c>
    </row>
    <row r="3121" spans="1:8" ht="14.25" thickBot="1">
      <c r="A3121" s="211" t="s">
        <v>519</v>
      </c>
      <c r="B3121" s="216" t="str">
        <f ca="1">_xlfn.CONCAT(B3084,A3121)</f>
        <v>378AC041-aj</v>
      </c>
      <c r="C3121" s="34"/>
      <c r="D3121" s="187"/>
      <c r="E3121" s="29"/>
      <c r="F3121" s="28"/>
      <c r="G3121" s="33">
        <f>+E3121*F3121</f>
        <v>0</v>
      </c>
    </row>
    <row r="3122" spans="1:8" ht="17.25" customHeight="1" thickBot="1">
      <c r="A3122" s="211" t="s">
        <v>520</v>
      </c>
      <c r="B3122" s="216" t="str">
        <f ca="1">_xlfn.CONCAT(B3084,A3122)</f>
        <v>378AC041-ak</v>
      </c>
      <c r="C3122" s="34"/>
      <c r="D3122" s="185"/>
      <c r="E3122" s="26"/>
      <c r="F3122" s="36" t="s">
        <v>31</v>
      </c>
      <c r="G3122" s="23">
        <f>SUM(G3119:G3121)</f>
        <v>22684.954028907974</v>
      </c>
    </row>
    <row r="3123" spans="1:8" ht="14.25" thickBot="1">
      <c r="A3123" s="211" t="s">
        <v>521</v>
      </c>
      <c r="B3123" s="216" t="str">
        <f ca="1">_xlfn.CONCAT(B3084,A3123)</f>
        <v>378AC041-al</v>
      </c>
      <c r="C3123" s="37"/>
      <c r="E3123" s="38"/>
      <c r="F3123" s="22"/>
      <c r="G3123" s="39"/>
    </row>
    <row r="3124" spans="1:8" ht="23.25" customHeight="1" thickBot="1">
      <c r="A3124" s="211" t="s">
        <v>522</v>
      </c>
      <c r="B3124" s="216" t="str">
        <f ca="1">_xlfn.CONCAT(B3084,A3124)</f>
        <v>378AC041-am</v>
      </c>
      <c r="C3124" s="40"/>
      <c r="D3124" s="193"/>
      <c r="E3124" s="41"/>
      <c r="F3124" s="42"/>
      <c r="G3124" s="43">
        <f>+G3107+G3116+G3122</f>
        <v>81186.743403907982</v>
      </c>
    </row>
    <row r="3125" spans="1:8" ht="21.75" thickBot="1">
      <c r="B3125" s="212" t="s">
        <v>550</v>
      </c>
      <c r="C3125" s="2"/>
      <c r="D3125" s="183"/>
      <c r="F3125" s="4"/>
      <c r="G3125" s="5"/>
    </row>
    <row r="3126" spans="1:8" s="45" customFormat="1" ht="34.5" customHeight="1">
      <c r="A3126" s="213"/>
      <c r="B3126" s="214">
        <v>72</v>
      </c>
      <c r="C3126" s="242" t="str">
        <f ca="1">_xlfn.XLOOKUP(B3126,Cantidades!$A$10:$A$314,Cantidades!$C$10:$C$314,,0,1)</f>
        <v>Suministro e instalación de caja para amplificador TDT. Incluye caja de 0,50x0,50m fondo de madera y demas accesorios para su correcta instalación, funcionamiento y señalización.</v>
      </c>
      <c r="D3126" s="243"/>
      <c r="E3126" s="243"/>
      <c r="F3126" s="243"/>
      <c r="G3126" s="244"/>
      <c r="H3126" s="213"/>
    </row>
    <row r="3127" spans="1:8" s="47" customFormat="1" ht="24.95" customHeight="1" thickBot="1">
      <c r="A3127" s="215"/>
      <c r="B3127" s="216" t="s">
        <v>550</v>
      </c>
      <c r="C3127" s="177"/>
      <c r="D3127" s="189"/>
      <c r="E3127" s="178"/>
      <c r="F3127" s="179" t="s">
        <v>636</v>
      </c>
      <c r="G3127" s="209" t="str">
        <f ca="1">B3128</f>
        <v>39B9C89B-</v>
      </c>
      <c r="H3127" s="215"/>
    </row>
    <row r="3128" spans="1:8" ht="28.5" customHeight="1" thickBot="1">
      <c r="B3128" s="212" t="str">
        <f ca="1">_xlfn.XLOOKUP(C3126,Cantidades!$C$1:$C$314,Cantidades!$B$1:$B$314,"",0,1)</f>
        <v>39B9C89B-</v>
      </c>
      <c r="C3128" s="10" t="s">
        <v>0</v>
      </c>
      <c r="D3128" s="190"/>
      <c r="E3128" s="11"/>
      <c r="F3128" s="12"/>
      <c r="G3128" s="13"/>
    </row>
    <row r="3129" spans="1:8" s="47" customFormat="1" ht="23.25" customHeight="1" thickBot="1">
      <c r="A3129" s="215"/>
      <c r="B3129" s="216" t="s">
        <v>550</v>
      </c>
      <c r="C3129" s="14" t="s">
        <v>1</v>
      </c>
      <c r="D3129" s="15" t="s">
        <v>2</v>
      </c>
      <c r="E3129" s="15" t="s">
        <v>3</v>
      </c>
      <c r="F3129" s="16" t="s">
        <v>4</v>
      </c>
      <c r="G3129" s="15" t="s">
        <v>5</v>
      </c>
      <c r="H3129" s="215"/>
    </row>
    <row r="3130" spans="1:8" ht="15">
      <c r="A3130" s="211" t="s">
        <v>484</v>
      </c>
      <c r="B3130" s="216" t="str">
        <f ca="1">_xlfn.CONCAT(B3128,A3130)</f>
        <v>39B9C89B-A</v>
      </c>
      <c r="C3130" s="17" t="str">
        <f>_xlfn.XLOOKUP(H3130,'Materiales unitario'!$A$1:$A$2500,'Materiales unitario'!B$1:B$2500,,0,1)</f>
        <v>Caja metalica 50x50x20</v>
      </c>
      <c r="D3130" s="184" t="str">
        <f>_xlfn.XLOOKUP(H3130,'Materiales unitario'!A$1:A$2500,'Materiales unitario'!C$1:C$2500,,0,1)</f>
        <v>un</v>
      </c>
      <c r="E3130" s="197">
        <f>_xlfn.XLOOKUP(H3130,'Materiales unitario'!$A$1:$A$2500,'Materiales unitario'!D$1:D$2500,,0,1)</f>
        <v>155630</v>
      </c>
      <c r="F3130" s="19">
        <v>1</v>
      </c>
      <c r="G3130" s="20">
        <f>+E3130*F3130</f>
        <v>155630</v>
      </c>
      <c r="H3130" s="217" t="s">
        <v>780</v>
      </c>
    </row>
    <row r="3131" spans="1:8" ht="15">
      <c r="A3131" s="211" t="s">
        <v>485</v>
      </c>
      <c r="B3131" s="216" t="str">
        <f ca="1">_xlfn.CONCAT(B3128,A3131)</f>
        <v>39B9C89B-B</v>
      </c>
      <c r="C3131" s="17" t="str">
        <f>_xlfn.XLOOKUP(H3131,'Materiales unitario'!$A$1:$A$2500,'Materiales unitario'!B$1:B$2500,,0,1)</f>
        <v>Accesorios de anclaje y fijacion.</v>
      </c>
      <c r="D3131" s="184" t="str">
        <f>_xlfn.XLOOKUP(H3131,'Materiales unitario'!A$1:A$2500,'Materiales unitario'!C$1:C$2500,,0,1)</f>
        <v>un</v>
      </c>
      <c r="E3131" s="197">
        <f>_xlfn.XLOOKUP(H3131,'Materiales unitario'!$A$1:$A$2500,'Materiales unitario'!D$1:D$2500,,0,1)</f>
        <v>10000</v>
      </c>
      <c r="F3131" s="19">
        <v>1</v>
      </c>
      <c r="G3131" s="20">
        <f>+E3131*F3131</f>
        <v>10000</v>
      </c>
      <c r="H3131" s="217" t="s">
        <v>222</v>
      </c>
    </row>
    <row r="3132" spans="1:8" ht="15">
      <c r="A3132" s="211" t="s">
        <v>486</v>
      </c>
      <c r="B3132" s="216" t="str">
        <f ca="1">_xlfn.CONCAT(B3128,A3132)</f>
        <v>39B9C89B-C</v>
      </c>
      <c r="C3132" s="17"/>
      <c r="D3132" s="184"/>
      <c r="E3132" s="197"/>
      <c r="F3132" s="19"/>
      <c r="G3132" s="20"/>
      <c r="H3132" s="217"/>
    </row>
    <row r="3133" spans="1:8" ht="15">
      <c r="A3133" s="211" t="s">
        <v>487</v>
      </c>
      <c r="B3133" s="216" t="str">
        <f ca="1">_xlfn.CONCAT(B3128,A3133)</f>
        <v>39B9C89B-D</v>
      </c>
      <c r="C3133" s="17"/>
      <c r="D3133" s="184"/>
      <c r="E3133" s="197"/>
      <c r="F3133" s="19"/>
      <c r="G3133" s="20"/>
      <c r="H3133" s="217"/>
    </row>
    <row r="3134" spans="1:8" ht="15">
      <c r="A3134" s="211" t="s">
        <v>488</v>
      </c>
      <c r="B3134" s="216" t="str">
        <f ca="1">_xlfn.CONCAT(B3128,A3134)</f>
        <v>39B9C89B-E</v>
      </c>
      <c r="C3134" s="17"/>
      <c r="D3134" s="184"/>
      <c r="E3134" s="197"/>
      <c r="F3134" s="19"/>
      <c r="G3134" s="20"/>
      <c r="H3134" s="217"/>
    </row>
    <row r="3135" spans="1:8" ht="15">
      <c r="A3135" s="211" t="s">
        <v>489</v>
      </c>
      <c r="B3135" s="216" t="str">
        <f ca="1">_xlfn.CONCAT(B3128,A3135)</f>
        <v>39B9C89B-F</v>
      </c>
      <c r="C3135" s="17"/>
      <c r="D3135" s="184"/>
      <c r="E3135" s="197"/>
      <c r="F3135" s="19"/>
      <c r="G3135" s="20"/>
      <c r="H3135" s="217"/>
    </row>
    <row r="3136" spans="1:8">
      <c r="A3136" s="211" t="s">
        <v>490</v>
      </c>
      <c r="B3136" s="216" t="str">
        <f ca="1">_xlfn.CONCAT(B3128,A3136)</f>
        <v>39B9C89B-G</v>
      </c>
      <c r="C3136" s="17"/>
      <c r="D3136" s="184"/>
      <c r="E3136" s="197"/>
      <c r="F3136" s="19"/>
      <c r="G3136" s="20"/>
    </row>
    <row r="3137" spans="1:7">
      <c r="A3137" s="211" t="s">
        <v>491</v>
      </c>
      <c r="B3137" s="216" t="str">
        <f ca="1">_xlfn.CONCAT(B3128,A3137)</f>
        <v>39B9C89B-H</v>
      </c>
      <c r="C3137" s="17"/>
      <c r="D3137" s="184"/>
      <c r="E3137" s="197"/>
      <c r="F3137" s="19"/>
      <c r="G3137" s="20"/>
    </row>
    <row r="3138" spans="1:7">
      <c r="A3138" s="211" t="s">
        <v>492</v>
      </c>
      <c r="B3138" s="216" t="str">
        <f ca="1">_xlfn.CONCAT(B3128,A3138)</f>
        <v>39B9C89B-I</v>
      </c>
      <c r="C3138" s="17"/>
      <c r="D3138" s="184"/>
      <c r="E3138" s="197"/>
      <c r="F3138" s="19"/>
      <c r="G3138" s="20"/>
    </row>
    <row r="3139" spans="1:7">
      <c r="A3139" s="211" t="s">
        <v>493</v>
      </c>
      <c r="B3139" s="216" t="str">
        <f ca="1">_xlfn.CONCAT(B3128,A3139)</f>
        <v>39B9C89B-J</v>
      </c>
      <c r="C3139" s="17"/>
      <c r="D3139" s="184"/>
      <c r="E3139" s="197"/>
      <c r="F3139" s="19"/>
      <c r="G3139" s="20"/>
    </row>
    <row r="3140" spans="1:7">
      <c r="A3140" s="211" t="s">
        <v>494</v>
      </c>
      <c r="B3140" s="216" t="str">
        <f ca="1">_xlfn.CONCAT(B3128,A3140)</f>
        <v>39B9C89B-K</v>
      </c>
      <c r="C3140" s="17"/>
      <c r="D3140" s="184"/>
      <c r="E3140" s="197"/>
      <c r="F3140" s="19"/>
      <c r="G3140" s="20"/>
    </row>
    <row r="3141" spans="1:7">
      <c r="A3141" s="211" t="s">
        <v>495</v>
      </c>
      <c r="B3141" s="216" t="str">
        <f ca="1">_xlfn.CONCAT(B3128,A3141)</f>
        <v>39B9C89B-L</v>
      </c>
      <c r="C3141" s="17"/>
      <c r="D3141" s="184"/>
      <c r="E3141" s="197"/>
      <c r="F3141" s="19"/>
      <c r="G3141" s="20"/>
    </row>
    <row r="3142" spans="1:7">
      <c r="A3142" s="211" t="s">
        <v>496</v>
      </c>
      <c r="B3142" s="216" t="str">
        <f ca="1">_xlfn.CONCAT(B3128,A3142)</f>
        <v>39B9C89B-M</v>
      </c>
      <c r="C3142" s="17"/>
      <c r="D3142" s="184"/>
      <c r="E3142" s="197"/>
      <c r="F3142" s="19"/>
      <c r="G3142" s="20"/>
    </row>
    <row r="3143" spans="1:7">
      <c r="A3143" s="211" t="s">
        <v>497</v>
      </c>
      <c r="B3143" s="216" t="str">
        <f ca="1">_xlfn.CONCAT(B3128,A3143)</f>
        <v>39B9C89B-N</v>
      </c>
      <c r="C3143" s="17"/>
      <c r="D3143" s="184"/>
      <c r="E3143" s="197"/>
      <c r="F3143" s="19"/>
      <c r="G3143" s="20"/>
    </row>
    <row r="3144" spans="1:7">
      <c r="A3144" s="211" t="s">
        <v>498</v>
      </c>
      <c r="B3144" s="216" t="str">
        <f ca="1">_xlfn.CONCAT(B3128,A3144)</f>
        <v>39B9C89B-O</v>
      </c>
      <c r="C3144" s="17"/>
      <c r="D3144" s="184"/>
      <c r="E3144" s="197"/>
      <c r="F3144" s="19"/>
      <c r="G3144" s="20"/>
    </row>
    <row r="3145" spans="1:7">
      <c r="A3145" s="211" t="s">
        <v>499</v>
      </c>
      <c r="B3145" s="216" t="str">
        <f ca="1">_xlfn.CONCAT(B3128,A3145)</f>
        <v>39B9C89B-P</v>
      </c>
      <c r="C3145" s="17"/>
      <c r="D3145" s="184"/>
      <c r="E3145" s="197"/>
      <c r="F3145" s="19"/>
      <c r="G3145" s="20"/>
    </row>
    <row r="3146" spans="1:7">
      <c r="A3146" s="211" t="s">
        <v>500</v>
      </c>
      <c r="B3146" s="216" t="str">
        <f ca="1">_xlfn.CONCAT(B3128,A3146)</f>
        <v>39B9C89B-Q</v>
      </c>
      <c r="C3146" s="17"/>
      <c r="D3146" s="184"/>
      <c r="E3146" s="197"/>
      <c r="F3146" s="19"/>
      <c r="G3146" s="20"/>
    </row>
    <row r="3147" spans="1:7">
      <c r="A3147" s="211" t="s">
        <v>501</v>
      </c>
      <c r="B3147" s="216" t="str">
        <f ca="1">_xlfn.CONCAT(B3128,A3147)</f>
        <v>39B9C89B-R</v>
      </c>
      <c r="C3147" s="17"/>
      <c r="D3147" s="184"/>
      <c r="E3147" s="197"/>
      <c r="F3147" s="19"/>
      <c r="G3147" s="20"/>
    </row>
    <row r="3148" spans="1:7">
      <c r="A3148" s="211" t="s">
        <v>502</v>
      </c>
      <c r="B3148" s="216" t="str">
        <f ca="1">_xlfn.CONCAT(B3128,A3148)</f>
        <v>39B9C89B-S</v>
      </c>
      <c r="C3148" s="17"/>
      <c r="D3148" s="184"/>
      <c r="E3148" s="197"/>
      <c r="F3148" s="19"/>
      <c r="G3148" s="20"/>
    </row>
    <row r="3149" spans="1:7">
      <c r="A3149" s="211" t="s">
        <v>503</v>
      </c>
      <c r="B3149" s="216" t="str">
        <f ca="1">_xlfn.CONCAT(B3128,A3149)</f>
        <v>39B9C89B-T</v>
      </c>
      <c r="C3149" s="17"/>
      <c r="D3149" s="184"/>
      <c r="E3149" s="197"/>
      <c r="F3149" s="19"/>
      <c r="G3149" s="20"/>
    </row>
    <row r="3150" spans="1:7" ht="14.25" thickBot="1">
      <c r="A3150" s="211" t="s">
        <v>504</v>
      </c>
      <c r="B3150" s="216" t="str">
        <f ca="1">_xlfn.CONCAT(B3128,A3150)</f>
        <v>39B9C89B-U</v>
      </c>
      <c r="C3150" s="17"/>
      <c r="D3150" s="184"/>
      <c r="E3150" s="197"/>
      <c r="F3150" s="19"/>
      <c r="G3150" s="20"/>
    </row>
    <row r="3151" spans="1:7" ht="16.5" customHeight="1" thickBot="1">
      <c r="A3151" s="211" t="s">
        <v>505</v>
      </c>
      <c r="B3151" s="216" t="str">
        <f ca="1">_xlfn.CONCAT(B3128,A3151)</f>
        <v>39B9C89B-V</v>
      </c>
      <c r="C3151" s="17" t="s">
        <v>17</v>
      </c>
      <c r="D3151" s="192" t="s">
        <v>17</v>
      </c>
      <c r="E3151" s="18"/>
      <c r="F3151" s="22" t="s">
        <v>18</v>
      </c>
      <c r="G3151" s="23">
        <f>SUM(G3130:G3150)</f>
        <v>165630</v>
      </c>
    </row>
    <row r="3152" spans="1:7" ht="28.5" customHeight="1" thickBot="1">
      <c r="A3152" s="211" t="s">
        <v>506</v>
      </c>
      <c r="B3152" s="216" t="str">
        <f ca="1">_xlfn.CONCAT(B3128,A3152)</f>
        <v>39B9C89B-W</v>
      </c>
      <c r="C3152" s="10" t="s">
        <v>19</v>
      </c>
      <c r="D3152" s="190"/>
      <c r="E3152" s="11"/>
      <c r="F3152" s="12"/>
      <c r="G3152" s="13"/>
    </row>
    <row r="3153" spans="1:8" s="47" customFormat="1" ht="23.25" customHeight="1" thickBot="1">
      <c r="A3153" s="211" t="s">
        <v>507</v>
      </c>
      <c r="B3153" s="216" t="str">
        <f ca="1">_xlfn.CONCAT(B3128,A3153)</f>
        <v>39B9C89B-X</v>
      </c>
      <c r="C3153" s="14" t="s">
        <v>1</v>
      </c>
      <c r="D3153" s="15"/>
      <c r="E3153" s="15" t="s">
        <v>20</v>
      </c>
      <c r="F3153" s="16" t="s">
        <v>21</v>
      </c>
      <c r="G3153" s="15" t="s">
        <v>5</v>
      </c>
      <c r="H3153" s="215"/>
    </row>
    <row r="3154" spans="1:8">
      <c r="A3154" s="211" t="s">
        <v>508</v>
      </c>
      <c r="B3154" s="216" t="str">
        <f ca="1">_xlfn.CONCAT(B3128,A3154)</f>
        <v>39B9C89B-Y</v>
      </c>
      <c r="C3154" s="24" t="s">
        <v>22</v>
      </c>
      <c r="D3154" s="184"/>
      <c r="E3154" s="25">
        <f>_xlfn.XLOOKUP(C3154,'H-MO'!B$7:B$30,'H-MO'!D$7:D$30,,0,1)</f>
        <v>2436.5624999999995</v>
      </c>
      <c r="F3154" s="19">
        <v>0.42963478260869564</v>
      </c>
      <c r="G3154" s="33">
        <f t="shared" ref="G3154:G3159" si="91">+E3154*F3154</f>
        <v>1046.8319999999999</v>
      </c>
    </row>
    <row r="3155" spans="1:8">
      <c r="A3155" s="211" t="s">
        <v>509</v>
      </c>
      <c r="B3155" s="216" t="str">
        <f ca="1">_xlfn.CONCAT(B3128,A3155)</f>
        <v>39B9C89B-Z</v>
      </c>
      <c r="C3155" s="24" t="s">
        <v>23</v>
      </c>
      <c r="D3155" s="184"/>
      <c r="E3155" s="25">
        <f>_xlfn.XLOOKUP(C3155,'H-MO'!B$7:B$30,'H-MO'!D$7:D$30,,0,1)</f>
        <v>1461.9374999999998</v>
      </c>
      <c r="F3155" s="19">
        <v>1.0740869565217392</v>
      </c>
      <c r="G3155" s="33">
        <f t="shared" si="91"/>
        <v>1570.2479999999998</v>
      </c>
    </row>
    <row r="3156" spans="1:8">
      <c r="A3156" s="211" t="s">
        <v>510</v>
      </c>
      <c r="B3156" s="216" t="str">
        <f ca="1">_xlfn.CONCAT(B3128,A3156)</f>
        <v>39B9C89B-aa</v>
      </c>
      <c r="C3156" s="24" t="s">
        <v>24</v>
      </c>
      <c r="D3156" s="185"/>
      <c r="E3156" s="25">
        <f>_xlfn.XLOOKUP(C3156,'H-MO'!B$7:B$30,'H-MO'!D$7:D$30,,0,1)</f>
        <v>29238.749999999996</v>
      </c>
      <c r="F3156" s="28">
        <v>1.790144927536232E-2</v>
      </c>
      <c r="G3156" s="33">
        <f t="shared" si="91"/>
        <v>523.41599999999994</v>
      </c>
    </row>
    <row r="3157" spans="1:8">
      <c r="A3157" s="211" t="s">
        <v>511</v>
      </c>
      <c r="B3157" s="216" t="str">
        <f ca="1">_xlfn.CONCAT(B3128,A3157)</f>
        <v>39B9C89B-ab</v>
      </c>
      <c r="C3157" s="24" t="s">
        <v>25</v>
      </c>
      <c r="D3157" s="185"/>
      <c r="E3157" s="25">
        <f>_xlfn.XLOOKUP(C3157,'H-MO'!B$7:B$30,'H-MO'!D$7:D$30,,0,1)</f>
        <v>2761.4374999999995</v>
      </c>
      <c r="F3157" s="28">
        <v>0.37908951406649616</v>
      </c>
      <c r="G3157" s="33">
        <f t="shared" si="91"/>
        <v>1046.8319999999999</v>
      </c>
    </row>
    <row r="3158" spans="1:8">
      <c r="A3158" s="211" t="s">
        <v>512</v>
      </c>
      <c r="B3158" s="216" t="str">
        <f ca="1">_xlfn.CONCAT(B3128,A3158)</f>
        <v>39B9C89B-ac</v>
      </c>
      <c r="C3158" s="24"/>
      <c r="D3158" s="185"/>
      <c r="E3158" s="29"/>
      <c r="F3158" s="28"/>
      <c r="G3158" s="33">
        <f t="shared" si="91"/>
        <v>0</v>
      </c>
    </row>
    <row r="3159" spans="1:8" ht="14.25" thickBot="1">
      <c r="A3159" s="211" t="s">
        <v>513</v>
      </c>
      <c r="B3159" s="216" t="str">
        <f ca="1">_xlfn.CONCAT(B3128,A3159)</f>
        <v>39B9C89B-ad</v>
      </c>
      <c r="C3159" s="24"/>
      <c r="D3159" s="185"/>
      <c r="E3159" s="29"/>
      <c r="F3159" s="28"/>
      <c r="G3159" s="33">
        <f t="shared" si="91"/>
        <v>0</v>
      </c>
    </row>
    <row r="3160" spans="1:8" ht="16.5" customHeight="1" thickBot="1">
      <c r="A3160" s="211" t="s">
        <v>514</v>
      </c>
      <c r="B3160" s="216" t="str">
        <f ca="1">_xlfn.CONCAT(B3128,A3160)</f>
        <v>39B9C89B-ae</v>
      </c>
      <c r="C3160" s="17"/>
      <c r="D3160" s="192"/>
      <c r="E3160" s="18"/>
      <c r="F3160" s="22" t="s">
        <v>26</v>
      </c>
      <c r="G3160" s="23">
        <f>SUM(G3154:G3159)</f>
        <v>4187.3279999999995</v>
      </c>
    </row>
    <row r="3161" spans="1:8" ht="28.5" customHeight="1" thickBot="1">
      <c r="A3161" s="211" t="s">
        <v>515</v>
      </c>
      <c r="B3161" s="216" t="str">
        <f ca="1">_xlfn.CONCAT(B3128,A3161)</f>
        <v>39B9C89B-af</v>
      </c>
      <c r="C3161" s="10" t="s">
        <v>27</v>
      </c>
      <c r="D3161" s="190"/>
      <c r="E3161" s="11"/>
      <c r="F3161" s="12"/>
      <c r="G3161" s="13"/>
    </row>
    <row r="3162" spans="1:8" s="47" customFormat="1" ht="23.25" customHeight="1" thickBot="1">
      <c r="A3162" s="211" t="s">
        <v>516</v>
      </c>
      <c r="B3162" s="216" t="str">
        <f ca="1">_xlfn.CONCAT(B3128,A3162)</f>
        <v>39B9C89B-ag</v>
      </c>
      <c r="C3162" s="14" t="s">
        <v>1</v>
      </c>
      <c r="D3162" s="15" t="s">
        <v>28</v>
      </c>
      <c r="E3162" s="15" t="s">
        <v>20</v>
      </c>
      <c r="F3162" s="16" t="s">
        <v>21</v>
      </c>
      <c r="G3162" s="15" t="s">
        <v>5</v>
      </c>
      <c r="H3162" s="215"/>
    </row>
    <row r="3163" spans="1:8">
      <c r="A3163" s="211" t="s">
        <v>517</v>
      </c>
      <c r="B3163" s="216" t="str">
        <f ca="1">_xlfn.CONCAT(B3128,A3163)</f>
        <v>39B9C89B-ah</v>
      </c>
      <c r="C3163" s="30" t="s">
        <v>29</v>
      </c>
      <c r="D3163" s="186">
        <f>'H-MO'!$N$77</f>
        <v>725918.52892505517</v>
      </c>
      <c r="E3163" s="31">
        <f>+D3163/8</f>
        <v>90739.816115631897</v>
      </c>
      <c r="F3163" s="32">
        <v>0.8</v>
      </c>
      <c r="G3163" s="33">
        <f>+E3163*F3163</f>
        <v>72591.852892505514</v>
      </c>
    </row>
    <row r="3164" spans="1:8">
      <c r="A3164" s="211" t="s">
        <v>518</v>
      </c>
      <c r="B3164" s="216" t="str">
        <f ca="1">_xlfn.CONCAT(B3128,A3164)</f>
        <v>39B9C89B-ai</v>
      </c>
      <c r="C3164" s="34" t="s">
        <v>30</v>
      </c>
      <c r="D3164" s="187">
        <f>'H-MO'!$N$86</f>
        <v>685561.39085756091</v>
      </c>
      <c r="E3164" s="29">
        <f>+D3164/8</f>
        <v>85695.173857195114</v>
      </c>
      <c r="F3164" s="28">
        <v>0</v>
      </c>
      <c r="G3164" s="33">
        <f>+E3164*F3164</f>
        <v>0</v>
      </c>
    </row>
    <row r="3165" spans="1:8" ht="14.25" thickBot="1">
      <c r="A3165" s="211" t="s">
        <v>519</v>
      </c>
      <c r="B3165" s="216" t="str">
        <f ca="1">_xlfn.CONCAT(B3128,A3165)</f>
        <v>39B9C89B-aj</v>
      </c>
      <c r="C3165" s="34"/>
      <c r="D3165" s="187"/>
      <c r="E3165" s="29"/>
      <c r="F3165" s="28"/>
      <c r="G3165" s="33">
        <f>+E3165*F3165</f>
        <v>0</v>
      </c>
    </row>
    <row r="3166" spans="1:8" ht="17.25" customHeight="1" thickBot="1">
      <c r="A3166" s="211" t="s">
        <v>520</v>
      </c>
      <c r="B3166" s="216" t="str">
        <f ca="1">_xlfn.CONCAT(B3128,A3166)</f>
        <v>39B9C89B-ak</v>
      </c>
      <c r="C3166" s="34"/>
      <c r="D3166" s="185"/>
      <c r="E3166" s="26"/>
      <c r="F3166" s="36" t="s">
        <v>31</v>
      </c>
      <c r="G3166" s="23">
        <f>SUM(G3163:G3165)</f>
        <v>72591.852892505514</v>
      </c>
    </row>
    <row r="3167" spans="1:8" ht="14.25" thickBot="1">
      <c r="A3167" s="211" t="s">
        <v>521</v>
      </c>
      <c r="B3167" s="216" t="str">
        <f ca="1">_xlfn.CONCAT(B3128,A3167)</f>
        <v>39B9C89B-al</v>
      </c>
      <c r="C3167" s="37"/>
      <c r="E3167" s="38"/>
      <c r="F3167" s="22"/>
      <c r="G3167" s="39"/>
    </row>
    <row r="3168" spans="1:8" ht="23.25" customHeight="1" thickBot="1">
      <c r="A3168" s="211" t="s">
        <v>522</v>
      </c>
      <c r="B3168" s="216" t="str">
        <f ca="1">_xlfn.CONCAT(B3128,A3168)</f>
        <v>39B9C89B-am</v>
      </c>
      <c r="C3168" s="40"/>
      <c r="D3168" s="193"/>
      <c r="E3168" s="41"/>
      <c r="F3168" s="42"/>
      <c r="G3168" s="43">
        <f>+G3151+G3160+G3166</f>
        <v>242409.18089250551</v>
      </c>
    </row>
    <row r="3169" spans="1:8" ht="21.75" thickBot="1">
      <c r="B3169" s="212" t="s">
        <v>550</v>
      </c>
      <c r="C3169" s="2"/>
      <c r="D3169" s="183"/>
      <c r="F3169" s="4"/>
      <c r="G3169" s="5"/>
    </row>
    <row r="3170" spans="1:8" s="45" customFormat="1" ht="34.5" customHeight="1">
      <c r="A3170" s="213"/>
      <c r="B3170" s="214">
        <v>73</v>
      </c>
      <c r="C3170" s="242" t="str">
        <f ca="1">_xlfn.XLOOKUP(B3170,Cantidades!$A$10:$A$314,Cantidades!$C$10:$C$314,,0,1)</f>
        <v>Suministro e instalación de mástil para antena de TV 1-1/4" IMC. Incluye tubo IMC 1-1/4" y demas accesorios para su correcta instalación, funcionamiento y señalización.</v>
      </c>
      <c r="D3170" s="243"/>
      <c r="E3170" s="243"/>
      <c r="F3170" s="243"/>
      <c r="G3170" s="244"/>
      <c r="H3170" s="213"/>
    </row>
    <row r="3171" spans="1:8" s="47" customFormat="1" ht="24.95" customHeight="1" thickBot="1">
      <c r="A3171" s="215"/>
      <c r="B3171" s="216" t="s">
        <v>550</v>
      </c>
      <c r="C3171" s="177"/>
      <c r="D3171" s="189"/>
      <c r="E3171" s="178"/>
      <c r="F3171" s="179" t="s">
        <v>636</v>
      </c>
      <c r="G3171" s="209" t="str">
        <f ca="1">B3172</f>
        <v>9AF4241-</v>
      </c>
      <c r="H3171" s="215"/>
    </row>
    <row r="3172" spans="1:8" ht="28.5" customHeight="1" thickBot="1">
      <c r="B3172" s="212" t="str">
        <f ca="1">_xlfn.XLOOKUP(C3170,Cantidades!$C$1:$C$314,Cantidades!$B$1:$B$314,"",0,1)</f>
        <v>9AF4241-</v>
      </c>
      <c r="C3172" s="10" t="s">
        <v>0</v>
      </c>
      <c r="D3172" s="190"/>
      <c r="E3172" s="11"/>
      <c r="F3172" s="12"/>
      <c r="G3172" s="13"/>
    </row>
    <row r="3173" spans="1:8" s="47" customFormat="1" ht="23.25" customHeight="1" thickBot="1">
      <c r="A3173" s="215"/>
      <c r="B3173" s="216" t="s">
        <v>550</v>
      </c>
      <c r="C3173" s="14" t="s">
        <v>1</v>
      </c>
      <c r="D3173" s="15" t="s">
        <v>2</v>
      </c>
      <c r="E3173" s="15" t="s">
        <v>3</v>
      </c>
      <c r="F3173" s="16" t="s">
        <v>4</v>
      </c>
      <c r="G3173" s="15" t="s">
        <v>5</v>
      </c>
      <c r="H3173" s="215"/>
    </row>
    <row r="3174" spans="1:8" ht="15">
      <c r="A3174" s="211" t="s">
        <v>484</v>
      </c>
      <c r="B3174" s="216" t="str">
        <f ca="1">_xlfn.CONCAT(B3172,A3174)</f>
        <v>9AF4241-A</v>
      </c>
      <c r="C3174" s="17" t="str">
        <f>_xlfn.XLOOKUP(H3174,'Materiales unitario'!$A$1:$A$2500,'Materiales unitario'!B$1:B$2500,,0,1)</f>
        <v xml:space="preserve">Tubo metálico galv. Ø1,1/4" IMC </v>
      </c>
      <c r="D3174" s="184" t="str">
        <f>_xlfn.XLOOKUP(H3174,'Materiales unitario'!A$1:A$2500,'Materiales unitario'!C$1:C$2500,,0,1)</f>
        <v>ml</v>
      </c>
      <c r="E3174" s="197">
        <f>_xlfn.XLOOKUP(H3174,'Materiales unitario'!$A$1:$A$2500,'Materiales unitario'!D$1:D$2500,,0,1)</f>
        <v>37533.333333333336</v>
      </c>
      <c r="F3174" s="19">
        <v>3</v>
      </c>
      <c r="G3174" s="20">
        <f>+E3174*F3174</f>
        <v>112600</v>
      </c>
      <c r="H3174" s="217" t="s">
        <v>787</v>
      </c>
    </row>
    <row r="3175" spans="1:8" ht="15">
      <c r="A3175" s="211" t="s">
        <v>485</v>
      </c>
      <c r="B3175" s="216" t="str">
        <f ca="1">_xlfn.CONCAT(B3172,A3175)</f>
        <v>9AF4241-B</v>
      </c>
      <c r="C3175" s="17" t="str">
        <f>_xlfn.XLOOKUP(H3175,'Materiales unitario'!$A$1:$A$2500,'Materiales unitario'!B$1:B$2500,,0,1)</f>
        <v xml:space="preserve">Unión Conduit galv. Ø1,1/4" </v>
      </c>
      <c r="D3175" s="184" t="str">
        <f>_xlfn.XLOOKUP(H3175,'Materiales unitario'!A$1:A$2500,'Materiales unitario'!C$1:C$2500,,0,1)</f>
        <v>un</v>
      </c>
      <c r="E3175" s="197">
        <f>_xlfn.XLOOKUP(H3175,'Materiales unitario'!$A$1:$A$2500,'Materiales unitario'!D$1:D$2500,,0,1)</f>
        <v>5200</v>
      </c>
      <c r="F3175" s="19">
        <v>1</v>
      </c>
      <c r="G3175" s="20">
        <f>+E3175*F3175</f>
        <v>5200</v>
      </c>
      <c r="H3175" s="217" t="s">
        <v>788</v>
      </c>
    </row>
    <row r="3176" spans="1:8" ht="15">
      <c r="A3176" s="211" t="s">
        <v>486</v>
      </c>
      <c r="B3176" s="216" t="str">
        <f ca="1">_xlfn.CONCAT(B3172,A3176)</f>
        <v>9AF4241-C</v>
      </c>
      <c r="C3176" s="17" t="str">
        <f>_xlfn.XLOOKUP(H3176,'Materiales unitario'!$A$1:$A$2500,'Materiales unitario'!B$1:B$2500,,0,1)</f>
        <v xml:space="preserve">Boquilla + contratuerca ø1,1/4" </v>
      </c>
      <c r="D3176" s="184" t="str">
        <f>_xlfn.XLOOKUP(H3176,'Materiales unitario'!A$1:A$2500,'Materiales unitario'!C$1:C$2500,,0,1)</f>
        <v>un</v>
      </c>
      <c r="E3176" s="197">
        <f>_xlfn.XLOOKUP(H3176,'Materiales unitario'!$A$1:$A$2500,'Materiales unitario'!D$1:D$2500,,0,1)</f>
        <v>3200</v>
      </c>
      <c r="F3176" s="19">
        <v>1</v>
      </c>
      <c r="G3176" s="20">
        <f>+E3176*F3176</f>
        <v>3200</v>
      </c>
      <c r="H3176" s="217" t="s">
        <v>789</v>
      </c>
    </row>
    <row r="3177" spans="1:8" ht="15">
      <c r="A3177" s="211" t="s">
        <v>487</v>
      </c>
      <c r="B3177" s="216" t="str">
        <f ca="1">_xlfn.CONCAT(B3172,A3177)</f>
        <v>9AF4241-D</v>
      </c>
      <c r="C3177" s="17" t="str">
        <f>_xlfn.XLOOKUP(H3177,'Materiales unitario'!$A$1:$A$2500,'Materiales unitario'!B$1:B$2500,,0,1)</f>
        <v>Capacete en aluminio fundido ø1,1/4"</v>
      </c>
      <c r="D3177" s="184" t="str">
        <f>_xlfn.XLOOKUP(H3177,'Materiales unitario'!A$1:A$2500,'Materiales unitario'!C$1:C$2500,,0,1)</f>
        <v>un</v>
      </c>
      <c r="E3177" s="197">
        <f>_xlfn.XLOOKUP(H3177,'Materiales unitario'!$A$1:$A$2500,'Materiales unitario'!D$1:D$2500,,0,1)</f>
        <v>8460</v>
      </c>
      <c r="F3177" s="19">
        <v>1</v>
      </c>
      <c r="G3177" s="20">
        <f>+E3177*F3177</f>
        <v>8460</v>
      </c>
      <c r="H3177" s="217" t="s">
        <v>790</v>
      </c>
    </row>
    <row r="3178" spans="1:8">
      <c r="A3178" s="211" t="s">
        <v>488</v>
      </c>
      <c r="B3178" s="216" t="str">
        <f ca="1">_xlfn.CONCAT(B3172,A3178)</f>
        <v>9AF4241-E</v>
      </c>
      <c r="C3178" s="17" t="str">
        <f>_xlfn.XLOOKUP(H3178,'Materiales unitario'!$A$1:$A$2500,'Materiales unitario'!B$1:B$2500,,0,1)</f>
        <v>Accesorios de anclaje y fijacion.</v>
      </c>
      <c r="D3178" s="184" t="str">
        <f>_xlfn.XLOOKUP(H3178,'Materiales unitario'!A$1:A$2500,'Materiales unitario'!C$1:C$2500,,0,1)</f>
        <v>un</v>
      </c>
      <c r="E3178" s="197">
        <f>_xlfn.XLOOKUP(H3178,'Materiales unitario'!$A$1:$A$2500,'Materiales unitario'!D$1:D$2500,,0,1)</f>
        <v>10000</v>
      </c>
      <c r="F3178" s="19">
        <v>2</v>
      </c>
      <c r="G3178" s="20">
        <f>+E3178*F3178</f>
        <v>20000</v>
      </c>
      <c r="H3178" s="211" t="s">
        <v>222</v>
      </c>
    </row>
    <row r="3179" spans="1:8" ht="15">
      <c r="A3179" s="211" t="s">
        <v>489</v>
      </c>
      <c r="B3179" s="216" t="str">
        <f ca="1">_xlfn.CONCAT(B3172,A3179)</f>
        <v>9AF4241-F</v>
      </c>
      <c r="C3179" s="17"/>
      <c r="D3179" s="184"/>
      <c r="E3179" s="197"/>
      <c r="F3179" s="19"/>
      <c r="G3179" s="20"/>
      <c r="H3179" s="217"/>
    </row>
    <row r="3180" spans="1:8">
      <c r="A3180" s="211" t="s">
        <v>490</v>
      </c>
      <c r="B3180" s="216" t="str">
        <f ca="1">_xlfn.CONCAT(B3172,A3180)</f>
        <v>9AF4241-G</v>
      </c>
      <c r="C3180" s="17"/>
      <c r="D3180" s="184"/>
      <c r="E3180" s="197"/>
      <c r="F3180" s="19"/>
      <c r="G3180" s="20"/>
    </row>
    <row r="3181" spans="1:8">
      <c r="A3181" s="211" t="s">
        <v>491</v>
      </c>
      <c r="B3181" s="216" t="str">
        <f ca="1">_xlfn.CONCAT(B3172,A3181)</f>
        <v>9AF4241-H</v>
      </c>
      <c r="C3181" s="17"/>
      <c r="D3181" s="184"/>
      <c r="E3181" s="197"/>
      <c r="F3181" s="19"/>
      <c r="G3181" s="20"/>
    </row>
    <row r="3182" spans="1:8">
      <c r="A3182" s="211" t="s">
        <v>492</v>
      </c>
      <c r="B3182" s="216" t="str">
        <f ca="1">_xlfn.CONCAT(B3172,A3182)</f>
        <v>9AF4241-I</v>
      </c>
      <c r="C3182" s="17"/>
      <c r="D3182" s="184"/>
      <c r="E3182" s="197"/>
      <c r="F3182" s="19"/>
      <c r="G3182" s="20"/>
    </row>
    <row r="3183" spans="1:8">
      <c r="A3183" s="211" t="s">
        <v>493</v>
      </c>
      <c r="B3183" s="216" t="str">
        <f ca="1">_xlfn.CONCAT(B3172,A3183)</f>
        <v>9AF4241-J</v>
      </c>
      <c r="C3183" s="17"/>
      <c r="D3183" s="184"/>
      <c r="E3183" s="197"/>
      <c r="F3183" s="19"/>
      <c r="G3183" s="20"/>
    </row>
    <row r="3184" spans="1:8">
      <c r="A3184" s="211" t="s">
        <v>494</v>
      </c>
      <c r="B3184" s="216" t="str">
        <f ca="1">_xlfn.CONCAT(B3172,A3184)</f>
        <v>9AF4241-K</v>
      </c>
      <c r="C3184" s="17"/>
      <c r="D3184" s="184"/>
      <c r="E3184" s="197"/>
      <c r="F3184" s="19"/>
      <c r="G3184" s="20"/>
    </row>
    <row r="3185" spans="1:8">
      <c r="A3185" s="211" t="s">
        <v>495</v>
      </c>
      <c r="B3185" s="216" t="str">
        <f ca="1">_xlfn.CONCAT(B3172,A3185)</f>
        <v>9AF4241-L</v>
      </c>
      <c r="C3185" s="17"/>
      <c r="D3185" s="184"/>
      <c r="E3185" s="197"/>
      <c r="F3185" s="19"/>
      <c r="G3185" s="20"/>
    </row>
    <row r="3186" spans="1:8">
      <c r="A3186" s="211" t="s">
        <v>496</v>
      </c>
      <c r="B3186" s="216" t="str">
        <f ca="1">_xlfn.CONCAT(B3172,A3186)</f>
        <v>9AF4241-M</v>
      </c>
      <c r="C3186" s="17"/>
      <c r="D3186" s="184"/>
      <c r="E3186" s="197"/>
      <c r="F3186" s="19"/>
      <c r="G3186" s="20"/>
    </row>
    <row r="3187" spans="1:8">
      <c r="A3187" s="211" t="s">
        <v>497</v>
      </c>
      <c r="B3187" s="216" t="str">
        <f ca="1">_xlfn.CONCAT(B3172,A3187)</f>
        <v>9AF4241-N</v>
      </c>
      <c r="C3187" s="17"/>
      <c r="D3187" s="184"/>
      <c r="E3187" s="197"/>
      <c r="F3187" s="19"/>
      <c r="G3187" s="20"/>
    </row>
    <row r="3188" spans="1:8">
      <c r="A3188" s="211" t="s">
        <v>498</v>
      </c>
      <c r="B3188" s="216" t="str">
        <f ca="1">_xlfn.CONCAT(B3172,A3188)</f>
        <v>9AF4241-O</v>
      </c>
      <c r="C3188" s="17"/>
      <c r="D3188" s="184"/>
      <c r="E3188" s="197"/>
      <c r="F3188" s="19"/>
      <c r="G3188" s="20"/>
    </row>
    <row r="3189" spans="1:8">
      <c r="A3189" s="211" t="s">
        <v>499</v>
      </c>
      <c r="B3189" s="216" t="str">
        <f ca="1">_xlfn.CONCAT(B3172,A3189)</f>
        <v>9AF4241-P</v>
      </c>
      <c r="C3189" s="17"/>
      <c r="D3189" s="184"/>
      <c r="E3189" s="197"/>
      <c r="F3189" s="19"/>
      <c r="G3189" s="20"/>
    </row>
    <row r="3190" spans="1:8">
      <c r="A3190" s="211" t="s">
        <v>500</v>
      </c>
      <c r="B3190" s="216" t="str">
        <f ca="1">_xlfn.CONCAT(B3172,A3190)</f>
        <v>9AF4241-Q</v>
      </c>
      <c r="C3190" s="17"/>
      <c r="D3190" s="184"/>
      <c r="E3190" s="197"/>
      <c r="F3190" s="19"/>
      <c r="G3190" s="20"/>
    </row>
    <row r="3191" spans="1:8">
      <c r="A3191" s="211" t="s">
        <v>501</v>
      </c>
      <c r="B3191" s="216" t="str">
        <f ca="1">_xlfn.CONCAT(B3172,A3191)</f>
        <v>9AF4241-R</v>
      </c>
      <c r="C3191" s="17"/>
      <c r="D3191" s="184"/>
      <c r="E3191" s="197"/>
      <c r="F3191" s="19"/>
      <c r="G3191" s="20"/>
    </row>
    <row r="3192" spans="1:8">
      <c r="A3192" s="211" t="s">
        <v>502</v>
      </c>
      <c r="B3192" s="216" t="str">
        <f ca="1">_xlfn.CONCAT(B3172,A3192)</f>
        <v>9AF4241-S</v>
      </c>
      <c r="C3192" s="17"/>
      <c r="D3192" s="184"/>
      <c r="E3192" s="197"/>
      <c r="F3192" s="19"/>
      <c r="G3192" s="20"/>
    </row>
    <row r="3193" spans="1:8">
      <c r="A3193" s="211" t="s">
        <v>503</v>
      </c>
      <c r="B3193" s="216" t="str">
        <f ca="1">_xlfn.CONCAT(B3172,A3193)</f>
        <v>9AF4241-T</v>
      </c>
      <c r="C3193" s="17"/>
      <c r="D3193" s="184"/>
      <c r="E3193" s="197"/>
      <c r="F3193" s="19"/>
      <c r="G3193" s="20"/>
    </row>
    <row r="3194" spans="1:8" ht="14.25" thickBot="1">
      <c r="A3194" s="211" t="s">
        <v>504</v>
      </c>
      <c r="B3194" s="216" t="str">
        <f ca="1">_xlfn.CONCAT(B3172,A3194)</f>
        <v>9AF4241-U</v>
      </c>
      <c r="C3194" s="17"/>
      <c r="D3194" s="184"/>
      <c r="E3194" s="197"/>
      <c r="F3194" s="19"/>
      <c r="G3194" s="20"/>
    </row>
    <row r="3195" spans="1:8" ht="16.5" customHeight="1" thickBot="1">
      <c r="A3195" s="211" t="s">
        <v>505</v>
      </c>
      <c r="B3195" s="216" t="str">
        <f ca="1">_xlfn.CONCAT(B3172,A3195)</f>
        <v>9AF4241-V</v>
      </c>
      <c r="C3195" s="17" t="s">
        <v>17</v>
      </c>
      <c r="D3195" s="192" t="s">
        <v>17</v>
      </c>
      <c r="E3195" s="18"/>
      <c r="F3195" s="22" t="s">
        <v>18</v>
      </c>
      <c r="G3195" s="23">
        <f>SUM(G3174:G3194)</f>
        <v>149460</v>
      </c>
    </row>
    <row r="3196" spans="1:8" ht="28.5" customHeight="1" thickBot="1">
      <c r="A3196" s="211" t="s">
        <v>506</v>
      </c>
      <c r="B3196" s="216" t="str">
        <f ca="1">_xlfn.CONCAT(B3172,A3196)</f>
        <v>9AF4241-W</v>
      </c>
      <c r="C3196" s="10" t="s">
        <v>19</v>
      </c>
      <c r="D3196" s="190"/>
      <c r="E3196" s="11"/>
      <c r="F3196" s="12"/>
      <c r="G3196" s="13"/>
    </row>
    <row r="3197" spans="1:8" s="47" customFormat="1" ht="23.25" customHeight="1" thickBot="1">
      <c r="A3197" s="211" t="s">
        <v>507</v>
      </c>
      <c r="B3197" s="216" t="str">
        <f ca="1">_xlfn.CONCAT(B3172,A3197)</f>
        <v>9AF4241-X</v>
      </c>
      <c r="C3197" s="14" t="s">
        <v>1</v>
      </c>
      <c r="D3197" s="15"/>
      <c r="E3197" s="15" t="s">
        <v>20</v>
      </c>
      <c r="F3197" s="16" t="s">
        <v>21</v>
      </c>
      <c r="G3197" s="15" t="s">
        <v>5</v>
      </c>
      <c r="H3197" s="215"/>
    </row>
    <row r="3198" spans="1:8">
      <c r="A3198" s="211" t="s">
        <v>508</v>
      </c>
      <c r="B3198" s="216" t="str">
        <f ca="1">_xlfn.CONCAT(B3172,A3198)</f>
        <v>9AF4241-Y</v>
      </c>
      <c r="C3198" s="24" t="s">
        <v>22</v>
      </c>
      <c r="D3198" s="184"/>
      <c r="E3198" s="25">
        <f>_xlfn.XLOOKUP(C3198,'H-MO'!B$7:B$30,'H-MO'!D$7:D$30,,0,1)</f>
        <v>2436.5624999999995</v>
      </c>
      <c r="F3198" s="19">
        <v>0.42963478260869564</v>
      </c>
      <c r="G3198" s="33">
        <f t="shared" ref="G3198:G3203" si="92">+E3198*F3198</f>
        <v>1046.8319999999999</v>
      </c>
    </row>
    <row r="3199" spans="1:8">
      <c r="A3199" s="211" t="s">
        <v>509</v>
      </c>
      <c r="B3199" s="216" t="str">
        <f ca="1">_xlfn.CONCAT(B3172,A3199)</f>
        <v>9AF4241-Z</v>
      </c>
      <c r="C3199" s="24" t="s">
        <v>23</v>
      </c>
      <c r="D3199" s="184"/>
      <c r="E3199" s="25">
        <f>_xlfn.XLOOKUP(C3199,'H-MO'!B$7:B$30,'H-MO'!D$7:D$30,,0,1)</f>
        <v>1461.9374999999998</v>
      </c>
      <c r="F3199" s="19">
        <v>1</v>
      </c>
      <c r="G3199" s="33">
        <f t="shared" si="92"/>
        <v>1461.9374999999998</v>
      </c>
    </row>
    <row r="3200" spans="1:8">
      <c r="A3200" s="211" t="s">
        <v>510</v>
      </c>
      <c r="B3200" s="216" t="str">
        <f ca="1">_xlfn.CONCAT(B3172,A3200)</f>
        <v>9AF4241-aa</v>
      </c>
      <c r="C3200" s="24" t="s">
        <v>24</v>
      </c>
      <c r="D3200" s="185"/>
      <c r="E3200" s="25">
        <f>_xlfn.XLOOKUP(C3200,'H-MO'!B$7:B$30,'H-MO'!D$7:D$30,,0,1)</f>
        <v>29238.749999999996</v>
      </c>
      <c r="F3200" s="28">
        <v>0.1</v>
      </c>
      <c r="G3200" s="33">
        <f t="shared" si="92"/>
        <v>2923.875</v>
      </c>
    </row>
    <row r="3201" spans="1:8">
      <c r="A3201" s="211" t="s">
        <v>511</v>
      </c>
      <c r="B3201" s="216" t="str">
        <f ca="1">_xlfn.CONCAT(B3172,A3201)</f>
        <v>9AF4241-ab</v>
      </c>
      <c r="C3201" s="24" t="s">
        <v>25</v>
      </c>
      <c r="D3201" s="185"/>
      <c r="E3201" s="25">
        <f>_xlfn.XLOOKUP(C3201,'H-MO'!B$7:B$30,'H-MO'!D$7:D$30,,0,1)</f>
        <v>2761.4374999999995</v>
      </c>
      <c r="F3201" s="28">
        <v>3</v>
      </c>
      <c r="G3201" s="33">
        <f t="shared" si="92"/>
        <v>8284.3124999999982</v>
      </c>
    </row>
    <row r="3202" spans="1:8">
      <c r="A3202" s="211" t="s">
        <v>512</v>
      </c>
      <c r="B3202" s="216" t="str">
        <f ca="1">_xlfn.CONCAT(B3172,A3202)</f>
        <v>9AF4241-ac</v>
      </c>
      <c r="C3202" s="24"/>
      <c r="D3202" s="185"/>
      <c r="E3202" s="29"/>
      <c r="F3202" s="28"/>
      <c r="G3202" s="33">
        <f t="shared" si="92"/>
        <v>0</v>
      </c>
    </row>
    <row r="3203" spans="1:8" ht="14.25" thickBot="1">
      <c r="A3203" s="211" t="s">
        <v>513</v>
      </c>
      <c r="B3203" s="216" t="str">
        <f ca="1">_xlfn.CONCAT(B3172,A3203)</f>
        <v>9AF4241-ad</v>
      </c>
      <c r="C3203" s="24"/>
      <c r="D3203" s="185"/>
      <c r="E3203" s="29"/>
      <c r="F3203" s="28"/>
      <c r="G3203" s="33">
        <f t="shared" si="92"/>
        <v>0</v>
      </c>
    </row>
    <row r="3204" spans="1:8" ht="16.5" customHeight="1" thickBot="1">
      <c r="A3204" s="211" t="s">
        <v>514</v>
      </c>
      <c r="B3204" s="216" t="str">
        <f ca="1">_xlfn.CONCAT(B3172,A3204)</f>
        <v>9AF4241-ae</v>
      </c>
      <c r="C3204" s="17"/>
      <c r="D3204" s="192"/>
      <c r="E3204" s="18"/>
      <c r="F3204" s="22" t="s">
        <v>26</v>
      </c>
      <c r="G3204" s="23">
        <f>SUM(G3198:G3203)</f>
        <v>13716.956999999999</v>
      </c>
    </row>
    <row r="3205" spans="1:8" ht="28.5" customHeight="1" thickBot="1">
      <c r="A3205" s="211" t="s">
        <v>515</v>
      </c>
      <c r="B3205" s="216" t="str">
        <f ca="1">_xlfn.CONCAT(B3172,A3205)</f>
        <v>9AF4241-af</v>
      </c>
      <c r="C3205" s="10" t="s">
        <v>27</v>
      </c>
      <c r="D3205" s="190"/>
      <c r="E3205" s="11"/>
      <c r="F3205" s="12"/>
      <c r="G3205" s="13"/>
    </row>
    <row r="3206" spans="1:8" s="47" customFormat="1" ht="23.25" customHeight="1" thickBot="1">
      <c r="A3206" s="211" t="s">
        <v>516</v>
      </c>
      <c r="B3206" s="216" t="str">
        <f ca="1">_xlfn.CONCAT(B3172,A3206)</f>
        <v>9AF4241-ag</v>
      </c>
      <c r="C3206" s="14" t="s">
        <v>1</v>
      </c>
      <c r="D3206" s="15" t="s">
        <v>28</v>
      </c>
      <c r="E3206" s="15" t="s">
        <v>20</v>
      </c>
      <c r="F3206" s="16" t="s">
        <v>21</v>
      </c>
      <c r="G3206" s="15" t="s">
        <v>5</v>
      </c>
      <c r="H3206" s="215"/>
    </row>
    <row r="3207" spans="1:8">
      <c r="A3207" s="211" t="s">
        <v>517</v>
      </c>
      <c r="B3207" s="216" t="str">
        <f ca="1">_xlfn.CONCAT(B3172,A3207)</f>
        <v>9AF4241-ah</v>
      </c>
      <c r="C3207" s="30" t="s">
        <v>29</v>
      </c>
      <c r="D3207" s="186">
        <f>'H-MO'!$N$77</f>
        <v>725918.52892505517</v>
      </c>
      <c r="E3207" s="31">
        <f>+D3207/8</f>
        <v>90739.816115631897</v>
      </c>
      <c r="F3207" s="32">
        <v>0.4</v>
      </c>
      <c r="G3207" s="33">
        <f>+E3207*F3207</f>
        <v>36295.926446252757</v>
      </c>
    </row>
    <row r="3208" spans="1:8">
      <c r="A3208" s="211" t="s">
        <v>518</v>
      </c>
      <c r="B3208" s="216" t="str">
        <f ca="1">_xlfn.CONCAT(B3172,A3208)</f>
        <v>9AF4241-ai</v>
      </c>
      <c r="C3208" s="34" t="s">
        <v>30</v>
      </c>
      <c r="D3208" s="187">
        <f>'H-MO'!$N$86</f>
        <v>685561.39085756091</v>
      </c>
      <c r="E3208" s="29">
        <f>+D3208/8</f>
        <v>85695.173857195114</v>
      </c>
      <c r="F3208" s="28">
        <v>0</v>
      </c>
      <c r="G3208" s="33">
        <f>+E3208*F3208</f>
        <v>0</v>
      </c>
    </row>
    <row r="3209" spans="1:8" ht="14.25" thickBot="1">
      <c r="A3209" s="211" t="s">
        <v>519</v>
      </c>
      <c r="B3209" s="216" t="str">
        <f ca="1">_xlfn.CONCAT(B3172,A3209)</f>
        <v>9AF4241-aj</v>
      </c>
      <c r="C3209" s="34"/>
      <c r="D3209" s="187"/>
      <c r="E3209" s="29"/>
      <c r="F3209" s="28"/>
      <c r="G3209" s="33">
        <f>+E3209*F3209</f>
        <v>0</v>
      </c>
    </row>
    <row r="3210" spans="1:8" ht="17.25" customHeight="1" thickBot="1">
      <c r="A3210" s="211" t="s">
        <v>520</v>
      </c>
      <c r="B3210" s="216" t="str">
        <f ca="1">_xlfn.CONCAT(B3172,A3210)</f>
        <v>9AF4241-ak</v>
      </c>
      <c r="C3210" s="34"/>
      <c r="D3210" s="185"/>
      <c r="E3210" s="26"/>
      <c r="F3210" s="36" t="s">
        <v>31</v>
      </c>
      <c r="G3210" s="23">
        <f>SUM(G3207:G3209)</f>
        <v>36295.926446252757</v>
      </c>
    </row>
    <row r="3211" spans="1:8" ht="14.25" thickBot="1">
      <c r="A3211" s="211" t="s">
        <v>521</v>
      </c>
      <c r="B3211" s="216" t="str">
        <f ca="1">_xlfn.CONCAT(B3172,A3211)</f>
        <v>9AF4241-al</v>
      </c>
      <c r="C3211" s="37"/>
      <c r="E3211" s="38"/>
      <c r="F3211" s="22"/>
      <c r="G3211" s="39"/>
    </row>
    <row r="3212" spans="1:8" ht="23.25" customHeight="1" thickBot="1">
      <c r="A3212" s="211" t="s">
        <v>522</v>
      </c>
      <c r="B3212" s="216" t="str">
        <f ca="1">_xlfn.CONCAT(B3172,A3212)</f>
        <v>9AF4241-am</v>
      </c>
      <c r="C3212" s="40"/>
      <c r="D3212" s="193"/>
      <c r="E3212" s="41"/>
      <c r="F3212" s="42"/>
      <c r="G3212" s="43">
        <f>+G3195+G3204+G3210</f>
        <v>199472.88344625276</v>
      </c>
    </row>
    <row r="3213" spans="1:8" ht="21">
      <c r="B3213" s="212" t="s">
        <v>550</v>
      </c>
      <c r="C3213" s="2"/>
      <c r="D3213" s="183"/>
      <c r="F3213" s="4"/>
      <c r="G3213" s="5"/>
    </row>
    <row r="3214" spans="1:8" s="45" customFormat="1" ht="34.5" customHeight="1">
      <c r="A3214" s="213"/>
      <c r="B3214" s="214"/>
      <c r="C3214" s="245"/>
      <c r="D3214" s="245"/>
      <c r="E3214" s="245"/>
      <c r="F3214" s="245"/>
      <c r="G3214" s="245"/>
      <c r="H3214" s="213"/>
    </row>
    <row r="3258" spans="1:8" s="45" customFormat="1" ht="34.5" customHeight="1">
      <c r="A3258" s="213"/>
      <c r="B3258" s="214">
        <v>75</v>
      </c>
      <c r="C3258" s="242" t="str">
        <f ca="1">_xlfn.XLOOKUP(B3258,Cantidades!$A$10:$A$314,Cantidades!$C$10:$C$314,,0,1)</f>
        <v>Suministro e instalación de antena multicanal para TDT. Incluye antena multicanal y demas accesorios para su correcta instalación, funcionamiento y señalización.</v>
      </c>
      <c r="D3258" s="243"/>
      <c r="E3258" s="243"/>
      <c r="F3258" s="243"/>
      <c r="G3258" s="244"/>
      <c r="H3258" s="213"/>
    </row>
    <row r="3259" spans="1:8" s="47" customFormat="1" ht="24.95" customHeight="1" thickBot="1">
      <c r="A3259" s="215"/>
      <c r="B3259" s="216" t="s">
        <v>550</v>
      </c>
      <c r="C3259" s="177"/>
      <c r="D3259" s="189"/>
      <c r="E3259" s="178"/>
      <c r="F3259" s="179" t="s">
        <v>636</v>
      </c>
      <c r="G3259" s="209" t="str">
        <f ca="1">B3260</f>
        <v>1213F85F-</v>
      </c>
      <c r="H3259" s="215"/>
    </row>
    <row r="3260" spans="1:8" ht="28.5" customHeight="1" thickBot="1">
      <c r="B3260" s="212" t="str">
        <f ca="1">_xlfn.XLOOKUP(C3258,Cantidades!$C$1:$C$314,Cantidades!$B$1:$B$314,"",0,1)</f>
        <v>1213F85F-</v>
      </c>
      <c r="C3260" s="10" t="s">
        <v>0</v>
      </c>
      <c r="D3260" s="190"/>
      <c r="E3260" s="11"/>
      <c r="F3260" s="12"/>
      <c r="G3260" s="13"/>
    </row>
    <row r="3261" spans="1:8" s="47" customFormat="1" ht="23.25" customHeight="1" thickBot="1">
      <c r="A3261" s="215"/>
      <c r="B3261" s="216" t="s">
        <v>550</v>
      </c>
      <c r="C3261" s="14" t="s">
        <v>1</v>
      </c>
      <c r="D3261" s="15" t="s">
        <v>2</v>
      </c>
      <c r="E3261" s="15" t="s">
        <v>3</v>
      </c>
      <c r="F3261" s="16" t="s">
        <v>4</v>
      </c>
      <c r="G3261" s="15" t="s">
        <v>5</v>
      </c>
      <c r="H3261" s="215"/>
    </row>
    <row r="3262" spans="1:8" ht="15">
      <c r="A3262" s="211" t="s">
        <v>484</v>
      </c>
      <c r="B3262" s="216" t="str">
        <f ca="1">_xlfn.CONCAT(B3260,A3262)</f>
        <v>1213F85F-A</v>
      </c>
      <c r="C3262" s="17" t="str">
        <f>_xlfn.XLOOKUP(H3262,'Materiales unitario'!$A$1:$A$2500,'Materiales unitario'!B$1:B$2500,,0,1)</f>
        <v>Antena Digital Para Exterior Aire Hd Tdt</v>
      </c>
      <c r="D3262" s="184" t="str">
        <f>_xlfn.XLOOKUP(H3262,'Materiales unitario'!A$1:A$2500,'Materiales unitario'!C$1:C$2500,,0,1)</f>
        <v>un</v>
      </c>
      <c r="E3262" s="197">
        <f>_xlfn.XLOOKUP(H3262,'Materiales unitario'!$A$1:$A$2500,'Materiales unitario'!D$1:D$2500,,0,1)</f>
        <v>84700</v>
      </c>
      <c r="F3262" s="19">
        <v>1</v>
      </c>
      <c r="G3262" s="20">
        <f>+E3262*F3262</f>
        <v>84700</v>
      </c>
      <c r="H3262" s="217" t="s">
        <v>794</v>
      </c>
    </row>
    <row r="3263" spans="1:8">
      <c r="A3263" s="211" t="s">
        <v>485</v>
      </c>
      <c r="B3263" s="216" t="str">
        <f ca="1">_xlfn.CONCAT(B3260,A3263)</f>
        <v>1213F85F-B</v>
      </c>
      <c r="C3263" s="17" t="str">
        <f>_xlfn.XLOOKUP(H3263,'Materiales unitario'!$A$1:$A$2500,'Materiales unitario'!B$1:B$2500,,0,1)</f>
        <v>Accesorios de anclaje y fijacion.</v>
      </c>
      <c r="D3263" s="184" t="str">
        <f>_xlfn.XLOOKUP(H3263,'Materiales unitario'!A$1:A$2500,'Materiales unitario'!C$1:C$2500,,0,1)</f>
        <v>un</v>
      </c>
      <c r="E3263" s="197">
        <f>_xlfn.XLOOKUP(H3263,'Materiales unitario'!$A$1:$A$2500,'Materiales unitario'!D$1:D$2500,,0,1)</f>
        <v>10000</v>
      </c>
      <c r="F3263" s="19">
        <v>0.7</v>
      </c>
      <c r="G3263" s="20">
        <f>+E3263*F3263</f>
        <v>7000</v>
      </c>
      <c r="H3263" s="211" t="s">
        <v>222</v>
      </c>
    </row>
    <row r="3264" spans="1:8" ht="15">
      <c r="A3264" s="211" t="s">
        <v>486</v>
      </c>
      <c r="B3264" s="216" t="str">
        <f ca="1">_xlfn.CONCAT(B3260,A3264)</f>
        <v>1213F85F-C</v>
      </c>
      <c r="C3264" s="17"/>
      <c r="D3264" s="184"/>
      <c r="E3264" s="197"/>
      <c r="F3264" s="19"/>
      <c r="G3264" s="20"/>
      <c r="H3264" s="217"/>
    </row>
    <row r="3265" spans="1:8" ht="15">
      <c r="A3265" s="211" t="s">
        <v>487</v>
      </c>
      <c r="B3265" s="216" t="str">
        <f ca="1">_xlfn.CONCAT(B3260,A3265)</f>
        <v>1213F85F-D</v>
      </c>
      <c r="C3265" s="17"/>
      <c r="D3265" s="184"/>
      <c r="E3265" s="197"/>
      <c r="F3265" s="19"/>
      <c r="G3265" s="20"/>
      <c r="H3265" s="217"/>
    </row>
    <row r="3266" spans="1:8">
      <c r="A3266" s="211" t="s">
        <v>488</v>
      </c>
      <c r="B3266" s="216" t="str">
        <f ca="1">_xlfn.CONCAT(B3260,A3266)</f>
        <v>1213F85F-E</v>
      </c>
      <c r="C3266" s="17"/>
      <c r="D3266" s="184"/>
      <c r="E3266" s="197"/>
      <c r="F3266" s="19"/>
      <c r="G3266" s="20"/>
    </row>
    <row r="3267" spans="1:8" ht="15">
      <c r="A3267" s="211" t="s">
        <v>489</v>
      </c>
      <c r="B3267" s="216" t="str">
        <f ca="1">_xlfn.CONCAT(B3260,A3267)</f>
        <v>1213F85F-F</v>
      </c>
      <c r="C3267" s="17"/>
      <c r="D3267" s="184"/>
      <c r="E3267" s="197"/>
      <c r="F3267" s="19"/>
      <c r="G3267" s="20"/>
      <c r="H3267" s="217"/>
    </row>
    <row r="3268" spans="1:8">
      <c r="A3268" s="211" t="s">
        <v>490</v>
      </c>
      <c r="B3268" s="216" t="str">
        <f ca="1">_xlfn.CONCAT(B3260,A3268)</f>
        <v>1213F85F-G</v>
      </c>
      <c r="C3268" s="17"/>
      <c r="D3268" s="184"/>
      <c r="E3268" s="197"/>
      <c r="F3268" s="19"/>
      <c r="G3268" s="20"/>
    </row>
    <row r="3269" spans="1:8">
      <c r="A3269" s="211" t="s">
        <v>491</v>
      </c>
      <c r="B3269" s="216" t="str">
        <f ca="1">_xlfn.CONCAT(B3260,A3269)</f>
        <v>1213F85F-H</v>
      </c>
      <c r="C3269" s="17"/>
      <c r="D3269" s="184"/>
      <c r="E3269" s="197"/>
      <c r="F3269" s="19"/>
      <c r="G3269" s="20"/>
    </row>
    <row r="3270" spans="1:8">
      <c r="A3270" s="211" t="s">
        <v>492</v>
      </c>
      <c r="B3270" s="216" t="str">
        <f ca="1">_xlfn.CONCAT(B3260,A3270)</f>
        <v>1213F85F-I</v>
      </c>
      <c r="C3270" s="17"/>
      <c r="D3270" s="184"/>
      <c r="E3270" s="197"/>
      <c r="F3270" s="19"/>
      <c r="G3270" s="20"/>
    </row>
    <row r="3271" spans="1:8">
      <c r="A3271" s="211" t="s">
        <v>493</v>
      </c>
      <c r="B3271" s="216" t="str">
        <f ca="1">_xlfn.CONCAT(B3260,A3271)</f>
        <v>1213F85F-J</v>
      </c>
      <c r="C3271" s="17"/>
      <c r="D3271" s="184"/>
      <c r="E3271" s="197"/>
      <c r="F3271" s="19"/>
      <c r="G3271" s="20"/>
    </row>
    <row r="3272" spans="1:8">
      <c r="A3272" s="211" t="s">
        <v>494</v>
      </c>
      <c r="B3272" s="216" t="str">
        <f ca="1">_xlfn.CONCAT(B3260,A3272)</f>
        <v>1213F85F-K</v>
      </c>
      <c r="C3272" s="17"/>
      <c r="D3272" s="184"/>
      <c r="E3272" s="197"/>
      <c r="F3272" s="19"/>
      <c r="G3272" s="20"/>
    </row>
    <row r="3273" spans="1:8">
      <c r="A3273" s="211" t="s">
        <v>495</v>
      </c>
      <c r="B3273" s="216" t="str">
        <f ca="1">_xlfn.CONCAT(B3260,A3273)</f>
        <v>1213F85F-L</v>
      </c>
      <c r="C3273" s="17"/>
      <c r="D3273" s="184"/>
      <c r="E3273" s="197"/>
      <c r="F3273" s="19"/>
      <c r="G3273" s="20"/>
    </row>
    <row r="3274" spans="1:8">
      <c r="A3274" s="211" t="s">
        <v>496</v>
      </c>
      <c r="B3274" s="216" t="str">
        <f ca="1">_xlfn.CONCAT(B3260,A3274)</f>
        <v>1213F85F-M</v>
      </c>
      <c r="C3274" s="17"/>
      <c r="D3274" s="184"/>
      <c r="E3274" s="197"/>
      <c r="F3274" s="19"/>
      <c r="G3274" s="20"/>
    </row>
    <row r="3275" spans="1:8">
      <c r="A3275" s="211" t="s">
        <v>497</v>
      </c>
      <c r="B3275" s="216" t="str">
        <f ca="1">_xlfn.CONCAT(B3260,A3275)</f>
        <v>1213F85F-N</v>
      </c>
      <c r="C3275" s="17"/>
      <c r="D3275" s="184"/>
      <c r="E3275" s="197"/>
      <c r="F3275" s="19"/>
      <c r="G3275" s="20"/>
    </row>
    <row r="3276" spans="1:8">
      <c r="A3276" s="211" t="s">
        <v>498</v>
      </c>
      <c r="B3276" s="216" t="str">
        <f ca="1">_xlfn.CONCAT(B3260,A3276)</f>
        <v>1213F85F-O</v>
      </c>
      <c r="C3276" s="17"/>
      <c r="D3276" s="184"/>
      <c r="E3276" s="197"/>
      <c r="F3276" s="19"/>
      <c r="G3276" s="20"/>
    </row>
    <row r="3277" spans="1:8">
      <c r="A3277" s="211" t="s">
        <v>499</v>
      </c>
      <c r="B3277" s="216" t="str">
        <f ca="1">_xlfn.CONCAT(B3260,A3277)</f>
        <v>1213F85F-P</v>
      </c>
      <c r="C3277" s="17"/>
      <c r="D3277" s="184"/>
      <c r="E3277" s="197"/>
      <c r="F3277" s="19"/>
      <c r="G3277" s="20"/>
    </row>
    <row r="3278" spans="1:8">
      <c r="A3278" s="211" t="s">
        <v>500</v>
      </c>
      <c r="B3278" s="216" t="str">
        <f ca="1">_xlfn.CONCAT(B3260,A3278)</f>
        <v>1213F85F-Q</v>
      </c>
      <c r="C3278" s="17"/>
      <c r="D3278" s="184"/>
      <c r="E3278" s="197"/>
      <c r="F3278" s="19"/>
      <c r="G3278" s="20"/>
    </row>
    <row r="3279" spans="1:8">
      <c r="A3279" s="211" t="s">
        <v>501</v>
      </c>
      <c r="B3279" s="216" t="str">
        <f ca="1">_xlfn.CONCAT(B3260,A3279)</f>
        <v>1213F85F-R</v>
      </c>
      <c r="C3279" s="17"/>
      <c r="D3279" s="184"/>
      <c r="E3279" s="197"/>
      <c r="F3279" s="19"/>
      <c r="G3279" s="20"/>
    </row>
    <row r="3280" spans="1:8">
      <c r="A3280" s="211" t="s">
        <v>502</v>
      </c>
      <c r="B3280" s="216" t="str">
        <f ca="1">_xlfn.CONCAT(B3260,A3280)</f>
        <v>1213F85F-S</v>
      </c>
      <c r="C3280" s="17"/>
      <c r="D3280" s="184"/>
      <c r="E3280" s="197"/>
      <c r="F3280" s="19"/>
      <c r="G3280" s="20"/>
    </row>
    <row r="3281" spans="1:8">
      <c r="A3281" s="211" t="s">
        <v>503</v>
      </c>
      <c r="B3281" s="216" t="str">
        <f ca="1">_xlfn.CONCAT(B3260,A3281)</f>
        <v>1213F85F-T</v>
      </c>
      <c r="C3281" s="17"/>
      <c r="D3281" s="184"/>
      <c r="E3281" s="197"/>
      <c r="F3281" s="19"/>
      <c r="G3281" s="20"/>
    </row>
    <row r="3282" spans="1:8" ht="14.25" thickBot="1">
      <c r="A3282" s="211" t="s">
        <v>504</v>
      </c>
      <c r="B3282" s="216" t="str">
        <f ca="1">_xlfn.CONCAT(B3260,A3282)</f>
        <v>1213F85F-U</v>
      </c>
      <c r="C3282" s="17"/>
      <c r="D3282" s="184"/>
      <c r="E3282" s="197"/>
      <c r="F3282" s="19"/>
      <c r="G3282" s="20"/>
    </row>
    <row r="3283" spans="1:8" ht="16.5" customHeight="1" thickBot="1">
      <c r="A3283" s="211" t="s">
        <v>505</v>
      </c>
      <c r="B3283" s="216" t="str">
        <f ca="1">_xlfn.CONCAT(B3260,A3283)</f>
        <v>1213F85F-V</v>
      </c>
      <c r="C3283" s="17" t="s">
        <v>17</v>
      </c>
      <c r="D3283" s="192" t="s">
        <v>17</v>
      </c>
      <c r="E3283" s="18"/>
      <c r="F3283" s="22" t="s">
        <v>18</v>
      </c>
      <c r="G3283" s="23">
        <f>SUM(G3262:G3282)</f>
        <v>91700</v>
      </c>
    </row>
    <row r="3284" spans="1:8" ht="28.5" customHeight="1" thickBot="1">
      <c r="A3284" s="211" t="s">
        <v>506</v>
      </c>
      <c r="B3284" s="216" t="str">
        <f ca="1">_xlfn.CONCAT(B3260,A3284)</f>
        <v>1213F85F-W</v>
      </c>
      <c r="C3284" s="10" t="s">
        <v>19</v>
      </c>
      <c r="D3284" s="190"/>
      <c r="E3284" s="11"/>
      <c r="F3284" s="12"/>
      <c r="G3284" s="13"/>
    </row>
    <row r="3285" spans="1:8" s="47" customFormat="1" ht="23.25" customHeight="1" thickBot="1">
      <c r="A3285" s="211" t="s">
        <v>507</v>
      </c>
      <c r="B3285" s="216" t="str">
        <f ca="1">_xlfn.CONCAT(B3260,A3285)</f>
        <v>1213F85F-X</v>
      </c>
      <c r="C3285" s="14" t="s">
        <v>1</v>
      </c>
      <c r="D3285" s="15"/>
      <c r="E3285" s="15" t="s">
        <v>20</v>
      </c>
      <c r="F3285" s="16" t="s">
        <v>21</v>
      </c>
      <c r="G3285" s="15" t="s">
        <v>5</v>
      </c>
      <c r="H3285" s="215"/>
    </row>
    <row r="3286" spans="1:8">
      <c r="A3286" s="211" t="s">
        <v>508</v>
      </c>
      <c r="B3286" s="216" t="str">
        <f ca="1">_xlfn.CONCAT(B3260,A3286)</f>
        <v>1213F85F-Y</v>
      </c>
      <c r="C3286" s="24" t="s">
        <v>22</v>
      </c>
      <c r="D3286" s="184"/>
      <c r="E3286" s="25">
        <f>_xlfn.XLOOKUP(C3286,'H-MO'!B$7:B$30,'H-MO'!D$7:D$30,,0,1)</f>
        <v>2436.5624999999995</v>
      </c>
      <c r="F3286" s="19">
        <v>0.22</v>
      </c>
      <c r="G3286" s="33">
        <f t="shared" ref="G3286:G3291" si="93">+E3286*F3286</f>
        <v>536.04374999999993</v>
      </c>
    </row>
    <row r="3287" spans="1:8">
      <c r="A3287" s="211" t="s">
        <v>509</v>
      </c>
      <c r="B3287" s="216" t="str">
        <f ca="1">_xlfn.CONCAT(B3260,A3287)</f>
        <v>1213F85F-Z</v>
      </c>
      <c r="C3287" s="24" t="s">
        <v>23</v>
      </c>
      <c r="D3287" s="184"/>
      <c r="E3287" s="25">
        <f>_xlfn.XLOOKUP(C3287,'H-MO'!B$7:B$30,'H-MO'!D$7:D$30,,0,1)</f>
        <v>1461.9374999999998</v>
      </c>
      <c r="F3287" s="19">
        <v>0.1</v>
      </c>
      <c r="G3287" s="33">
        <f t="shared" si="93"/>
        <v>146.19374999999999</v>
      </c>
    </row>
    <row r="3288" spans="1:8">
      <c r="A3288" s="211" t="s">
        <v>510</v>
      </c>
      <c r="B3288" s="216" t="str">
        <f ca="1">_xlfn.CONCAT(B3260,A3288)</f>
        <v>1213F85F-aa</v>
      </c>
      <c r="C3288" s="24" t="s">
        <v>24</v>
      </c>
      <c r="D3288" s="185"/>
      <c r="E3288" s="25">
        <f>_xlfn.XLOOKUP(C3288,'H-MO'!B$7:B$30,'H-MO'!D$7:D$30,,0,1)</f>
        <v>29238.749999999996</v>
      </c>
      <c r="F3288" s="28">
        <v>0.06</v>
      </c>
      <c r="G3288" s="33">
        <f t="shared" si="93"/>
        <v>1754.3249999999998</v>
      </c>
    </row>
    <row r="3289" spans="1:8">
      <c r="A3289" s="211" t="s">
        <v>511</v>
      </c>
      <c r="B3289" s="216" t="str">
        <f ca="1">_xlfn.CONCAT(B3260,A3289)</f>
        <v>1213F85F-ab</v>
      </c>
      <c r="C3289" s="24" t="s">
        <v>25</v>
      </c>
      <c r="D3289" s="185"/>
      <c r="E3289" s="25">
        <f>_xlfn.XLOOKUP(C3289,'H-MO'!B$7:B$30,'H-MO'!D$7:D$30,,0,1)</f>
        <v>2761.4374999999995</v>
      </c>
      <c r="F3289" s="28">
        <v>1</v>
      </c>
      <c r="G3289" s="33">
        <f t="shared" si="93"/>
        <v>2761.4374999999995</v>
      </c>
    </row>
    <row r="3290" spans="1:8">
      <c r="A3290" s="211" t="s">
        <v>512</v>
      </c>
      <c r="B3290" s="216" t="str">
        <f ca="1">_xlfn.CONCAT(B3260,A3290)</f>
        <v>1213F85F-ac</v>
      </c>
      <c r="C3290" s="24"/>
      <c r="D3290" s="185"/>
      <c r="E3290" s="29"/>
      <c r="F3290" s="28"/>
      <c r="G3290" s="33">
        <f t="shared" si="93"/>
        <v>0</v>
      </c>
    </row>
    <row r="3291" spans="1:8" ht="14.25" thickBot="1">
      <c r="A3291" s="211" t="s">
        <v>513</v>
      </c>
      <c r="B3291" s="216" t="str">
        <f ca="1">_xlfn.CONCAT(B3260,A3291)</f>
        <v>1213F85F-ad</v>
      </c>
      <c r="C3291" s="24"/>
      <c r="D3291" s="185"/>
      <c r="E3291" s="29"/>
      <c r="F3291" s="28"/>
      <c r="G3291" s="33">
        <f t="shared" si="93"/>
        <v>0</v>
      </c>
    </row>
    <row r="3292" spans="1:8" ht="16.5" customHeight="1" thickBot="1">
      <c r="A3292" s="211" t="s">
        <v>514</v>
      </c>
      <c r="B3292" s="216" t="str">
        <f ca="1">_xlfn.CONCAT(B3260,A3292)</f>
        <v>1213F85F-ae</v>
      </c>
      <c r="C3292" s="17"/>
      <c r="D3292" s="192"/>
      <c r="E3292" s="18"/>
      <c r="F3292" s="22" t="s">
        <v>26</v>
      </c>
      <c r="G3292" s="23">
        <f>SUM(G3286:G3291)</f>
        <v>5198</v>
      </c>
    </row>
    <row r="3293" spans="1:8" ht="28.5" customHeight="1" thickBot="1">
      <c r="A3293" s="211" t="s">
        <v>515</v>
      </c>
      <c r="B3293" s="216" t="str">
        <f ca="1">_xlfn.CONCAT(B3260,A3293)</f>
        <v>1213F85F-af</v>
      </c>
      <c r="C3293" s="10" t="s">
        <v>27</v>
      </c>
      <c r="D3293" s="190"/>
      <c r="E3293" s="11"/>
      <c r="F3293" s="12"/>
      <c r="G3293" s="13"/>
    </row>
    <row r="3294" spans="1:8" s="47" customFormat="1" ht="23.25" customHeight="1" thickBot="1">
      <c r="A3294" s="211" t="s">
        <v>516</v>
      </c>
      <c r="B3294" s="216" t="str">
        <f ca="1">_xlfn.CONCAT(B3260,A3294)</f>
        <v>1213F85F-ag</v>
      </c>
      <c r="C3294" s="14" t="s">
        <v>1</v>
      </c>
      <c r="D3294" s="15" t="s">
        <v>28</v>
      </c>
      <c r="E3294" s="15" t="s">
        <v>20</v>
      </c>
      <c r="F3294" s="16" t="s">
        <v>21</v>
      </c>
      <c r="G3294" s="15" t="s">
        <v>5</v>
      </c>
      <c r="H3294" s="215"/>
    </row>
    <row r="3295" spans="1:8">
      <c r="A3295" s="211" t="s">
        <v>517</v>
      </c>
      <c r="B3295" s="216" t="str">
        <f ca="1">_xlfn.CONCAT(B3260,A3295)</f>
        <v>1213F85F-ah</v>
      </c>
      <c r="C3295" s="30" t="s">
        <v>29</v>
      </c>
      <c r="D3295" s="186">
        <f>'H-MO'!$N$77</f>
        <v>725918.52892505517</v>
      </c>
      <c r="E3295" s="31">
        <f>+D3295/8</f>
        <v>90739.816115631897</v>
      </c>
      <c r="F3295" s="32">
        <v>0.22</v>
      </c>
      <c r="G3295" s="33">
        <f>+E3295*F3295</f>
        <v>19962.759545439018</v>
      </c>
    </row>
    <row r="3296" spans="1:8">
      <c r="A3296" s="211" t="s">
        <v>518</v>
      </c>
      <c r="B3296" s="216" t="str">
        <f ca="1">_xlfn.CONCAT(B3260,A3296)</f>
        <v>1213F85F-ai</v>
      </c>
      <c r="C3296" s="34" t="s">
        <v>30</v>
      </c>
      <c r="D3296" s="187">
        <f>'H-MO'!$N$86</f>
        <v>685561.39085756091</v>
      </c>
      <c r="E3296" s="29">
        <f>+D3296/8</f>
        <v>85695.173857195114</v>
      </c>
      <c r="F3296" s="28">
        <v>0</v>
      </c>
      <c r="G3296" s="33">
        <f>+E3296*F3296</f>
        <v>0</v>
      </c>
    </row>
    <row r="3297" spans="1:8" ht="14.25" thickBot="1">
      <c r="A3297" s="211" t="s">
        <v>519</v>
      </c>
      <c r="B3297" s="216" t="str">
        <f ca="1">_xlfn.CONCAT(B3260,A3297)</f>
        <v>1213F85F-aj</v>
      </c>
      <c r="C3297" s="34"/>
      <c r="D3297" s="187"/>
      <c r="E3297" s="29"/>
      <c r="F3297" s="28"/>
      <c r="G3297" s="33">
        <f>+E3297*F3297</f>
        <v>0</v>
      </c>
    </row>
    <row r="3298" spans="1:8" ht="17.25" customHeight="1" thickBot="1">
      <c r="A3298" s="211" t="s">
        <v>520</v>
      </c>
      <c r="B3298" s="216" t="str">
        <f ca="1">_xlfn.CONCAT(B3260,A3298)</f>
        <v>1213F85F-ak</v>
      </c>
      <c r="C3298" s="34"/>
      <c r="D3298" s="185"/>
      <c r="E3298" s="26"/>
      <c r="F3298" s="36" t="s">
        <v>31</v>
      </c>
      <c r="G3298" s="23">
        <f>SUM(G3295:G3297)</f>
        <v>19962.759545439018</v>
      </c>
    </row>
    <row r="3299" spans="1:8" ht="14.25" thickBot="1">
      <c r="A3299" s="211" t="s">
        <v>521</v>
      </c>
      <c r="B3299" s="216" t="str">
        <f ca="1">_xlfn.CONCAT(B3260,A3299)</f>
        <v>1213F85F-al</v>
      </c>
      <c r="C3299" s="37"/>
      <c r="E3299" s="38"/>
      <c r="F3299" s="22"/>
      <c r="G3299" s="39"/>
    </row>
    <row r="3300" spans="1:8" ht="23.25" customHeight="1" thickBot="1">
      <c r="A3300" s="211" t="s">
        <v>522</v>
      </c>
      <c r="B3300" s="216" t="str">
        <f ca="1">_xlfn.CONCAT(B3260,A3300)</f>
        <v>1213F85F-am</v>
      </c>
      <c r="C3300" s="40"/>
      <c r="D3300" s="193"/>
      <c r="E3300" s="41"/>
      <c r="F3300" s="42"/>
      <c r="G3300" s="43">
        <f>+G3283+G3292+G3298</f>
        <v>116860.75954543901</v>
      </c>
    </row>
    <row r="3301" spans="1:8" ht="21.75" thickBot="1">
      <c r="B3301" s="212" t="s">
        <v>550</v>
      </c>
      <c r="C3301" s="2"/>
      <c r="D3301" s="183"/>
      <c r="F3301" s="4"/>
      <c r="G3301" s="5"/>
    </row>
    <row r="3302" spans="1:8" s="45" customFormat="1" ht="34.5" customHeight="1">
      <c r="A3302" s="213"/>
      <c r="B3302" s="214">
        <v>76</v>
      </c>
      <c r="C3302" s="242" t="str">
        <f ca="1">_xlfn.XLOOKUP(B3302,Cantidades!$A$10:$A$314,Cantidades!$C$10:$C$314,,0,1)</f>
        <v>Suministro e instalación de amplificador para TV. Incluye amplificador para TV TDT y demas accesorios para su correcta instalación, funcionamiento y señalización.</v>
      </c>
      <c r="D3302" s="243"/>
      <c r="E3302" s="243"/>
      <c r="F3302" s="243"/>
      <c r="G3302" s="244"/>
      <c r="H3302" s="213"/>
    </row>
    <row r="3303" spans="1:8" s="47" customFormat="1" ht="24.95" customHeight="1" thickBot="1">
      <c r="A3303" s="215"/>
      <c r="B3303" s="216" t="s">
        <v>550</v>
      </c>
      <c r="C3303" s="177"/>
      <c r="D3303" s="189"/>
      <c r="E3303" s="178"/>
      <c r="F3303" s="179" t="s">
        <v>636</v>
      </c>
      <c r="G3303" s="209" t="str">
        <f ca="1">B3304</f>
        <v>20FAFD0A-</v>
      </c>
      <c r="H3303" s="215"/>
    </row>
    <row r="3304" spans="1:8" ht="28.5" customHeight="1" thickBot="1">
      <c r="B3304" s="212" t="str">
        <f ca="1">_xlfn.XLOOKUP(C3302,Cantidades!$C$1:$C$314,Cantidades!$B$1:$B$314,"",0,1)</f>
        <v>20FAFD0A-</v>
      </c>
      <c r="C3304" s="10" t="s">
        <v>0</v>
      </c>
      <c r="D3304" s="190"/>
      <c r="E3304" s="11"/>
      <c r="F3304" s="12"/>
      <c r="G3304" s="13"/>
    </row>
    <row r="3305" spans="1:8" s="47" customFormat="1" ht="23.25" customHeight="1" thickBot="1">
      <c r="A3305" s="215"/>
      <c r="B3305" s="216" t="s">
        <v>550</v>
      </c>
      <c r="C3305" s="14" t="s">
        <v>1</v>
      </c>
      <c r="D3305" s="15" t="s">
        <v>2</v>
      </c>
      <c r="E3305" s="15" t="s">
        <v>3</v>
      </c>
      <c r="F3305" s="16" t="s">
        <v>4</v>
      </c>
      <c r="G3305" s="15" t="s">
        <v>5</v>
      </c>
      <c r="H3305" s="215"/>
    </row>
    <row r="3306" spans="1:8" ht="15">
      <c r="A3306" s="211" t="s">
        <v>484</v>
      </c>
      <c r="B3306" s="216" t="str">
        <f ca="1">_xlfn.CONCAT(B3304,A3306)</f>
        <v>20FAFD0A-A</v>
      </c>
      <c r="C3306" s="17" t="str">
        <f>_xlfn.XLOOKUP(H3306,'Materiales unitario'!$A$1:$A$2500,'Materiales unitario'!B$1:B$2500,,0,1)</f>
        <v>Amplificador televes</v>
      </c>
      <c r="D3306" s="184" t="str">
        <f>_xlfn.XLOOKUP(H3306,'Materiales unitario'!A$1:A$2500,'Materiales unitario'!C$1:C$2500,,0,1)</f>
        <v>un</v>
      </c>
      <c r="E3306" s="197">
        <f>_xlfn.XLOOKUP(H3306,'Materiales unitario'!$A$1:$A$2500,'Materiales unitario'!D$1:D$2500,,0,1)</f>
        <v>78630</v>
      </c>
      <c r="F3306" s="19">
        <v>1</v>
      </c>
      <c r="G3306" s="20">
        <f>+E3306*F3306</f>
        <v>78630</v>
      </c>
      <c r="H3306" s="217" t="s">
        <v>799</v>
      </c>
    </row>
    <row r="3307" spans="1:8">
      <c r="A3307" s="211" t="s">
        <v>485</v>
      </c>
      <c r="B3307" s="216" t="str">
        <f ca="1">_xlfn.CONCAT(B3304,A3307)</f>
        <v>20FAFD0A-B</v>
      </c>
      <c r="C3307" s="17" t="str">
        <f>_xlfn.XLOOKUP(H3307,'Materiales unitario'!$A$1:$A$2500,'Materiales unitario'!B$1:B$2500,,0,1)</f>
        <v>Accesorios de anclaje y fijacion.</v>
      </c>
      <c r="D3307" s="184" t="str">
        <f>_xlfn.XLOOKUP(H3307,'Materiales unitario'!A$1:A$2500,'Materiales unitario'!C$1:C$2500,,0,1)</f>
        <v>un</v>
      </c>
      <c r="E3307" s="197">
        <f>_xlfn.XLOOKUP(H3307,'Materiales unitario'!$A$1:$A$2500,'Materiales unitario'!D$1:D$2500,,0,1)</f>
        <v>10000</v>
      </c>
      <c r="F3307" s="19">
        <v>0.2</v>
      </c>
      <c r="G3307" s="20">
        <f>+E3307*F3307</f>
        <v>2000</v>
      </c>
      <c r="H3307" s="211" t="s">
        <v>222</v>
      </c>
    </row>
    <row r="3308" spans="1:8" ht="15">
      <c r="A3308" s="211" t="s">
        <v>486</v>
      </c>
      <c r="B3308" s="216" t="str">
        <f ca="1">_xlfn.CONCAT(B3304,A3308)</f>
        <v>20FAFD0A-C</v>
      </c>
      <c r="C3308" s="17"/>
      <c r="D3308" s="184"/>
      <c r="E3308" s="197"/>
      <c r="F3308" s="19"/>
      <c r="G3308" s="20"/>
      <c r="H3308" s="217"/>
    </row>
    <row r="3309" spans="1:8" ht="15">
      <c r="A3309" s="211" t="s">
        <v>487</v>
      </c>
      <c r="B3309" s="216" t="str">
        <f ca="1">_xlfn.CONCAT(B3304,A3309)</f>
        <v>20FAFD0A-D</v>
      </c>
      <c r="C3309" s="17"/>
      <c r="D3309" s="184"/>
      <c r="E3309" s="197"/>
      <c r="F3309" s="19"/>
      <c r="G3309" s="20"/>
      <c r="H3309" s="217"/>
    </row>
    <row r="3310" spans="1:8">
      <c r="A3310" s="211" t="s">
        <v>488</v>
      </c>
      <c r="B3310" s="216" t="str">
        <f ca="1">_xlfn.CONCAT(B3304,A3310)</f>
        <v>20FAFD0A-E</v>
      </c>
      <c r="C3310" s="17"/>
      <c r="D3310" s="184"/>
      <c r="E3310" s="197"/>
      <c r="F3310" s="19"/>
      <c r="G3310" s="20"/>
    </row>
    <row r="3311" spans="1:8" ht="15">
      <c r="A3311" s="211" t="s">
        <v>489</v>
      </c>
      <c r="B3311" s="216" t="str">
        <f ca="1">_xlfn.CONCAT(B3304,A3311)</f>
        <v>20FAFD0A-F</v>
      </c>
      <c r="C3311" s="17"/>
      <c r="D3311" s="184"/>
      <c r="E3311" s="197"/>
      <c r="F3311" s="19"/>
      <c r="G3311" s="20"/>
      <c r="H3311" s="217"/>
    </row>
    <row r="3312" spans="1:8">
      <c r="A3312" s="211" t="s">
        <v>490</v>
      </c>
      <c r="B3312" s="216" t="str">
        <f ca="1">_xlfn.CONCAT(B3304,A3312)</f>
        <v>20FAFD0A-G</v>
      </c>
      <c r="C3312" s="17"/>
      <c r="D3312" s="184"/>
      <c r="E3312" s="197"/>
      <c r="F3312" s="19"/>
      <c r="G3312" s="20"/>
    </row>
    <row r="3313" spans="1:7">
      <c r="A3313" s="211" t="s">
        <v>491</v>
      </c>
      <c r="B3313" s="216" t="str">
        <f ca="1">_xlfn.CONCAT(B3304,A3313)</f>
        <v>20FAFD0A-H</v>
      </c>
      <c r="C3313" s="17"/>
      <c r="D3313" s="184"/>
      <c r="E3313" s="197"/>
      <c r="F3313" s="19"/>
      <c r="G3313" s="20"/>
    </row>
    <row r="3314" spans="1:7">
      <c r="A3314" s="211" t="s">
        <v>492</v>
      </c>
      <c r="B3314" s="216" t="str">
        <f ca="1">_xlfn.CONCAT(B3304,A3314)</f>
        <v>20FAFD0A-I</v>
      </c>
      <c r="C3314" s="17"/>
      <c r="D3314" s="184"/>
      <c r="E3314" s="197"/>
      <c r="F3314" s="19"/>
      <c r="G3314" s="20"/>
    </row>
    <row r="3315" spans="1:7">
      <c r="A3315" s="211" t="s">
        <v>493</v>
      </c>
      <c r="B3315" s="216" t="str">
        <f ca="1">_xlfn.CONCAT(B3304,A3315)</f>
        <v>20FAFD0A-J</v>
      </c>
      <c r="C3315" s="17"/>
      <c r="D3315" s="184"/>
      <c r="E3315" s="197"/>
      <c r="F3315" s="19"/>
      <c r="G3315" s="20"/>
    </row>
    <row r="3316" spans="1:7">
      <c r="A3316" s="211" t="s">
        <v>494</v>
      </c>
      <c r="B3316" s="216" t="str">
        <f ca="1">_xlfn.CONCAT(B3304,A3316)</f>
        <v>20FAFD0A-K</v>
      </c>
      <c r="C3316" s="17"/>
      <c r="D3316" s="184"/>
      <c r="E3316" s="197"/>
      <c r="F3316" s="19"/>
      <c r="G3316" s="20"/>
    </row>
    <row r="3317" spans="1:7">
      <c r="A3317" s="211" t="s">
        <v>495</v>
      </c>
      <c r="B3317" s="216" t="str">
        <f ca="1">_xlfn.CONCAT(B3304,A3317)</f>
        <v>20FAFD0A-L</v>
      </c>
      <c r="C3317" s="17"/>
      <c r="D3317" s="184"/>
      <c r="E3317" s="197"/>
      <c r="F3317" s="19"/>
      <c r="G3317" s="20"/>
    </row>
    <row r="3318" spans="1:7">
      <c r="A3318" s="211" t="s">
        <v>496</v>
      </c>
      <c r="B3318" s="216" t="str">
        <f ca="1">_xlfn.CONCAT(B3304,A3318)</f>
        <v>20FAFD0A-M</v>
      </c>
      <c r="C3318" s="17"/>
      <c r="D3318" s="184"/>
      <c r="E3318" s="197"/>
      <c r="F3318" s="19"/>
      <c r="G3318" s="20"/>
    </row>
    <row r="3319" spans="1:7">
      <c r="A3319" s="211" t="s">
        <v>497</v>
      </c>
      <c r="B3319" s="216" t="str">
        <f ca="1">_xlfn.CONCAT(B3304,A3319)</f>
        <v>20FAFD0A-N</v>
      </c>
      <c r="C3319" s="17"/>
      <c r="D3319" s="184"/>
      <c r="E3319" s="197"/>
      <c r="F3319" s="19"/>
      <c r="G3319" s="20"/>
    </row>
    <row r="3320" spans="1:7">
      <c r="A3320" s="211" t="s">
        <v>498</v>
      </c>
      <c r="B3320" s="216" t="str">
        <f ca="1">_xlfn.CONCAT(B3304,A3320)</f>
        <v>20FAFD0A-O</v>
      </c>
      <c r="C3320" s="17"/>
      <c r="D3320" s="184"/>
      <c r="E3320" s="197"/>
      <c r="F3320" s="19"/>
      <c r="G3320" s="20"/>
    </row>
    <row r="3321" spans="1:7">
      <c r="A3321" s="211" t="s">
        <v>499</v>
      </c>
      <c r="B3321" s="216" t="str">
        <f ca="1">_xlfn.CONCAT(B3304,A3321)</f>
        <v>20FAFD0A-P</v>
      </c>
      <c r="C3321" s="17"/>
      <c r="D3321" s="184"/>
      <c r="E3321" s="197"/>
      <c r="F3321" s="19"/>
      <c r="G3321" s="20"/>
    </row>
    <row r="3322" spans="1:7">
      <c r="A3322" s="211" t="s">
        <v>500</v>
      </c>
      <c r="B3322" s="216" t="str">
        <f ca="1">_xlfn.CONCAT(B3304,A3322)</f>
        <v>20FAFD0A-Q</v>
      </c>
      <c r="C3322" s="17"/>
      <c r="D3322" s="184"/>
      <c r="E3322" s="197"/>
      <c r="F3322" s="19"/>
      <c r="G3322" s="20"/>
    </row>
    <row r="3323" spans="1:7">
      <c r="A3323" s="211" t="s">
        <v>501</v>
      </c>
      <c r="B3323" s="216" t="str">
        <f ca="1">_xlfn.CONCAT(B3304,A3323)</f>
        <v>20FAFD0A-R</v>
      </c>
      <c r="C3323" s="17"/>
      <c r="D3323" s="184"/>
      <c r="E3323" s="197"/>
      <c r="F3323" s="19"/>
      <c r="G3323" s="20"/>
    </row>
    <row r="3324" spans="1:7">
      <c r="A3324" s="211" t="s">
        <v>502</v>
      </c>
      <c r="B3324" s="216" t="str">
        <f ca="1">_xlfn.CONCAT(B3304,A3324)</f>
        <v>20FAFD0A-S</v>
      </c>
      <c r="C3324" s="17"/>
      <c r="D3324" s="184"/>
      <c r="E3324" s="197"/>
      <c r="F3324" s="19"/>
      <c r="G3324" s="20"/>
    </row>
    <row r="3325" spans="1:7">
      <c r="A3325" s="211" t="s">
        <v>503</v>
      </c>
      <c r="B3325" s="216" t="str">
        <f ca="1">_xlfn.CONCAT(B3304,A3325)</f>
        <v>20FAFD0A-T</v>
      </c>
      <c r="C3325" s="17"/>
      <c r="D3325" s="184"/>
      <c r="E3325" s="197"/>
      <c r="F3325" s="19"/>
      <c r="G3325" s="20"/>
    </row>
    <row r="3326" spans="1:7" ht="14.25" thickBot="1">
      <c r="A3326" s="211" t="s">
        <v>504</v>
      </c>
      <c r="B3326" s="216" t="str">
        <f ca="1">_xlfn.CONCAT(B3304,A3326)</f>
        <v>20FAFD0A-U</v>
      </c>
      <c r="C3326" s="17"/>
      <c r="D3326" s="184"/>
      <c r="E3326" s="197"/>
      <c r="F3326" s="19"/>
      <c r="G3326" s="20"/>
    </row>
    <row r="3327" spans="1:7" ht="16.5" customHeight="1" thickBot="1">
      <c r="A3327" s="211" t="s">
        <v>505</v>
      </c>
      <c r="B3327" s="216" t="str">
        <f ca="1">_xlfn.CONCAT(B3304,A3327)</f>
        <v>20FAFD0A-V</v>
      </c>
      <c r="C3327" s="17" t="s">
        <v>17</v>
      </c>
      <c r="D3327" s="192" t="s">
        <v>17</v>
      </c>
      <c r="E3327" s="18"/>
      <c r="F3327" s="22" t="s">
        <v>18</v>
      </c>
      <c r="G3327" s="23">
        <f>SUM(G3306:G3326)</f>
        <v>80630</v>
      </c>
    </row>
    <row r="3328" spans="1:7" ht="28.5" customHeight="1" thickBot="1">
      <c r="A3328" s="211" t="s">
        <v>506</v>
      </c>
      <c r="B3328" s="216" t="str">
        <f ca="1">_xlfn.CONCAT(B3304,A3328)</f>
        <v>20FAFD0A-W</v>
      </c>
      <c r="C3328" s="10" t="s">
        <v>19</v>
      </c>
      <c r="D3328" s="190"/>
      <c r="E3328" s="11"/>
      <c r="F3328" s="12"/>
      <c r="G3328" s="13"/>
    </row>
    <row r="3329" spans="1:8" s="47" customFormat="1" ht="23.25" customHeight="1" thickBot="1">
      <c r="A3329" s="211" t="s">
        <v>507</v>
      </c>
      <c r="B3329" s="216" t="str">
        <f ca="1">_xlfn.CONCAT(B3304,A3329)</f>
        <v>20FAFD0A-X</v>
      </c>
      <c r="C3329" s="14" t="s">
        <v>1</v>
      </c>
      <c r="D3329" s="15"/>
      <c r="E3329" s="15" t="s">
        <v>20</v>
      </c>
      <c r="F3329" s="16" t="s">
        <v>21</v>
      </c>
      <c r="G3329" s="15" t="s">
        <v>5</v>
      </c>
      <c r="H3329" s="215"/>
    </row>
    <row r="3330" spans="1:8">
      <c r="A3330" s="211" t="s">
        <v>508</v>
      </c>
      <c r="B3330" s="216" t="str">
        <f ca="1">_xlfn.CONCAT(B3304,A3330)</f>
        <v>20FAFD0A-Y</v>
      </c>
      <c r="C3330" s="24" t="s">
        <v>22</v>
      </c>
      <c r="D3330" s="184"/>
      <c r="E3330" s="25">
        <f>_xlfn.XLOOKUP(C3330,'H-MO'!B$7:B$30,'H-MO'!D$7:D$30,,0,1)</f>
        <v>2436.5624999999995</v>
      </c>
      <c r="F3330" s="19">
        <v>1</v>
      </c>
      <c r="G3330" s="33">
        <f t="shared" ref="G3330:G3335" si="94">+E3330*F3330</f>
        <v>2436.5624999999995</v>
      </c>
    </row>
    <row r="3331" spans="1:8">
      <c r="A3331" s="211" t="s">
        <v>509</v>
      </c>
      <c r="B3331" s="216" t="str">
        <f ca="1">_xlfn.CONCAT(B3304,A3331)</f>
        <v>20FAFD0A-Z</v>
      </c>
      <c r="C3331" s="24" t="s">
        <v>23</v>
      </c>
      <c r="D3331" s="184"/>
      <c r="E3331" s="25">
        <f>_xlfn.XLOOKUP(C3331,'H-MO'!B$7:B$30,'H-MO'!D$7:D$30,,0,1)</f>
        <v>1461.9374999999998</v>
      </c>
      <c r="F3331" s="19">
        <v>0.1</v>
      </c>
      <c r="G3331" s="33">
        <f t="shared" si="94"/>
        <v>146.19374999999999</v>
      </c>
    </row>
    <row r="3332" spans="1:8">
      <c r="A3332" s="211" t="s">
        <v>510</v>
      </c>
      <c r="B3332" s="216" t="str">
        <f ca="1">_xlfn.CONCAT(B3304,A3332)</f>
        <v>20FAFD0A-aa</v>
      </c>
      <c r="C3332" s="24" t="s">
        <v>24</v>
      </c>
      <c r="D3332" s="185"/>
      <c r="E3332" s="25">
        <f>_xlfn.XLOOKUP(C3332,'H-MO'!B$7:B$30,'H-MO'!D$7:D$30,,0,1)</f>
        <v>29238.749999999996</v>
      </c>
      <c r="F3332" s="28">
        <v>0.01</v>
      </c>
      <c r="G3332" s="33">
        <f t="shared" si="94"/>
        <v>292.38749999999999</v>
      </c>
    </row>
    <row r="3333" spans="1:8">
      <c r="A3333" s="211" t="s">
        <v>511</v>
      </c>
      <c r="B3333" s="216" t="str">
        <f ca="1">_xlfn.CONCAT(B3304,A3333)</f>
        <v>20FAFD0A-ab</v>
      </c>
      <c r="C3333" s="24" t="s">
        <v>25</v>
      </c>
      <c r="D3333" s="185"/>
      <c r="E3333" s="25">
        <f>_xlfn.XLOOKUP(C3333,'H-MO'!B$7:B$30,'H-MO'!D$7:D$30,,0,1)</f>
        <v>2761.4374999999995</v>
      </c>
      <c r="F3333" s="28">
        <v>0.1</v>
      </c>
      <c r="G3333" s="33">
        <f t="shared" si="94"/>
        <v>276.14374999999995</v>
      </c>
    </row>
    <row r="3334" spans="1:8">
      <c r="A3334" s="211" t="s">
        <v>512</v>
      </c>
      <c r="B3334" s="216" t="str">
        <f ca="1">_xlfn.CONCAT(B3304,A3334)</f>
        <v>20FAFD0A-ac</v>
      </c>
      <c r="C3334" s="24"/>
      <c r="D3334" s="185"/>
      <c r="E3334" s="29"/>
      <c r="F3334" s="28"/>
      <c r="G3334" s="33">
        <f t="shared" si="94"/>
        <v>0</v>
      </c>
    </row>
    <row r="3335" spans="1:8" ht="14.25" thickBot="1">
      <c r="A3335" s="211" t="s">
        <v>513</v>
      </c>
      <c r="B3335" s="216" t="str">
        <f ca="1">_xlfn.CONCAT(B3304,A3335)</f>
        <v>20FAFD0A-ad</v>
      </c>
      <c r="C3335" s="24"/>
      <c r="D3335" s="185"/>
      <c r="E3335" s="29"/>
      <c r="F3335" s="28"/>
      <c r="G3335" s="33">
        <f t="shared" si="94"/>
        <v>0</v>
      </c>
    </row>
    <row r="3336" spans="1:8" ht="16.5" customHeight="1" thickBot="1">
      <c r="A3336" s="211" t="s">
        <v>514</v>
      </c>
      <c r="B3336" s="216" t="str">
        <f ca="1">_xlfn.CONCAT(B3304,A3336)</f>
        <v>20FAFD0A-ae</v>
      </c>
      <c r="C3336" s="17"/>
      <c r="D3336" s="192"/>
      <c r="E3336" s="18"/>
      <c r="F3336" s="22" t="s">
        <v>26</v>
      </c>
      <c r="G3336" s="23">
        <f>SUM(G3330:G3335)</f>
        <v>3151.2874999999995</v>
      </c>
    </row>
    <row r="3337" spans="1:8" ht="28.5" customHeight="1" thickBot="1">
      <c r="A3337" s="211" t="s">
        <v>515</v>
      </c>
      <c r="B3337" s="216" t="str">
        <f ca="1">_xlfn.CONCAT(B3304,A3337)</f>
        <v>20FAFD0A-af</v>
      </c>
      <c r="C3337" s="10" t="s">
        <v>27</v>
      </c>
      <c r="D3337" s="190"/>
      <c r="E3337" s="11"/>
      <c r="F3337" s="12"/>
      <c r="G3337" s="13"/>
    </row>
    <row r="3338" spans="1:8" s="47" customFormat="1" ht="23.25" customHeight="1" thickBot="1">
      <c r="A3338" s="211" t="s">
        <v>516</v>
      </c>
      <c r="B3338" s="216" t="str">
        <f ca="1">_xlfn.CONCAT(B3304,A3338)</f>
        <v>20FAFD0A-ag</v>
      </c>
      <c r="C3338" s="14" t="s">
        <v>1</v>
      </c>
      <c r="D3338" s="15" t="s">
        <v>28</v>
      </c>
      <c r="E3338" s="15" t="s">
        <v>20</v>
      </c>
      <c r="F3338" s="16" t="s">
        <v>21</v>
      </c>
      <c r="G3338" s="15" t="s">
        <v>5</v>
      </c>
      <c r="H3338" s="215"/>
    </row>
    <row r="3339" spans="1:8">
      <c r="A3339" s="211" t="s">
        <v>517</v>
      </c>
      <c r="B3339" s="216" t="str">
        <f ca="1">_xlfn.CONCAT(B3304,A3339)</f>
        <v>20FAFD0A-ah</v>
      </c>
      <c r="C3339" s="30" t="s">
        <v>29</v>
      </c>
      <c r="D3339" s="186">
        <f>'H-MO'!$N$77</f>
        <v>725918.52892505517</v>
      </c>
      <c r="E3339" s="31">
        <f>+D3339/8</f>
        <v>90739.816115631897</v>
      </c>
      <c r="F3339" s="32">
        <v>0.2</v>
      </c>
      <c r="G3339" s="33">
        <f>+E3339*F3339</f>
        <v>18147.963223126379</v>
      </c>
    </row>
    <row r="3340" spans="1:8">
      <c r="A3340" s="211" t="s">
        <v>518</v>
      </c>
      <c r="B3340" s="216" t="str">
        <f ca="1">_xlfn.CONCAT(B3304,A3340)</f>
        <v>20FAFD0A-ai</v>
      </c>
      <c r="C3340" s="34" t="s">
        <v>30</v>
      </c>
      <c r="D3340" s="187">
        <f>'H-MO'!$N$86</f>
        <v>685561.39085756091</v>
      </c>
      <c r="E3340" s="29">
        <f>+D3340/8</f>
        <v>85695.173857195114</v>
      </c>
      <c r="F3340" s="28">
        <v>0</v>
      </c>
      <c r="G3340" s="33">
        <f>+E3340*F3340</f>
        <v>0</v>
      </c>
    </row>
    <row r="3341" spans="1:8" ht="14.25" thickBot="1">
      <c r="A3341" s="211" t="s">
        <v>519</v>
      </c>
      <c r="B3341" s="216" t="str">
        <f ca="1">_xlfn.CONCAT(B3304,A3341)</f>
        <v>20FAFD0A-aj</v>
      </c>
      <c r="C3341" s="34"/>
      <c r="D3341" s="187"/>
      <c r="E3341" s="29"/>
      <c r="F3341" s="28"/>
      <c r="G3341" s="33">
        <f>+E3341*F3341</f>
        <v>0</v>
      </c>
    </row>
    <row r="3342" spans="1:8" ht="17.25" customHeight="1" thickBot="1">
      <c r="A3342" s="211" t="s">
        <v>520</v>
      </c>
      <c r="B3342" s="216" t="str">
        <f ca="1">_xlfn.CONCAT(B3304,A3342)</f>
        <v>20FAFD0A-ak</v>
      </c>
      <c r="C3342" s="34"/>
      <c r="D3342" s="185"/>
      <c r="E3342" s="26"/>
      <c r="F3342" s="36" t="s">
        <v>31</v>
      </c>
      <c r="G3342" s="23">
        <f>SUM(G3339:G3341)</f>
        <v>18147.963223126379</v>
      </c>
    </row>
    <row r="3343" spans="1:8" ht="14.25" thickBot="1">
      <c r="A3343" s="211" t="s">
        <v>521</v>
      </c>
      <c r="B3343" s="216" t="str">
        <f ca="1">_xlfn.CONCAT(B3304,A3343)</f>
        <v>20FAFD0A-al</v>
      </c>
      <c r="C3343" s="37"/>
      <c r="E3343" s="38"/>
      <c r="F3343" s="22"/>
      <c r="G3343" s="39"/>
    </row>
    <row r="3344" spans="1:8" ht="23.25" customHeight="1" thickBot="1">
      <c r="A3344" s="211" t="s">
        <v>522</v>
      </c>
      <c r="B3344" s="216" t="str">
        <f ca="1">_xlfn.CONCAT(B3304,A3344)</f>
        <v>20FAFD0A-am</v>
      </c>
      <c r="C3344" s="40"/>
      <c r="D3344" s="193"/>
      <c r="E3344" s="41"/>
      <c r="F3344" s="42"/>
      <c r="G3344" s="43">
        <f>+G3327+G3336+G3342</f>
        <v>101929.25072312639</v>
      </c>
    </row>
    <row r="3345" spans="1:8" ht="21.75" thickBot="1">
      <c r="B3345" s="212" t="s">
        <v>550</v>
      </c>
      <c r="C3345" s="2"/>
      <c r="D3345" s="183"/>
      <c r="F3345" s="4"/>
      <c r="G3345" s="5"/>
    </row>
    <row r="3346" spans="1:8" s="45" customFormat="1" ht="34.5" customHeight="1">
      <c r="A3346" s="213"/>
      <c r="B3346" s="214">
        <v>77</v>
      </c>
      <c r="C3346" s="242" t="str">
        <f ca="1">_xlfn.XLOOKUP(B3346,Cantidades!$A$10:$A$314,Cantidades!$C$10:$C$314,,0,1)</f>
        <v>Suministro e instalación de salida para TV. Incluye tubería SCH 40, cable coaxial y demas accesorios para su correcta instalación, funcionamiento y señalización.</v>
      </c>
      <c r="D3346" s="243"/>
      <c r="E3346" s="243"/>
      <c r="F3346" s="243"/>
      <c r="G3346" s="244"/>
      <c r="H3346" s="213"/>
    </row>
    <row r="3347" spans="1:8" s="47" customFormat="1" ht="24.95" customHeight="1" thickBot="1">
      <c r="A3347" s="215"/>
      <c r="B3347" s="216" t="s">
        <v>550</v>
      </c>
      <c r="C3347" s="177"/>
      <c r="D3347" s="189"/>
      <c r="E3347" s="178"/>
      <c r="F3347" s="179" t="s">
        <v>636</v>
      </c>
      <c r="G3347" s="209" t="str">
        <f ca="1">B3348</f>
        <v>3326CB28-</v>
      </c>
      <c r="H3347" s="215"/>
    </row>
    <row r="3348" spans="1:8" ht="28.5" customHeight="1" thickBot="1">
      <c r="B3348" s="212" t="str">
        <f ca="1">_xlfn.XLOOKUP(C3346,Cantidades!$C$1:$C$314,Cantidades!$B$1:$B$314,"",0,1)</f>
        <v>3326CB28-</v>
      </c>
      <c r="C3348" s="10" t="s">
        <v>0</v>
      </c>
      <c r="D3348" s="190"/>
      <c r="E3348" s="11"/>
      <c r="F3348" s="12"/>
      <c r="G3348" s="13"/>
    </row>
    <row r="3349" spans="1:8" s="47" customFormat="1" ht="23.25" customHeight="1" thickBot="1">
      <c r="A3349" s="215"/>
      <c r="B3349" s="216" t="s">
        <v>550</v>
      </c>
      <c r="C3349" s="14" t="s">
        <v>1</v>
      </c>
      <c r="D3349" s="15" t="s">
        <v>2</v>
      </c>
      <c r="E3349" s="15" t="s">
        <v>3</v>
      </c>
      <c r="F3349" s="16" t="s">
        <v>4</v>
      </c>
      <c r="G3349" s="15" t="s">
        <v>5</v>
      </c>
      <c r="H3349" s="215"/>
    </row>
    <row r="3350" spans="1:8" ht="15">
      <c r="A3350" s="211" t="s">
        <v>484</v>
      </c>
      <c r="B3350" s="216" t="str">
        <f ca="1">_xlfn.CONCAT(B3348,A3350)</f>
        <v>3326CB28-A</v>
      </c>
      <c r="C3350" s="17" t="str">
        <f>_xlfn.XLOOKUP(H3350,'Materiales unitario'!$A$1:$A$2500,'Materiales unitario'!B$1:B$2500,,0,1)</f>
        <v>Tubo Conduit PVC SCH40 3-4 Pulgadas</v>
      </c>
      <c r="D3350" s="184" t="str">
        <f>_xlfn.XLOOKUP(H3350,'Materiales unitario'!A$1:A$2500,'Materiales unitario'!C$1:C$2500,,0,1)</f>
        <v>ml</v>
      </c>
      <c r="E3350" s="197">
        <f>_xlfn.XLOOKUP(H3350,'Materiales unitario'!$A$1:$A$2500,'Materiales unitario'!D$1:D$2500,,0,1)</f>
        <v>3966.6666666666665</v>
      </c>
      <c r="F3350" s="19">
        <v>8</v>
      </c>
      <c r="G3350" s="20">
        <f t="shared" ref="G3350:G3356" si="95">+E3350*F3350</f>
        <v>31733.333333333332</v>
      </c>
      <c r="H3350" s="217" t="s">
        <v>602</v>
      </c>
    </row>
    <row r="3351" spans="1:8" ht="15">
      <c r="A3351" s="211" t="s">
        <v>485</v>
      </c>
      <c r="B3351" s="216" t="str">
        <f ca="1">_xlfn.CONCAT(B3348,A3351)</f>
        <v>3326CB28-B</v>
      </c>
      <c r="C3351" s="17" t="str">
        <f>_xlfn.XLOOKUP(H3351,'Materiales unitario'!$A$1:$A$2500,'Materiales unitario'!B$1:B$2500,,0,1)</f>
        <v>Curva PVC SCH40 3/4"</v>
      </c>
      <c r="D3351" s="184" t="str">
        <f>_xlfn.XLOOKUP(H3351,'Materiales unitario'!A$1:A$2500,'Materiales unitario'!C$1:C$2500,,0,1)</f>
        <v>un</v>
      </c>
      <c r="E3351" s="197">
        <f>_xlfn.XLOOKUP(H3351,'Materiales unitario'!$A$1:$A$2500,'Materiales unitario'!D$1:D$2500,,0,1)</f>
        <v>1470</v>
      </c>
      <c r="F3351" s="19">
        <v>3</v>
      </c>
      <c r="G3351" s="20">
        <f t="shared" si="95"/>
        <v>4410</v>
      </c>
      <c r="H3351" s="217" t="s">
        <v>805</v>
      </c>
    </row>
    <row r="3352" spans="1:8" ht="15">
      <c r="A3352" s="211" t="s">
        <v>486</v>
      </c>
      <c r="B3352" s="216" t="str">
        <f ca="1">_xlfn.CONCAT(B3348,A3352)</f>
        <v>3326CB28-C</v>
      </c>
      <c r="C3352" s="17" t="str">
        <f>_xlfn.XLOOKUP(H3352,'Materiales unitario'!$A$1:$A$2500,'Materiales unitario'!B$1:B$2500,,0,1)</f>
        <v>Adaptador terminal PVC ø3/4"</v>
      </c>
      <c r="D3352" s="184" t="str">
        <f>_xlfn.XLOOKUP(H3352,'Materiales unitario'!A$1:A$2500,'Materiales unitario'!C$1:C$2500,,0,1)</f>
        <v>un</v>
      </c>
      <c r="E3352" s="197">
        <f>_xlfn.XLOOKUP(H3352,'Materiales unitario'!$A$1:$A$2500,'Materiales unitario'!D$1:D$2500,,0,1)</f>
        <v>920</v>
      </c>
      <c r="F3352" s="19">
        <v>2</v>
      </c>
      <c r="G3352" s="20">
        <f t="shared" si="95"/>
        <v>1840</v>
      </c>
      <c r="H3352" s="217" t="s">
        <v>604</v>
      </c>
    </row>
    <row r="3353" spans="1:8" ht="15">
      <c r="A3353" s="211" t="s">
        <v>487</v>
      </c>
      <c r="B3353" s="216" t="str">
        <f ca="1">_xlfn.CONCAT(B3348,A3353)</f>
        <v>3326CB28-D</v>
      </c>
      <c r="C3353" s="17" t="str">
        <f>_xlfn.XLOOKUP(H3353,'Materiales unitario'!$A$1:$A$2500,'Materiales unitario'!B$1:B$2500,,0,1)</f>
        <v>Caja doble fondo 10x10</v>
      </c>
      <c r="D3353" s="184" t="str">
        <f>_xlfn.XLOOKUP(H3353,'Materiales unitario'!A$1:A$2500,'Materiales unitario'!C$1:C$2500,,0,1)</f>
        <v>un</v>
      </c>
      <c r="E3353" s="197">
        <f>_xlfn.XLOOKUP(H3353,'Materiales unitario'!$A$1:$A$2500,'Materiales unitario'!D$1:D$2500,,0,1)</f>
        <v>4970</v>
      </c>
      <c r="F3353" s="19">
        <v>1</v>
      </c>
      <c r="G3353" s="20">
        <f t="shared" si="95"/>
        <v>4970</v>
      </c>
      <c r="H3353" s="217" t="s">
        <v>746</v>
      </c>
    </row>
    <row r="3354" spans="1:8" ht="15">
      <c r="A3354" s="211" t="s">
        <v>488</v>
      </c>
      <c r="B3354" s="216" t="str">
        <f ca="1">_xlfn.CONCAT(B3348,A3354)</f>
        <v>3326CB28-E</v>
      </c>
      <c r="C3354" s="17" t="str">
        <f>_xlfn.XLOOKUP(H3354,'Materiales unitario'!$A$1:$A$2500,'Materiales unitario'!B$1:B$2500,,0,1)</f>
        <v>Terminal coaxial RG6</v>
      </c>
      <c r="D3354" s="184" t="str">
        <f>_xlfn.XLOOKUP(H3354,'Materiales unitario'!A$1:A$2500,'Materiales unitario'!C$1:C$2500,,0,1)</f>
        <v>un</v>
      </c>
      <c r="E3354" s="197">
        <f>_xlfn.XLOOKUP(H3354,'Materiales unitario'!$A$1:$A$2500,'Materiales unitario'!D$1:D$2500,,0,1)</f>
        <v>1690</v>
      </c>
      <c r="F3354" s="19">
        <v>2</v>
      </c>
      <c r="G3354" s="20">
        <f t="shared" si="95"/>
        <v>3380</v>
      </c>
      <c r="H3354" s="217" t="s">
        <v>808</v>
      </c>
    </row>
    <row r="3355" spans="1:8" ht="15">
      <c r="A3355" s="211" t="s">
        <v>489</v>
      </c>
      <c r="B3355" s="216" t="str">
        <f ca="1">_xlfn.CONCAT(B3348,A3355)</f>
        <v>3326CB28-F</v>
      </c>
      <c r="C3355" s="17" t="str">
        <f>_xlfn.XLOOKUP(H3355,'Materiales unitario'!$A$1:$A$2500,'Materiales unitario'!B$1:B$2500,,0,1)</f>
        <v>Cable coaxial RG6</v>
      </c>
      <c r="D3355" s="184" t="str">
        <f>_xlfn.XLOOKUP(H3355,'Materiales unitario'!A$1:A$2500,'Materiales unitario'!C$1:C$2500,,0,1)</f>
        <v>ml</v>
      </c>
      <c r="E3355" s="197">
        <f>_xlfn.XLOOKUP(H3355,'Materiales unitario'!$A$1:$A$2500,'Materiales unitario'!D$1:D$2500,,0,1)</f>
        <v>1230</v>
      </c>
      <c r="F3355" s="19">
        <v>10</v>
      </c>
      <c r="G3355" s="20">
        <f t="shared" si="95"/>
        <v>12300</v>
      </c>
      <c r="H3355" s="217" t="s">
        <v>807</v>
      </c>
    </row>
    <row r="3356" spans="1:8" ht="15">
      <c r="A3356" s="211" t="s">
        <v>490</v>
      </c>
      <c r="B3356" s="216" t="str">
        <f ca="1">_xlfn.CONCAT(B3348,A3356)</f>
        <v>3326CB28-G</v>
      </c>
      <c r="C3356" s="17" t="str">
        <f>_xlfn.XLOOKUP(H3356,'Materiales unitario'!$A$1:$A$2500,'Materiales unitario'!B$1:B$2500,,0,1)</f>
        <v>Suplemento galvanizado de ø1/4" (Cal. 24)</v>
      </c>
      <c r="D3356" s="184" t="str">
        <f>_xlfn.XLOOKUP(H3356,'Materiales unitario'!A$1:A$2500,'Materiales unitario'!C$1:C$2500,,0,1)</f>
        <v>un</v>
      </c>
      <c r="E3356" s="197">
        <f>_xlfn.XLOOKUP(H3356,'Materiales unitario'!$A$1:$A$2500,'Materiales unitario'!D$1:D$2500,,0,1)</f>
        <v>1200</v>
      </c>
      <c r="F3356" s="19">
        <v>1</v>
      </c>
      <c r="G3356" s="20">
        <f t="shared" si="95"/>
        <v>1200</v>
      </c>
      <c r="H3356" s="217" t="s">
        <v>609</v>
      </c>
    </row>
    <row r="3357" spans="1:8">
      <c r="A3357" s="211" t="s">
        <v>491</v>
      </c>
      <c r="B3357" s="216" t="str">
        <f ca="1">_xlfn.CONCAT(B3348,A3357)</f>
        <v>3326CB28-H</v>
      </c>
      <c r="C3357" s="17"/>
      <c r="D3357" s="184"/>
      <c r="E3357" s="197"/>
      <c r="F3357" s="19"/>
      <c r="G3357" s="20"/>
    </row>
    <row r="3358" spans="1:8">
      <c r="A3358" s="211" t="s">
        <v>492</v>
      </c>
      <c r="B3358" s="216" t="str">
        <f ca="1">_xlfn.CONCAT(B3348,A3358)</f>
        <v>3326CB28-I</v>
      </c>
      <c r="C3358" s="17"/>
      <c r="D3358" s="184"/>
      <c r="E3358" s="197"/>
      <c r="F3358" s="19"/>
      <c r="G3358" s="20"/>
    </row>
    <row r="3359" spans="1:8">
      <c r="A3359" s="211" t="s">
        <v>493</v>
      </c>
      <c r="B3359" s="216" t="str">
        <f ca="1">_xlfn.CONCAT(B3348,A3359)</f>
        <v>3326CB28-J</v>
      </c>
      <c r="C3359" s="17"/>
      <c r="D3359" s="184"/>
      <c r="E3359" s="197"/>
      <c r="F3359" s="19"/>
      <c r="G3359" s="20"/>
    </row>
    <row r="3360" spans="1:8">
      <c r="A3360" s="211" t="s">
        <v>494</v>
      </c>
      <c r="B3360" s="216" t="str">
        <f ca="1">_xlfn.CONCAT(B3348,A3360)</f>
        <v>3326CB28-K</v>
      </c>
      <c r="C3360" s="17"/>
      <c r="D3360" s="184"/>
      <c r="E3360" s="197"/>
      <c r="F3360" s="19"/>
      <c r="G3360" s="20"/>
    </row>
    <row r="3361" spans="1:8">
      <c r="A3361" s="211" t="s">
        <v>495</v>
      </c>
      <c r="B3361" s="216" t="str">
        <f ca="1">_xlfn.CONCAT(B3348,A3361)</f>
        <v>3326CB28-L</v>
      </c>
      <c r="C3361" s="17"/>
      <c r="D3361" s="184"/>
      <c r="E3361" s="197"/>
      <c r="F3361" s="19"/>
      <c r="G3361" s="20"/>
    </row>
    <row r="3362" spans="1:8">
      <c r="A3362" s="211" t="s">
        <v>496</v>
      </c>
      <c r="B3362" s="216" t="str">
        <f ca="1">_xlfn.CONCAT(B3348,A3362)</f>
        <v>3326CB28-M</v>
      </c>
      <c r="C3362" s="17"/>
      <c r="D3362" s="184"/>
      <c r="E3362" s="197"/>
      <c r="F3362" s="19"/>
      <c r="G3362" s="20"/>
    </row>
    <row r="3363" spans="1:8">
      <c r="A3363" s="211" t="s">
        <v>497</v>
      </c>
      <c r="B3363" s="216" t="str">
        <f ca="1">_xlfn.CONCAT(B3348,A3363)</f>
        <v>3326CB28-N</v>
      </c>
      <c r="C3363" s="17"/>
      <c r="D3363" s="184"/>
      <c r="E3363" s="197"/>
      <c r="F3363" s="19"/>
      <c r="G3363" s="20"/>
    </row>
    <row r="3364" spans="1:8">
      <c r="A3364" s="211" t="s">
        <v>498</v>
      </c>
      <c r="B3364" s="216" t="str">
        <f ca="1">_xlfn.CONCAT(B3348,A3364)</f>
        <v>3326CB28-O</v>
      </c>
      <c r="C3364" s="17"/>
      <c r="D3364" s="184"/>
      <c r="E3364" s="197"/>
      <c r="F3364" s="19"/>
      <c r="G3364" s="20"/>
    </row>
    <row r="3365" spans="1:8">
      <c r="A3365" s="211" t="s">
        <v>499</v>
      </c>
      <c r="B3365" s="216" t="str">
        <f ca="1">_xlfn.CONCAT(B3348,A3365)</f>
        <v>3326CB28-P</v>
      </c>
      <c r="C3365" s="17"/>
      <c r="D3365" s="184"/>
      <c r="E3365" s="197"/>
      <c r="F3365" s="19"/>
      <c r="G3365" s="20"/>
    </row>
    <row r="3366" spans="1:8">
      <c r="A3366" s="211" t="s">
        <v>500</v>
      </c>
      <c r="B3366" s="216" t="str">
        <f ca="1">_xlfn.CONCAT(B3348,A3366)</f>
        <v>3326CB28-Q</v>
      </c>
      <c r="C3366" s="17"/>
      <c r="D3366" s="184"/>
      <c r="E3366" s="197"/>
      <c r="F3366" s="19"/>
      <c r="G3366" s="20"/>
    </row>
    <row r="3367" spans="1:8">
      <c r="A3367" s="211" t="s">
        <v>501</v>
      </c>
      <c r="B3367" s="216" t="str">
        <f ca="1">_xlfn.CONCAT(B3348,A3367)</f>
        <v>3326CB28-R</v>
      </c>
      <c r="C3367" s="17"/>
      <c r="D3367" s="184"/>
      <c r="E3367" s="197"/>
      <c r="F3367" s="19"/>
      <c r="G3367" s="20"/>
    </row>
    <row r="3368" spans="1:8">
      <c r="A3368" s="211" t="s">
        <v>502</v>
      </c>
      <c r="B3368" s="216" t="str">
        <f ca="1">_xlfn.CONCAT(B3348,A3368)</f>
        <v>3326CB28-S</v>
      </c>
      <c r="C3368" s="17"/>
      <c r="D3368" s="184"/>
      <c r="E3368" s="197"/>
      <c r="F3368" s="19"/>
      <c r="G3368" s="20"/>
    </row>
    <row r="3369" spans="1:8">
      <c r="A3369" s="211" t="s">
        <v>503</v>
      </c>
      <c r="B3369" s="216" t="str">
        <f ca="1">_xlfn.CONCAT(B3348,A3369)</f>
        <v>3326CB28-T</v>
      </c>
      <c r="C3369" s="17"/>
      <c r="D3369" s="184"/>
      <c r="E3369" s="197"/>
      <c r="F3369" s="19"/>
      <c r="G3369" s="20"/>
    </row>
    <row r="3370" spans="1:8" ht="14.25" thickBot="1">
      <c r="A3370" s="211" t="s">
        <v>504</v>
      </c>
      <c r="B3370" s="216" t="str">
        <f ca="1">_xlfn.CONCAT(B3348,A3370)</f>
        <v>3326CB28-U</v>
      </c>
      <c r="C3370" s="17"/>
      <c r="D3370" s="184"/>
      <c r="E3370" s="197"/>
      <c r="F3370" s="19"/>
      <c r="G3370" s="20"/>
    </row>
    <row r="3371" spans="1:8" ht="16.5" customHeight="1" thickBot="1">
      <c r="A3371" s="211" t="s">
        <v>505</v>
      </c>
      <c r="B3371" s="216" t="str">
        <f ca="1">_xlfn.CONCAT(B3348,A3371)</f>
        <v>3326CB28-V</v>
      </c>
      <c r="C3371" s="17" t="s">
        <v>17</v>
      </c>
      <c r="D3371" s="192" t="s">
        <v>17</v>
      </c>
      <c r="E3371" s="18"/>
      <c r="F3371" s="22" t="s">
        <v>18</v>
      </c>
      <c r="G3371" s="23">
        <f>SUM(G3350:G3370)</f>
        <v>59833.333333333328</v>
      </c>
    </row>
    <row r="3372" spans="1:8" ht="28.5" customHeight="1" thickBot="1">
      <c r="A3372" s="211" t="s">
        <v>506</v>
      </c>
      <c r="B3372" s="216" t="str">
        <f ca="1">_xlfn.CONCAT(B3348,A3372)</f>
        <v>3326CB28-W</v>
      </c>
      <c r="C3372" s="10" t="s">
        <v>19</v>
      </c>
      <c r="D3372" s="190"/>
      <c r="E3372" s="11"/>
      <c r="F3372" s="12"/>
      <c r="G3372" s="13"/>
    </row>
    <row r="3373" spans="1:8" s="47" customFormat="1" ht="23.25" customHeight="1" thickBot="1">
      <c r="A3373" s="211" t="s">
        <v>507</v>
      </c>
      <c r="B3373" s="216" t="str">
        <f ca="1">_xlfn.CONCAT(B3348,A3373)</f>
        <v>3326CB28-X</v>
      </c>
      <c r="C3373" s="14" t="s">
        <v>1</v>
      </c>
      <c r="D3373" s="15"/>
      <c r="E3373" s="15" t="s">
        <v>20</v>
      </c>
      <c r="F3373" s="16" t="s">
        <v>21</v>
      </c>
      <c r="G3373" s="15" t="s">
        <v>5</v>
      </c>
      <c r="H3373" s="215"/>
    </row>
    <row r="3374" spans="1:8">
      <c r="A3374" s="211" t="s">
        <v>508</v>
      </c>
      <c r="B3374" s="216" t="str">
        <f ca="1">_xlfn.CONCAT(B3348,A3374)</f>
        <v>3326CB28-Y</v>
      </c>
      <c r="C3374" s="24" t="s">
        <v>22</v>
      </c>
      <c r="D3374" s="184"/>
      <c r="E3374" s="25">
        <f>_xlfn.XLOOKUP(C3374,'H-MO'!B$7:B$30,'H-MO'!D$7:D$30,,0,1)</f>
        <v>2436.5624999999995</v>
      </c>
      <c r="F3374" s="19">
        <v>0.4</v>
      </c>
      <c r="G3374" s="33">
        <f t="shared" ref="G3374:G3379" si="96">+E3374*F3374</f>
        <v>974.62499999999989</v>
      </c>
    </row>
    <row r="3375" spans="1:8">
      <c r="A3375" s="211" t="s">
        <v>509</v>
      </c>
      <c r="B3375" s="216" t="str">
        <f ca="1">_xlfn.CONCAT(B3348,A3375)</f>
        <v>3326CB28-Z</v>
      </c>
      <c r="C3375" s="24" t="s">
        <v>23</v>
      </c>
      <c r="D3375" s="184"/>
      <c r="E3375" s="25">
        <f>_xlfn.XLOOKUP(C3375,'H-MO'!B$7:B$30,'H-MO'!D$7:D$30,,0,1)</f>
        <v>1461.9374999999998</v>
      </c>
      <c r="F3375" s="19">
        <v>0.1</v>
      </c>
      <c r="G3375" s="33">
        <f t="shared" si="96"/>
        <v>146.19374999999999</v>
      </c>
    </row>
    <row r="3376" spans="1:8">
      <c r="A3376" s="211" t="s">
        <v>510</v>
      </c>
      <c r="B3376" s="216" t="str">
        <f ca="1">_xlfn.CONCAT(B3348,A3376)</f>
        <v>3326CB28-aa</v>
      </c>
      <c r="C3376" s="24" t="s">
        <v>24</v>
      </c>
      <c r="D3376" s="185"/>
      <c r="E3376" s="25">
        <f>_xlfn.XLOOKUP(C3376,'H-MO'!B$7:B$30,'H-MO'!D$7:D$30,,0,1)</f>
        <v>29238.749999999996</v>
      </c>
      <c r="F3376" s="28">
        <v>0.01</v>
      </c>
      <c r="G3376" s="33">
        <f t="shared" si="96"/>
        <v>292.38749999999999</v>
      </c>
    </row>
    <row r="3377" spans="1:8">
      <c r="A3377" s="211" t="s">
        <v>511</v>
      </c>
      <c r="B3377" s="216" t="str">
        <f ca="1">_xlfn.CONCAT(B3348,A3377)</f>
        <v>3326CB28-ab</v>
      </c>
      <c r="C3377" s="24" t="s">
        <v>25</v>
      </c>
      <c r="D3377" s="185"/>
      <c r="E3377" s="25">
        <f>_xlfn.XLOOKUP(C3377,'H-MO'!B$7:B$30,'H-MO'!D$7:D$30,,0,1)</f>
        <v>2761.4374999999995</v>
      </c>
      <c r="F3377" s="28">
        <v>0.1</v>
      </c>
      <c r="G3377" s="33">
        <f t="shared" si="96"/>
        <v>276.14374999999995</v>
      </c>
    </row>
    <row r="3378" spans="1:8">
      <c r="A3378" s="211" t="s">
        <v>512</v>
      </c>
      <c r="B3378" s="216" t="str">
        <f ca="1">_xlfn.CONCAT(B3348,A3378)</f>
        <v>3326CB28-ac</v>
      </c>
      <c r="C3378" s="24"/>
      <c r="D3378" s="185"/>
      <c r="E3378" s="29"/>
      <c r="F3378" s="28"/>
      <c r="G3378" s="33">
        <f t="shared" si="96"/>
        <v>0</v>
      </c>
    </row>
    <row r="3379" spans="1:8" ht="14.25" thickBot="1">
      <c r="A3379" s="211" t="s">
        <v>513</v>
      </c>
      <c r="B3379" s="216" t="str">
        <f ca="1">_xlfn.CONCAT(B3348,A3379)</f>
        <v>3326CB28-ad</v>
      </c>
      <c r="C3379" s="24"/>
      <c r="D3379" s="185"/>
      <c r="E3379" s="29"/>
      <c r="F3379" s="28"/>
      <c r="G3379" s="33">
        <f t="shared" si="96"/>
        <v>0</v>
      </c>
    </row>
    <row r="3380" spans="1:8" ht="16.5" customHeight="1" thickBot="1">
      <c r="A3380" s="211" t="s">
        <v>514</v>
      </c>
      <c r="B3380" s="216" t="str">
        <f ca="1">_xlfn.CONCAT(B3348,A3380)</f>
        <v>3326CB28-ae</v>
      </c>
      <c r="C3380" s="17"/>
      <c r="D3380" s="192"/>
      <c r="E3380" s="18"/>
      <c r="F3380" s="22" t="s">
        <v>26</v>
      </c>
      <c r="G3380" s="23">
        <f>SUM(G3374:G3379)</f>
        <v>1689.35</v>
      </c>
    </row>
    <row r="3381" spans="1:8" ht="28.5" customHeight="1" thickBot="1">
      <c r="A3381" s="211" t="s">
        <v>515</v>
      </c>
      <c r="B3381" s="216" t="str">
        <f ca="1">_xlfn.CONCAT(B3348,A3381)</f>
        <v>3326CB28-af</v>
      </c>
      <c r="C3381" s="10" t="s">
        <v>27</v>
      </c>
      <c r="D3381" s="190"/>
      <c r="E3381" s="11"/>
      <c r="F3381" s="12"/>
      <c r="G3381" s="13"/>
    </row>
    <row r="3382" spans="1:8" s="47" customFormat="1" ht="23.25" customHeight="1" thickBot="1">
      <c r="A3382" s="211" t="s">
        <v>516</v>
      </c>
      <c r="B3382" s="216" t="str">
        <f ca="1">_xlfn.CONCAT(B3348,A3382)</f>
        <v>3326CB28-ag</v>
      </c>
      <c r="C3382" s="14" t="s">
        <v>1</v>
      </c>
      <c r="D3382" s="15" t="s">
        <v>28</v>
      </c>
      <c r="E3382" s="15" t="s">
        <v>20</v>
      </c>
      <c r="F3382" s="16" t="s">
        <v>21</v>
      </c>
      <c r="G3382" s="15" t="s">
        <v>5</v>
      </c>
      <c r="H3382" s="215"/>
    </row>
    <row r="3383" spans="1:8">
      <c r="A3383" s="211" t="s">
        <v>517</v>
      </c>
      <c r="B3383" s="216" t="str">
        <f ca="1">_xlfn.CONCAT(B3348,A3383)</f>
        <v>3326CB28-ah</v>
      </c>
      <c r="C3383" s="30" t="s">
        <v>29</v>
      </c>
      <c r="D3383" s="186">
        <f>'H-MO'!$N$77</f>
        <v>725918.52892505517</v>
      </c>
      <c r="E3383" s="31">
        <f>+D3383/8</f>
        <v>90739.816115631897</v>
      </c>
      <c r="F3383" s="32">
        <v>0.35</v>
      </c>
      <c r="G3383" s="33">
        <f>+E3383*F3383</f>
        <v>31758.935640471162</v>
      </c>
    </row>
    <row r="3384" spans="1:8">
      <c r="A3384" s="211" t="s">
        <v>518</v>
      </c>
      <c r="B3384" s="216" t="str">
        <f ca="1">_xlfn.CONCAT(B3348,A3384)</f>
        <v>3326CB28-ai</v>
      </c>
      <c r="C3384" s="34" t="s">
        <v>30</v>
      </c>
      <c r="D3384" s="187">
        <f>'H-MO'!$N$86</f>
        <v>685561.39085756091</v>
      </c>
      <c r="E3384" s="29">
        <f>+D3384/8</f>
        <v>85695.173857195114</v>
      </c>
      <c r="F3384" s="28">
        <v>0</v>
      </c>
      <c r="G3384" s="33">
        <f>+E3384*F3384</f>
        <v>0</v>
      </c>
    </row>
    <row r="3385" spans="1:8" ht="14.25" thickBot="1">
      <c r="A3385" s="211" t="s">
        <v>519</v>
      </c>
      <c r="B3385" s="216" t="str">
        <f ca="1">_xlfn.CONCAT(B3348,A3385)</f>
        <v>3326CB28-aj</v>
      </c>
      <c r="C3385" s="34"/>
      <c r="D3385" s="187"/>
      <c r="E3385" s="29"/>
      <c r="F3385" s="28"/>
      <c r="G3385" s="33">
        <f>+E3385*F3385</f>
        <v>0</v>
      </c>
    </row>
    <row r="3386" spans="1:8" ht="17.25" customHeight="1" thickBot="1">
      <c r="A3386" s="211" t="s">
        <v>520</v>
      </c>
      <c r="B3386" s="216" t="str">
        <f ca="1">_xlfn.CONCAT(B3348,A3386)</f>
        <v>3326CB28-ak</v>
      </c>
      <c r="C3386" s="34"/>
      <c r="D3386" s="185"/>
      <c r="E3386" s="26"/>
      <c r="F3386" s="36" t="s">
        <v>31</v>
      </c>
      <c r="G3386" s="23">
        <f>SUM(G3383:G3385)</f>
        <v>31758.935640471162</v>
      </c>
    </row>
    <row r="3387" spans="1:8" ht="14.25" thickBot="1">
      <c r="A3387" s="211" t="s">
        <v>521</v>
      </c>
      <c r="B3387" s="216" t="str">
        <f ca="1">_xlfn.CONCAT(B3348,A3387)</f>
        <v>3326CB28-al</v>
      </c>
      <c r="C3387" s="37"/>
      <c r="E3387" s="38"/>
      <c r="F3387" s="22"/>
      <c r="G3387" s="39"/>
    </row>
    <row r="3388" spans="1:8" ht="23.25" customHeight="1" thickBot="1">
      <c r="A3388" s="211" t="s">
        <v>522</v>
      </c>
      <c r="B3388" s="216" t="str">
        <f ca="1">_xlfn.CONCAT(B3348,A3388)</f>
        <v>3326CB28-am</v>
      </c>
      <c r="C3388" s="40"/>
      <c r="D3388" s="193"/>
      <c r="E3388" s="41"/>
      <c r="F3388" s="42"/>
      <c r="G3388" s="43">
        <f>+G3371+G3380+G3386</f>
        <v>93281.618973804492</v>
      </c>
    </row>
    <row r="3389" spans="1:8" ht="21.75" thickBot="1">
      <c r="B3389" s="212" t="s">
        <v>550</v>
      </c>
      <c r="C3389" s="2"/>
      <c r="D3389" s="183"/>
      <c r="F3389" s="4"/>
      <c r="G3389" s="5"/>
    </row>
    <row r="3390" spans="1:8" s="45" customFormat="1" ht="34.5" customHeight="1">
      <c r="A3390" s="213"/>
      <c r="B3390" s="214">
        <v>78</v>
      </c>
      <c r="C3390" s="242" t="str">
        <f ca="1">_xlfn.XLOOKUP(B3390,Cantidades!$A$10:$A$314,Cantidades!$C$10:$C$314,,0,1)</f>
        <v>Suministro e instalación de toma coaxial para TV. Incluye tomacoaxial y demas accesorios para su correcta instalación, funcionamiento y señalización.</v>
      </c>
      <c r="D3390" s="243"/>
      <c r="E3390" s="243"/>
      <c r="F3390" s="243"/>
      <c r="G3390" s="244"/>
      <c r="H3390" s="213"/>
    </row>
    <row r="3391" spans="1:8" s="47" customFormat="1" ht="24.95" customHeight="1" thickBot="1">
      <c r="A3391" s="215"/>
      <c r="B3391" s="216" t="s">
        <v>550</v>
      </c>
      <c r="C3391" s="177"/>
      <c r="D3391" s="189"/>
      <c r="E3391" s="178"/>
      <c r="F3391" s="179" t="s">
        <v>636</v>
      </c>
      <c r="G3391" s="209" t="str">
        <f ca="1">B3392</f>
        <v>3A2ACF82-</v>
      </c>
      <c r="H3391" s="215"/>
    </row>
    <row r="3392" spans="1:8" ht="28.5" customHeight="1" thickBot="1">
      <c r="B3392" s="212" t="str">
        <f ca="1">_xlfn.XLOOKUP(C3390,Cantidades!$C$1:$C$314,Cantidades!$B$1:$B$314,"",0,1)</f>
        <v>3A2ACF82-</v>
      </c>
      <c r="C3392" s="10" t="s">
        <v>0</v>
      </c>
      <c r="D3392" s="190"/>
      <c r="E3392" s="11"/>
      <c r="F3392" s="12"/>
      <c r="G3392" s="13"/>
    </row>
    <row r="3393" spans="1:8" s="47" customFormat="1" ht="23.25" customHeight="1" thickBot="1">
      <c r="A3393" s="215"/>
      <c r="B3393" s="216" t="s">
        <v>550</v>
      </c>
      <c r="C3393" s="14" t="s">
        <v>1</v>
      </c>
      <c r="D3393" s="15" t="s">
        <v>2</v>
      </c>
      <c r="E3393" s="15" t="s">
        <v>3</v>
      </c>
      <c r="F3393" s="16" t="s">
        <v>4</v>
      </c>
      <c r="G3393" s="15" t="s">
        <v>5</v>
      </c>
      <c r="H3393" s="215"/>
    </row>
    <row r="3394" spans="1:8" ht="15">
      <c r="A3394" s="211" t="s">
        <v>484</v>
      </c>
      <c r="B3394" s="216" t="str">
        <f ca="1">_xlfn.CONCAT(B3392,A3394)</f>
        <v>3A2ACF82-A</v>
      </c>
      <c r="C3394" s="17" t="str">
        <f>_xlfn.XLOOKUP(H3394,'Materiales unitario'!$A$1:$A$2500,'Materiales unitario'!B$1:B$2500,,0,1)</f>
        <v>Toma coaxial Genesis</v>
      </c>
      <c r="D3394" s="184" t="str">
        <f>_xlfn.XLOOKUP(H3394,'Materiales unitario'!A$1:A$2500,'Materiales unitario'!C$1:C$2500,,0,1)</f>
        <v>un</v>
      </c>
      <c r="E3394" s="197">
        <f>_xlfn.XLOOKUP(H3394,'Materiales unitario'!$A$1:$A$2500,'Materiales unitario'!D$1:D$2500,,0,1)</f>
        <v>10860</v>
      </c>
      <c r="F3394" s="19">
        <v>1</v>
      </c>
      <c r="G3394" s="20">
        <f>+E3394*F3394</f>
        <v>10860</v>
      </c>
      <c r="H3394" s="217" t="s">
        <v>803</v>
      </c>
    </row>
    <row r="3395" spans="1:8" ht="15">
      <c r="A3395" s="211" t="s">
        <v>485</v>
      </c>
      <c r="B3395" s="216" t="str">
        <f ca="1">_xlfn.CONCAT(B3392,A3395)</f>
        <v>3A2ACF82-B</v>
      </c>
      <c r="C3395" s="17" t="str">
        <f>_xlfn.XLOOKUP(H3395,'Materiales unitario'!$A$1:$A$2500,'Materiales unitario'!B$1:B$2500,,0,1)</f>
        <v>Marquillas para circuito</v>
      </c>
      <c r="D3395" s="184" t="str">
        <f>_xlfn.XLOOKUP(H3395,'Materiales unitario'!A$1:A$2500,'Materiales unitario'!C$1:C$2500,,0,1)</f>
        <v>un</v>
      </c>
      <c r="E3395" s="197">
        <f>_xlfn.XLOOKUP(H3395,'Materiales unitario'!$A$1:$A$2500,'Materiales unitario'!D$1:D$2500,,0,1)</f>
        <v>1000</v>
      </c>
      <c r="F3395" s="19">
        <v>1</v>
      </c>
      <c r="G3395" s="20">
        <f>+E3395*F3395</f>
        <v>1000</v>
      </c>
      <c r="H3395" s="217" t="s">
        <v>339</v>
      </c>
    </row>
    <row r="3396" spans="1:8" ht="15">
      <c r="A3396" s="211" t="s">
        <v>486</v>
      </c>
      <c r="B3396" s="216" t="str">
        <f ca="1">_xlfn.CONCAT(B3392,A3396)</f>
        <v>3A2ACF82-C</v>
      </c>
      <c r="C3396" s="17"/>
      <c r="D3396" s="184"/>
      <c r="E3396" s="197"/>
      <c r="F3396" s="19"/>
      <c r="G3396" s="20"/>
      <c r="H3396" s="217"/>
    </row>
    <row r="3397" spans="1:8" ht="15">
      <c r="A3397" s="211" t="s">
        <v>487</v>
      </c>
      <c r="B3397" s="216" t="str">
        <f ca="1">_xlfn.CONCAT(B3392,A3397)</f>
        <v>3A2ACF82-D</v>
      </c>
      <c r="C3397" s="17"/>
      <c r="D3397" s="184"/>
      <c r="E3397" s="197"/>
      <c r="F3397" s="19"/>
      <c r="G3397" s="20"/>
      <c r="H3397" s="217"/>
    </row>
    <row r="3398" spans="1:8" ht="15">
      <c r="A3398" s="211" t="s">
        <v>488</v>
      </c>
      <c r="B3398" s="216" t="str">
        <f ca="1">_xlfn.CONCAT(B3392,A3398)</f>
        <v>3A2ACF82-E</v>
      </c>
      <c r="C3398" s="17"/>
      <c r="D3398" s="184"/>
      <c r="E3398" s="197"/>
      <c r="F3398" s="19"/>
      <c r="G3398" s="20"/>
      <c r="H3398" s="217"/>
    </row>
    <row r="3399" spans="1:8" ht="15">
      <c r="A3399" s="211" t="s">
        <v>489</v>
      </c>
      <c r="B3399" s="216" t="str">
        <f ca="1">_xlfn.CONCAT(B3392,A3399)</f>
        <v>3A2ACF82-F</v>
      </c>
      <c r="C3399" s="17"/>
      <c r="D3399" s="184"/>
      <c r="E3399" s="197"/>
      <c r="F3399" s="19"/>
      <c r="G3399" s="20"/>
      <c r="H3399" s="217"/>
    </row>
    <row r="3400" spans="1:8" ht="15">
      <c r="A3400" s="211" t="s">
        <v>490</v>
      </c>
      <c r="B3400" s="216" t="str">
        <f ca="1">_xlfn.CONCAT(B3392,A3400)</f>
        <v>3A2ACF82-G</v>
      </c>
      <c r="C3400" s="17"/>
      <c r="D3400" s="184"/>
      <c r="E3400" s="197"/>
      <c r="F3400" s="19"/>
      <c r="G3400" s="20"/>
      <c r="H3400" s="217"/>
    </row>
    <row r="3401" spans="1:8" ht="15">
      <c r="A3401" s="211" t="s">
        <v>491</v>
      </c>
      <c r="B3401" s="216" t="str">
        <f ca="1">_xlfn.CONCAT(B3392,A3401)</f>
        <v>3A2ACF82-H</v>
      </c>
      <c r="C3401" s="17"/>
      <c r="D3401" s="184"/>
      <c r="E3401" s="197"/>
      <c r="F3401" s="19"/>
      <c r="G3401" s="20"/>
      <c r="H3401" s="217"/>
    </row>
    <row r="3402" spans="1:8" ht="15">
      <c r="A3402" s="211" t="s">
        <v>492</v>
      </c>
      <c r="B3402" s="216" t="str">
        <f ca="1">_xlfn.CONCAT(B3392,A3402)</f>
        <v>3A2ACF82-I</v>
      </c>
      <c r="C3402" s="17"/>
      <c r="D3402" s="184"/>
      <c r="E3402" s="197"/>
      <c r="F3402" s="19"/>
      <c r="G3402" s="20"/>
      <c r="H3402" s="217"/>
    </row>
    <row r="3403" spans="1:8" ht="15">
      <c r="A3403" s="211" t="s">
        <v>493</v>
      </c>
      <c r="B3403" s="216" t="str">
        <f ca="1">_xlfn.CONCAT(B3392,A3403)</f>
        <v>3A2ACF82-J</v>
      </c>
      <c r="C3403" s="17"/>
      <c r="D3403" s="184"/>
      <c r="E3403" s="197"/>
      <c r="F3403" s="19"/>
      <c r="G3403" s="20"/>
      <c r="H3403" s="217"/>
    </row>
    <row r="3404" spans="1:8" ht="15">
      <c r="A3404" s="211" t="s">
        <v>494</v>
      </c>
      <c r="B3404" s="216" t="str">
        <f ca="1">_xlfn.CONCAT(B3392,A3404)</f>
        <v>3A2ACF82-K</v>
      </c>
      <c r="C3404" s="17"/>
      <c r="D3404" s="184"/>
      <c r="E3404" s="197"/>
      <c r="F3404" s="19"/>
      <c r="G3404" s="20"/>
      <c r="H3404" s="217"/>
    </row>
    <row r="3405" spans="1:8" ht="15">
      <c r="A3405" s="211" t="s">
        <v>495</v>
      </c>
      <c r="B3405" s="216" t="str">
        <f ca="1">_xlfn.CONCAT(B3392,A3405)</f>
        <v>3A2ACF82-L</v>
      </c>
      <c r="C3405" s="17"/>
      <c r="D3405" s="184"/>
      <c r="E3405" s="197"/>
      <c r="F3405" s="19"/>
      <c r="G3405" s="20"/>
      <c r="H3405" s="217"/>
    </row>
    <row r="3406" spans="1:8" ht="15">
      <c r="A3406" s="211" t="s">
        <v>496</v>
      </c>
      <c r="B3406" s="216" t="str">
        <f ca="1">_xlfn.CONCAT(B3392,A3406)</f>
        <v>3A2ACF82-M</v>
      </c>
      <c r="C3406" s="17"/>
      <c r="D3406" s="184"/>
      <c r="E3406" s="197"/>
      <c r="F3406" s="19"/>
      <c r="G3406" s="20"/>
      <c r="H3406" s="217"/>
    </row>
    <row r="3407" spans="1:8">
      <c r="A3407" s="211" t="s">
        <v>497</v>
      </c>
      <c r="B3407" s="216" t="str">
        <f ca="1">_xlfn.CONCAT(B3392,A3407)</f>
        <v>3A2ACF82-N</v>
      </c>
      <c r="C3407" s="17"/>
      <c r="D3407" s="184"/>
      <c r="E3407" s="197"/>
      <c r="F3407" s="19"/>
      <c r="G3407" s="20"/>
    </row>
    <row r="3408" spans="1:8">
      <c r="A3408" s="211" t="s">
        <v>498</v>
      </c>
      <c r="B3408" s="216" t="str">
        <f ca="1">_xlfn.CONCAT(B3392,A3408)</f>
        <v>3A2ACF82-O</v>
      </c>
      <c r="C3408" s="17"/>
      <c r="D3408" s="184"/>
      <c r="E3408" s="197"/>
      <c r="F3408" s="19"/>
      <c r="G3408" s="20"/>
    </row>
    <row r="3409" spans="1:8">
      <c r="A3409" s="211" t="s">
        <v>499</v>
      </c>
      <c r="B3409" s="216" t="str">
        <f ca="1">_xlfn.CONCAT(B3392,A3409)</f>
        <v>3A2ACF82-P</v>
      </c>
      <c r="C3409" s="17"/>
      <c r="D3409" s="184"/>
      <c r="E3409" s="197"/>
      <c r="F3409" s="19"/>
      <c r="G3409" s="20"/>
    </row>
    <row r="3410" spans="1:8">
      <c r="A3410" s="211" t="s">
        <v>500</v>
      </c>
      <c r="B3410" s="216" t="str">
        <f ca="1">_xlfn.CONCAT(B3392,A3410)</f>
        <v>3A2ACF82-Q</v>
      </c>
      <c r="C3410" s="17"/>
      <c r="D3410" s="184"/>
      <c r="E3410" s="197"/>
      <c r="F3410" s="19"/>
      <c r="G3410" s="20"/>
    </row>
    <row r="3411" spans="1:8">
      <c r="A3411" s="211" t="s">
        <v>501</v>
      </c>
      <c r="B3411" s="216" t="str">
        <f ca="1">_xlfn.CONCAT(B3392,A3411)</f>
        <v>3A2ACF82-R</v>
      </c>
      <c r="C3411" s="17"/>
      <c r="D3411" s="184"/>
      <c r="E3411" s="197"/>
      <c r="F3411" s="19"/>
      <c r="G3411" s="20"/>
    </row>
    <row r="3412" spans="1:8">
      <c r="A3412" s="211" t="s">
        <v>502</v>
      </c>
      <c r="B3412" s="216" t="str">
        <f ca="1">_xlfn.CONCAT(B3392,A3412)</f>
        <v>3A2ACF82-S</v>
      </c>
      <c r="C3412" s="17"/>
      <c r="D3412" s="184"/>
      <c r="E3412" s="197"/>
      <c r="F3412" s="19"/>
      <c r="G3412" s="20"/>
    </row>
    <row r="3413" spans="1:8">
      <c r="A3413" s="211" t="s">
        <v>503</v>
      </c>
      <c r="B3413" s="216" t="str">
        <f ca="1">_xlfn.CONCAT(B3392,A3413)</f>
        <v>3A2ACF82-T</v>
      </c>
      <c r="C3413" s="17"/>
      <c r="D3413" s="184"/>
      <c r="E3413" s="197"/>
      <c r="F3413" s="19"/>
      <c r="G3413" s="20"/>
    </row>
    <row r="3414" spans="1:8" ht="14.25" thickBot="1">
      <c r="A3414" s="211" t="s">
        <v>504</v>
      </c>
      <c r="B3414" s="216" t="str">
        <f ca="1">_xlfn.CONCAT(B3392,A3414)</f>
        <v>3A2ACF82-U</v>
      </c>
      <c r="C3414" s="17"/>
      <c r="D3414" s="184"/>
      <c r="E3414" s="197"/>
      <c r="F3414" s="19"/>
      <c r="G3414" s="20"/>
    </row>
    <row r="3415" spans="1:8" ht="16.5" customHeight="1" thickBot="1">
      <c r="A3415" s="211" t="s">
        <v>505</v>
      </c>
      <c r="B3415" s="216" t="str">
        <f ca="1">_xlfn.CONCAT(B3392,A3415)</f>
        <v>3A2ACF82-V</v>
      </c>
      <c r="C3415" s="17" t="s">
        <v>17</v>
      </c>
      <c r="D3415" s="192" t="s">
        <v>17</v>
      </c>
      <c r="E3415" s="18"/>
      <c r="F3415" s="22" t="s">
        <v>18</v>
      </c>
      <c r="G3415" s="23">
        <f>SUM(G3394:G3414)</f>
        <v>11860</v>
      </c>
    </row>
    <row r="3416" spans="1:8" ht="28.5" customHeight="1" thickBot="1">
      <c r="A3416" s="211" t="s">
        <v>506</v>
      </c>
      <c r="B3416" s="216" t="str">
        <f ca="1">_xlfn.CONCAT(B3392,A3416)</f>
        <v>3A2ACF82-W</v>
      </c>
      <c r="C3416" s="10" t="s">
        <v>19</v>
      </c>
      <c r="D3416" s="190"/>
      <c r="E3416" s="11"/>
      <c r="F3416" s="12"/>
      <c r="G3416" s="13"/>
    </row>
    <row r="3417" spans="1:8" s="47" customFormat="1" ht="23.25" customHeight="1" thickBot="1">
      <c r="A3417" s="211" t="s">
        <v>507</v>
      </c>
      <c r="B3417" s="216" t="str">
        <f ca="1">_xlfn.CONCAT(B3392,A3417)</f>
        <v>3A2ACF82-X</v>
      </c>
      <c r="C3417" s="14" t="s">
        <v>1</v>
      </c>
      <c r="D3417" s="15"/>
      <c r="E3417" s="15" t="s">
        <v>20</v>
      </c>
      <c r="F3417" s="16" t="s">
        <v>21</v>
      </c>
      <c r="G3417" s="15" t="s">
        <v>5</v>
      </c>
      <c r="H3417" s="215"/>
    </row>
    <row r="3418" spans="1:8">
      <c r="A3418" s="211" t="s">
        <v>508</v>
      </c>
      <c r="B3418" s="216" t="str">
        <f ca="1">_xlfn.CONCAT(B3392,A3418)</f>
        <v>3A2ACF82-Y</v>
      </c>
      <c r="C3418" s="24" t="s">
        <v>22</v>
      </c>
      <c r="D3418" s="184"/>
      <c r="E3418" s="25">
        <f>_xlfn.XLOOKUP(C3418,'H-MO'!B$7:B$30,'H-MO'!D$7:D$30,,0,1)</f>
        <v>2436.5624999999995</v>
      </c>
      <c r="F3418" s="19">
        <v>0.04</v>
      </c>
      <c r="G3418" s="33">
        <f t="shared" ref="G3418:G3423" si="97">+E3418*F3418</f>
        <v>97.462499999999977</v>
      </c>
    </row>
    <row r="3419" spans="1:8">
      <c r="A3419" s="211" t="s">
        <v>509</v>
      </c>
      <c r="B3419" s="216" t="str">
        <f ca="1">_xlfn.CONCAT(B3392,A3419)</f>
        <v>3A2ACF82-Z</v>
      </c>
      <c r="C3419" s="24" t="s">
        <v>23</v>
      </c>
      <c r="D3419" s="184"/>
      <c r="E3419" s="25">
        <f>_xlfn.XLOOKUP(C3419,'H-MO'!B$7:B$30,'H-MO'!D$7:D$30,,0,1)</f>
        <v>1461.9374999999998</v>
      </c>
      <c r="F3419" s="19">
        <v>0.03</v>
      </c>
      <c r="G3419" s="33">
        <f t="shared" si="97"/>
        <v>43.858124999999994</v>
      </c>
    </row>
    <row r="3420" spans="1:8">
      <c r="A3420" s="211" t="s">
        <v>510</v>
      </c>
      <c r="B3420" s="216" t="str">
        <f ca="1">_xlfn.CONCAT(B3392,A3420)</f>
        <v>3A2ACF82-aa</v>
      </c>
      <c r="C3420" s="24" t="s">
        <v>24</v>
      </c>
      <c r="D3420" s="185"/>
      <c r="E3420" s="25">
        <f>_xlfn.XLOOKUP(C3420,'H-MO'!B$7:B$30,'H-MO'!D$7:D$30,,0,1)</f>
        <v>29238.749999999996</v>
      </c>
      <c r="F3420" s="28">
        <v>7.0000000000000001E-3</v>
      </c>
      <c r="G3420" s="33">
        <f t="shared" si="97"/>
        <v>204.67124999999999</v>
      </c>
    </row>
    <row r="3421" spans="1:8">
      <c r="A3421" s="211" t="s">
        <v>511</v>
      </c>
      <c r="B3421" s="216" t="str">
        <f ca="1">_xlfn.CONCAT(B3392,A3421)</f>
        <v>3A2ACF82-ab</v>
      </c>
      <c r="C3421" s="24" t="s">
        <v>25</v>
      </c>
      <c r="D3421" s="185"/>
      <c r="E3421" s="25">
        <f>_xlfn.XLOOKUP(C3421,'H-MO'!B$7:B$30,'H-MO'!D$7:D$30,,0,1)</f>
        <v>2761.4374999999995</v>
      </c>
      <c r="F3421" s="28">
        <v>0.05</v>
      </c>
      <c r="G3421" s="33">
        <f t="shared" si="97"/>
        <v>138.07187499999998</v>
      </c>
    </row>
    <row r="3422" spans="1:8">
      <c r="A3422" s="211" t="s">
        <v>512</v>
      </c>
      <c r="B3422" s="216" t="str">
        <f ca="1">_xlfn.CONCAT(B3392,A3422)</f>
        <v>3A2ACF82-ac</v>
      </c>
      <c r="C3422" s="24"/>
      <c r="D3422" s="185"/>
      <c r="E3422" s="29"/>
      <c r="F3422" s="28"/>
      <c r="G3422" s="33">
        <f t="shared" si="97"/>
        <v>0</v>
      </c>
    </row>
    <row r="3423" spans="1:8" ht="14.25" thickBot="1">
      <c r="A3423" s="211" t="s">
        <v>513</v>
      </c>
      <c r="B3423" s="216" t="str">
        <f ca="1">_xlfn.CONCAT(B3392,A3423)</f>
        <v>3A2ACF82-ad</v>
      </c>
      <c r="C3423" s="24"/>
      <c r="D3423" s="185"/>
      <c r="E3423" s="29"/>
      <c r="F3423" s="28"/>
      <c r="G3423" s="33">
        <f t="shared" si="97"/>
        <v>0</v>
      </c>
    </row>
    <row r="3424" spans="1:8" ht="16.5" customHeight="1" thickBot="1">
      <c r="A3424" s="211" t="s">
        <v>514</v>
      </c>
      <c r="B3424" s="216" t="str">
        <f ca="1">_xlfn.CONCAT(B3392,A3424)</f>
        <v>3A2ACF82-ae</v>
      </c>
      <c r="C3424" s="17"/>
      <c r="D3424" s="192"/>
      <c r="E3424" s="18"/>
      <c r="F3424" s="22" t="s">
        <v>26</v>
      </c>
      <c r="G3424" s="23">
        <f>SUM(G3418:G3423)</f>
        <v>484.06374999999991</v>
      </c>
    </row>
    <row r="3425" spans="1:23" ht="28.5" customHeight="1" thickBot="1">
      <c r="A3425" s="211" t="s">
        <v>515</v>
      </c>
      <c r="B3425" s="216" t="str">
        <f ca="1">_xlfn.CONCAT(B3392,A3425)</f>
        <v>3A2ACF82-af</v>
      </c>
      <c r="C3425" s="10" t="s">
        <v>27</v>
      </c>
      <c r="D3425" s="190"/>
      <c r="E3425" s="11"/>
      <c r="F3425" s="12"/>
      <c r="G3425" s="13"/>
    </row>
    <row r="3426" spans="1:23" s="47" customFormat="1" ht="23.25" customHeight="1" thickBot="1">
      <c r="A3426" s="211" t="s">
        <v>516</v>
      </c>
      <c r="B3426" s="216" t="str">
        <f ca="1">_xlfn.CONCAT(B3392,A3426)</f>
        <v>3A2ACF82-ag</v>
      </c>
      <c r="C3426" s="14" t="s">
        <v>1</v>
      </c>
      <c r="D3426" s="15" t="s">
        <v>28</v>
      </c>
      <c r="E3426" s="15" t="s">
        <v>20</v>
      </c>
      <c r="F3426" s="16" t="s">
        <v>21</v>
      </c>
      <c r="G3426" s="15" t="s">
        <v>5</v>
      </c>
      <c r="H3426" s="215"/>
    </row>
    <row r="3427" spans="1:23">
      <c r="A3427" s="211" t="s">
        <v>517</v>
      </c>
      <c r="B3427" s="216" t="str">
        <f ca="1">_xlfn.CONCAT(B3392,A3427)</f>
        <v>3A2ACF82-ah</v>
      </c>
      <c r="C3427" s="30" t="s">
        <v>29</v>
      </c>
      <c r="D3427" s="186">
        <f>'H-MO'!$N$77</f>
        <v>725918.52892505517</v>
      </c>
      <c r="E3427" s="31">
        <f>+D3427/8</f>
        <v>90739.816115631897</v>
      </c>
      <c r="F3427" s="32">
        <v>0.06</v>
      </c>
      <c r="G3427" s="33">
        <f>+E3427*F3427</f>
        <v>5444.3889669379132</v>
      </c>
    </row>
    <row r="3428" spans="1:23">
      <c r="A3428" s="211" t="s">
        <v>518</v>
      </c>
      <c r="B3428" s="216" t="str">
        <f ca="1">_xlfn.CONCAT(B3392,A3428)</f>
        <v>3A2ACF82-ai</v>
      </c>
      <c r="C3428" s="34" t="s">
        <v>30</v>
      </c>
      <c r="D3428" s="187">
        <f>'H-MO'!$N$86</f>
        <v>685561.39085756091</v>
      </c>
      <c r="E3428" s="29">
        <f>+D3428/8</f>
        <v>85695.173857195114</v>
      </c>
      <c r="F3428" s="28">
        <v>0</v>
      </c>
      <c r="G3428" s="33">
        <f>+E3428*F3428</f>
        <v>0</v>
      </c>
    </row>
    <row r="3429" spans="1:23" ht="14.25" thickBot="1">
      <c r="A3429" s="211" t="s">
        <v>519</v>
      </c>
      <c r="B3429" s="216" t="str">
        <f ca="1">_xlfn.CONCAT(B3392,A3429)</f>
        <v>3A2ACF82-aj</v>
      </c>
      <c r="C3429" s="34"/>
      <c r="D3429" s="187"/>
      <c r="E3429" s="29"/>
      <c r="F3429" s="28"/>
      <c r="G3429" s="33">
        <f>+E3429*F3429</f>
        <v>0</v>
      </c>
    </row>
    <row r="3430" spans="1:23" ht="17.25" customHeight="1" thickBot="1">
      <c r="A3430" s="211" t="s">
        <v>520</v>
      </c>
      <c r="B3430" s="216" t="str">
        <f ca="1">_xlfn.CONCAT(B3392,A3430)</f>
        <v>3A2ACF82-ak</v>
      </c>
      <c r="C3430" s="34"/>
      <c r="D3430" s="185"/>
      <c r="E3430" s="26"/>
      <c r="F3430" s="36" t="s">
        <v>31</v>
      </c>
      <c r="G3430" s="23">
        <f>SUM(G3427:G3429)</f>
        <v>5444.3889669379132</v>
      </c>
    </row>
    <row r="3431" spans="1:23" ht="14.25" thickBot="1">
      <c r="A3431" s="211" t="s">
        <v>521</v>
      </c>
      <c r="B3431" s="216" t="str">
        <f ca="1">_xlfn.CONCAT(B3392,A3431)</f>
        <v>3A2ACF82-al</v>
      </c>
      <c r="C3431" s="37"/>
      <c r="E3431" s="38"/>
      <c r="F3431" s="22"/>
      <c r="G3431" s="39"/>
    </row>
    <row r="3432" spans="1:23" ht="23.25" customHeight="1" thickBot="1">
      <c r="A3432" s="211" t="s">
        <v>522</v>
      </c>
      <c r="B3432" s="216" t="str">
        <f ca="1">_xlfn.CONCAT(B3392,A3432)</f>
        <v>3A2ACF82-am</v>
      </c>
      <c r="C3432" s="40"/>
      <c r="D3432" s="193"/>
      <c r="E3432" s="41"/>
      <c r="F3432" s="42"/>
      <c r="G3432" s="43">
        <f>+G3415+G3424+G3430</f>
        <v>17788.452716937914</v>
      </c>
    </row>
    <row r="3433" spans="1:23" ht="21.75" thickBot="1">
      <c r="B3433" s="212" t="s">
        <v>550</v>
      </c>
      <c r="C3433" s="2"/>
      <c r="D3433" s="183"/>
      <c r="F3433" s="4"/>
      <c r="G3433" s="5"/>
    </row>
    <row r="3434" spans="1:23" s="45" customFormat="1" ht="34.5" customHeight="1">
      <c r="A3434" s="213"/>
      <c r="B3434" s="214">
        <v>79</v>
      </c>
      <c r="C3434" s="242" t="str">
        <f ca="1">_xlfn.XLOOKUP(B3434,Cantidades!$A$10:$A$314,Cantidades!$C$10:$C$314,,0,1)</f>
        <v>Suministro e instalación de tubería EMT 1"</v>
      </c>
      <c r="D3434" s="243"/>
      <c r="E3434" s="243"/>
      <c r="F3434" s="243"/>
      <c r="G3434" s="244"/>
      <c r="H3434" s="213"/>
      <c r="I3434" s="211"/>
      <c r="J3434" s="211"/>
      <c r="K3434" s="211"/>
      <c r="L3434" s="211"/>
      <c r="M3434" s="211"/>
      <c r="N3434" s="211"/>
      <c r="O3434" s="211"/>
      <c r="P3434" s="211"/>
      <c r="Q3434" s="211"/>
      <c r="R3434" s="211"/>
      <c r="S3434" s="211"/>
      <c r="T3434" s="211"/>
      <c r="U3434" s="211"/>
      <c r="V3434" s="211"/>
      <c r="W3434" s="211"/>
    </row>
    <row r="3435" spans="1:23" s="47" customFormat="1" ht="24.95" customHeight="1" thickBot="1">
      <c r="A3435" s="215"/>
      <c r="B3435" s="216" t="s">
        <v>550</v>
      </c>
      <c r="C3435" s="177"/>
      <c r="D3435" s="189"/>
      <c r="E3435" s="178"/>
      <c r="F3435" s="179" t="s">
        <v>636</v>
      </c>
      <c r="G3435" s="209" t="str">
        <f ca="1">B3436</f>
        <v>15F46B82-</v>
      </c>
      <c r="H3435" s="215"/>
      <c r="I3435" s="211"/>
      <c r="J3435" s="211"/>
      <c r="K3435" s="211"/>
      <c r="L3435" s="211"/>
      <c r="M3435" s="211"/>
      <c r="N3435" s="211"/>
      <c r="O3435" s="211"/>
      <c r="P3435" s="211"/>
      <c r="Q3435" s="211"/>
      <c r="R3435" s="211"/>
      <c r="S3435" s="211"/>
      <c r="T3435" s="211"/>
      <c r="U3435" s="211"/>
      <c r="V3435" s="211"/>
      <c r="W3435" s="211"/>
    </row>
    <row r="3436" spans="1:23" ht="28.5" customHeight="1" thickBot="1">
      <c r="B3436" s="212" t="str">
        <f ca="1">_xlfn.XLOOKUP(C3434,Cantidades!$C$1:$C$314,Cantidades!$B$1:$B$314,"",0,1)</f>
        <v>15F46B82-</v>
      </c>
      <c r="C3436" s="10" t="s">
        <v>0</v>
      </c>
      <c r="D3436" s="190"/>
      <c r="E3436" s="11"/>
      <c r="F3436" s="12"/>
      <c r="G3436" s="13"/>
    </row>
    <row r="3437" spans="1:23" s="47" customFormat="1" ht="23.25" customHeight="1" thickBot="1">
      <c r="A3437" s="215"/>
      <c r="B3437" s="216" t="s">
        <v>550</v>
      </c>
      <c r="C3437" s="14" t="s">
        <v>1</v>
      </c>
      <c r="D3437" s="15" t="s">
        <v>2</v>
      </c>
      <c r="E3437" s="15" t="s">
        <v>3</v>
      </c>
      <c r="F3437" s="16" t="s">
        <v>4</v>
      </c>
      <c r="G3437" s="15" t="s">
        <v>5</v>
      </c>
      <c r="H3437" s="215"/>
      <c r="I3437" s="211"/>
      <c r="J3437" s="211"/>
      <c r="K3437" s="211"/>
      <c r="L3437" s="211"/>
      <c r="M3437" s="211"/>
      <c r="N3437" s="211"/>
      <c r="O3437" s="211"/>
      <c r="P3437" s="211"/>
      <c r="Q3437" s="211"/>
      <c r="R3437" s="211"/>
      <c r="S3437" s="211"/>
      <c r="T3437" s="211"/>
      <c r="U3437" s="211"/>
      <c r="V3437" s="211"/>
      <c r="W3437" s="211"/>
    </row>
    <row r="3438" spans="1:23" ht="15">
      <c r="A3438" s="211" t="s">
        <v>484</v>
      </c>
      <c r="B3438" s="216" t="str">
        <f ca="1">_xlfn.CONCAT(B3436,A3438)</f>
        <v>15F46B82-A</v>
      </c>
      <c r="C3438" s="17" t="str">
        <f>_xlfn.XLOOKUP(H3438,'Materiales unitario'!$A$1:$A$2500,'Materiales unitario'!B$1:B$2500,,0,1)</f>
        <v>Tubo metálico ø1" EMT</v>
      </c>
      <c r="D3438" s="184" t="str">
        <f>_xlfn.XLOOKUP(H3438,'Materiales unitario'!A$1:A$2500,'Materiales unitario'!C$1:C$2500,,0,1)</f>
        <v>ml</v>
      </c>
      <c r="E3438" s="197">
        <f>_xlfn.XLOOKUP(H3438,'Materiales unitario'!$A$1:$A$2500,'Materiales unitario'!D$1:D$2500,,0,1)</f>
        <v>15300</v>
      </c>
      <c r="F3438" s="19">
        <v>1.05</v>
      </c>
      <c r="G3438" s="20">
        <f>+E3438*F3438</f>
        <v>16065</v>
      </c>
      <c r="H3438" s="217" t="s">
        <v>815</v>
      </c>
    </row>
    <row r="3439" spans="1:23" ht="15">
      <c r="A3439" s="211" t="s">
        <v>485</v>
      </c>
      <c r="B3439" s="216" t="str">
        <f ca="1">_xlfn.CONCAT(B3436,A3439)</f>
        <v>15F46B82-B</v>
      </c>
      <c r="C3439" s="17" t="str">
        <f>_xlfn.XLOOKUP(H3439,'Materiales unitario'!$A$1:$A$2500,'Materiales unitario'!B$1:B$2500,,0,1)</f>
        <v>Unión metálica ø1" EMT</v>
      </c>
      <c r="D3439" s="184" t="str">
        <f>_xlfn.XLOOKUP(H3439,'Materiales unitario'!A$1:A$2500,'Materiales unitario'!C$1:C$2500,,0,1)</f>
        <v>un</v>
      </c>
      <c r="E3439" s="197">
        <f>_xlfn.XLOOKUP(H3439,'Materiales unitario'!$A$1:$A$2500,'Materiales unitario'!D$1:D$2500,,0,1)</f>
        <v>3500</v>
      </c>
      <c r="F3439" s="19">
        <v>0.35</v>
      </c>
      <c r="G3439" s="20">
        <f>+E3439*F3439</f>
        <v>1225</v>
      </c>
      <c r="H3439" s="217" t="s">
        <v>819</v>
      </c>
    </row>
    <row r="3440" spans="1:23" ht="15">
      <c r="A3440" s="211" t="s">
        <v>486</v>
      </c>
      <c r="B3440" s="216" t="str">
        <f ca="1">_xlfn.CONCAT(B3436,A3440)</f>
        <v>15F46B82-C</v>
      </c>
      <c r="C3440" s="17" t="str">
        <f>_xlfn.XLOOKUP(H3440,'Materiales unitario'!$A$1:$A$2500,'Materiales unitario'!B$1:B$2500,,0,1)</f>
        <v xml:space="preserve">Terminal metálico ø1" EMT </v>
      </c>
      <c r="D3440" s="184" t="str">
        <f>_xlfn.XLOOKUP(H3440,'Materiales unitario'!A$1:A$2500,'Materiales unitario'!C$1:C$2500,,0,1)</f>
        <v>un</v>
      </c>
      <c r="E3440" s="197">
        <f>_xlfn.XLOOKUP(H3440,'Materiales unitario'!$A$1:$A$2500,'Materiales unitario'!D$1:D$2500,,0,1)</f>
        <v>2800</v>
      </c>
      <c r="F3440" s="19">
        <v>0.1</v>
      </c>
      <c r="G3440" s="20">
        <f>+E3440*F3440</f>
        <v>280</v>
      </c>
      <c r="H3440" s="217" t="s">
        <v>820</v>
      </c>
    </row>
    <row r="3441" spans="1:8" ht="15">
      <c r="A3441" s="211" t="s">
        <v>487</v>
      </c>
      <c r="B3441" s="216" t="str">
        <f ca="1">_xlfn.CONCAT(B3436,A3441)</f>
        <v>15F46B82-D</v>
      </c>
      <c r="C3441" s="17" t="str">
        <f>_xlfn.XLOOKUP(H3441,'Materiales unitario'!$A$1:$A$2500,'Materiales unitario'!B$1:B$2500,,0,1)</f>
        <v>Curva metálica ø1" EMT</v>
      </c>
      <c r="D3441" s="184" t="str">
        <f>_xlfn.XLOOKUP(H3441,'Materiales unitario'!A$1:A$2500,'Materiales unitario'!C$1:C$2500,,0,1)</f>
        <v>un</v>
      </c>
      <c r="E3441" s="197">
        <f>_xlfn.XLOOKUP(H3441,'Materiales unitario'!$A$1:$A$2500,'Materiales unitario'!D$1:D$2500,,0,1)</f>
        <v>3890</v>
      </c>
      <c r="F3441" s="19">
        <v>0.1</v>
      </c>
      <c r="G3441" s="20">
        <f>+E3441*F3441</f>
        <v>389</v>
      </c>
      <c r="H3441" s="217" t="s">
        <v>821</v>
      </c>
    </row>
    <row r="3442" spans="1:8" ht="15">
      <c r="A3442" s="211" t="s">
        <v>488</v>
      </c>
      <c r="B3442" s="216" t="str">
        <f ca="1">_xlfn.CONCAT(B3436,A3442)</f>
        <v>15F46B82-E</v>
      </c>
      <c r="C3442" s="17" t="str">
        <f>_xlfn.XLOOKUP(H3442,'Materiales unitario'!$A$1:$A$2500,'Materiales unitario'!B$1:B$2500,,0,1)</f>
        <v xml:space="preserve">Soporte Metálico Uniestruc Tubería ø1" </v>
      </c>
      <c r="D3442" s="184" t="str">
        <f>_xlfn.XLOOKUP(H3442,'Materiales unitario'!A$1:A$2500,'Materiales unitario'!C$1:C$2500,,0,1)</f>
        <v>un</v>
      </c>
      <c r="E3442" s="197">
        <f>_xlfn.XLOOKUP(H3442,'Materiales unitario'!$A$1:$A$2500,'Materiales unitario'!D$1:D$2500,,0,1)</f>
        <v>1300</v>
      </c>
      <c r="F3442" s="19">
        <v>0.75</v>
      </c>
      <c r="G3442" s="20">
        <f>+E3442*F3442</f>
        <v>975</v>
      </c>
      <c r="H3442" s="217" t="s">
        <v>579</v>
      </c>
    </row>
    <row r="3443" spans="1:8" ht="15">
      <c r="A3443" s="211" t="s">
        <v>489</v>
      </c>
      <c r="B3443" s="216" t="str">
        <f ca="1">_xlfn.CONCAT(B3436,A3443)</f>
        <v>15F46B82-F</v>
      </c>
      <c r="C3443" s="17"/>
      <c r="D3443" s="184"/>
      <c r="E3443" s="197"/>
      <c r="F3443" s="19"/>
      <c r="G3443" s="20"/>
      <c r="H3443" s="217"/>
    </row>
    <row r="3444" spans="1:8" ht="15">
      <c r="A3444" s="211" t="s">
        <v>490</v>
      </c>
      <c r="B3444" s="216" t="str">
        <f ca="1">_xlfn.CONCAT(B3436,A3444)</f>
        <v>15F46B82-G</v>
      </c>
      <c r="C3444" s="17"/>
      <c r="D3444" s="184"/>
      <c r="E3444" s="197"/>
      <c r="F3444" s="19"/>
      <c r="G3444" s="20"/>
      <c r="H3444" s="217"/>
    </row>
    <row r="3445" spans="1:8" ht="15">
      <c r="A3445" s="211" t="s">
        <v>491</v>
      </c>
      <c r="B3445" s="216" t="str">
        <f ca="1">_xlfn.CONCAT(B3436,A3445)</f>
        <v>15F46B82-H</v>
      </c>
      <c r="C3445" s="17"/>
      <c r="D3445" s="184"/>
      <c r="E3445" s="197"/>
      <c r="F3445" s="19"/>
      <c r="G3445" s="20"/>
      <c r="H3445" s="217"/>
    </row>
    <row r="3446" spans="1:8">
      <c r="A3446" s="211" t="s">
        <v>492</v>
      </c>
      <c r="B3446" s="216" t="str">
        <f ca="1">_xlfn.CONCAT(B3436,A3446)</f>
        <v>15F46B82-I</v>
      </c>
      <c r="C3446" s="17"/>
      <c r="D3446" s="184"/>
      <c r="E3446" s="197"/>
      <c r="F3446" s="19"/>
      <c r="G3446" s="20"/>
    </row>
    <row r="3447" spans="1:8">
      <c r="A3447" s="211" t="s">
        <v>493</v>
      </c>
      <c r="B3447" s="216" t="str">
        <f ca="1">_xlfn.CONCAT(B3436,A3447)</f>
        <v>15F46B82-J</v>
      </c>
      <c r="C3447" s="17"/>
      <c r="D3447" s="184"/>
      <c r="E3447" s="197"/>
      <c r="F3447" s="19"/>
      <c r="G3447" s="20"/>
    </row>
    <row r="3448" spans="1:8">
      <c r="A3448" s="211" t="s">
        <v>494</v>
      </c>
      <c r="B3448" s="216" t="str">
        <f ca="1">_xlfn.CONCAT(B3436,A3448)</f>
        <v>15F46B82-K</v>
      </c>
      <c r="C3448" s="17"/>
      <c r="D3448" s="184"/>
      <c r="E3448" s="197"/>
      <c r="F3448" s="19"/>
      <c r="G3448" s="20"/>
    </row>
    <row r="3449" spans="1:8">
      <c r="A3449" s="211" t="s">
        <v>495</v>
      </c>
      <c r="B3449" s="216" t="str">
        <f ca="1">_xlfn.CONCAT(B3436,A3449)</f>
        <v>15F46B82-L</v>
      </c>
      <c r="C3449" s="17"/>
      <c r="D3449" s="184"/>
      <c r="E3449" s="197"/>
      <c r="F3449" s="19"/>
      <c r="G3449" s="20"/>
    </row>
    <row r="3450" spans="1:8">
      <c r="A3450" s="211" t="s">
        <v>496</v>
      </c>
      <c r="B3450" s="216" t="str">
        <f ca="1">_xlfn.CONCAT(B3436,A3450)</f>
        <v>15F46B82-M</v>
      </c>
      <c r="C3450" s="17"/>
      <c r="D3450" s="184"/>
      <c r="E3450" s="197"/>
      <c r="F3450" s="19"/>
      <c r="G3450" s="20"/>
    </row>
    <row r="3451" spans="1:8">
      <c r="A3451" s="211" t="s">
        <v>497</v>
      </c>
      <c r="B3451" s="216" t="str">
        <f ca="1">_xlfn.CONCAT(B3436,A3451)</f>
        <v>15F46B82-N</v>
      </c>
      <c r="C3451" s="17"/>
      <c r="D3451" s="184"/>
      <c r="E3451" s="197"/>
      <c r="F3451" s="19"/>
      <c r="G3451" s="20"/>
    </row>
    <row r="3452" spans="1:8">
      <c r="A3452" s="211" t="s">
        <v>498</v>
      </c>
      <c r="B3452" s="216" t="str">
        <f ca="1">_xlfn.CONCAT(B3436,A3452)</f>
        <v>15F46B82-O</v>
      </c>
      <c r="C3452" s="17"/>
      <c r="D3452" s="184"/>
      <c r="E3452" s="197"/>
      <c r="F3452" s="19"/>
      <c r="G3452" s="20"/>
    </row>
    <row r="3453" spans="1:8">
      <c r="A3453" s="211" t="s">
        <v>499</v>
      </c>
      <c r="B3453" s="216" t="str">
        <f ca="1">_xlfn.CONCAT(B3436,A3453)</f>
        <v>15F46B82-P</v>
      </c>
      <c r="C3453" s="17"/>
      <c r="D3453" s="184"/>
      <c r="E3453" s="197"/>
      <c r="F3453" s="19"/>
      <c r="G3453" s="20"/>
    </row>
    <row r="3454" spans="1:8">
      <c r="A3454" s="211" t="s">
        <v>500</v>
      </c>
      <c r="B3454" s="216" t="str">
        <f ca="1">_xlfn.CONCAT(B3436,A3454)</f>
        <v>15F46B82-Q</v>
      </c>
      <c r="C3454" s="17"/>
      <c r="D3454" s="184"/>
      <c r="E3454" s="197"/>
      <c r="F3454" s="19"/>
      <c r="G3454" s="20"/>
    </row>
    <row r="3455" spans="1:8">
      <c r="A3455" s="211" t="s">
        <v>501</v>
      </c>
      <c r="B3455" s="216" t="str">
        <f ca="1">_xlfn.CONCAT(B3436,A3455)</f>
        <v>15F46B82-R</v>
      </c>
      <c r="C3455" s="17"/>
      <c r="D3455" s="184"/>
      <c r="E3455" s="197"/>
      <c r="F3455" s="19"/>
      <c r="G3455" s="20"/>
    </row>
    <row r="3456" spans="1:8">
      <c r="A3456" s="211" t="s">
        <v>502</v>
      </c>
      <c r="B3456" s="216" t="str">
        <f ca="1">_xlfn.CONCAT(B3436,A3456)</f>
        <v>15F46B82-S</v>
      </c>
      <c r="C3456" s="17"/>
      <c r="D3456" s="184"/>
      <c r="E3456" s="197"/>
      <c r="F3456" s="19"/>
      <c r="G3456" s="20"/>
    </row>
    <row r="3457" spans="1:11">
      <c r="A3457" s="211" t="s">
        <v>503</v>
      </c>
      <c r="B3457" s="216" t="str">
        <f ca="1">_xlfn.CONCAT(B3436,A3457)</f>
        <v>15F46B82-T</v>
      </c>
      <c r="C3457" s="17"/>
      <c r="D3457" s="184"/>
      <c r="E3457" s="197"/>
      <c r="F3457" s="19"/>
      <c r="G3457" s="20"/>
    </row>
    <row r="3458" spans="1:11" ht="14.25" thickBot="1">
      <c r="A3458" s="211" t="s">
        <v>504</v>
      </c>
      <c r="B3458" s="216" t="str">
        <f ca="1">_xlfn.CONCAT(B3436,A3458)</f>
        <v>15F46B82-U</v>
      </c>
      <c r="C3458" s="17"/>
      <c r="D3458" s="184"/>
      <c r="E3458" s="197"/>
      <c r="F3458" s="19"/>
      <c r="G3458" s="20"/>
    </row>
    <row r="3459" spans="1:11" ht="16.5" customHeight="1" thickBot="1">
      <c r="A3459" s="211" t="s">
        <v>505</v>
      </c>
      <c r="B3459" s="216" t="str">
        <f ca="1">_xlfn.CONCAT(B3436,A3459)</f>
        <v>15F46B82-V</v>
      </c>
      <c r="C3459" s="17" t="s">
        <v>17</v>
      </c>
      <c r="D3459" s="192" t="s">
        <v>17</v>
      </c>
      <c r="E3459" s="18"/>
      <c r="F3459" s="22" t="s">
        <v>18</v>
      </c>
      <c r="G3459" s="23">
        <f>SUM(G3438:G3458)</f>
        <v>18934</v>
      </c>
    </row>
    <row r="3460" spans="1:11" ht="28.5" customHeight="1" thickBot="1">
      <c r="A3460" s="211" t="s">
        <v>506</v>
      </c>
      <c r="B3460" s="216" t="str">
        <f ca="1">_xlfn.CONCAT(B3436,A3460)</f>
        <v>15F46B82-W</v>
      </c>
      <c r="C3460" s="10" t="s">
        <v>19</v>
      </c>
      <c r="D3460" s="190"/>
      <c r="E3460" s="11"/>
      <c r="F3460" s="12"/>
      <c r="G3460" s="13"/>
    </row>
    <row r="3461" spans="1:11" s="47" customFormat="1" ht="23.25" customHeight="1" thickBot="1">
      <c r="A3461" s="211" t="s">
        <v>507</v>
      </c>
      <c r="B3461" s="216" t="str">
        <f ca="1">_xlfn.CONCAT(B3436,A3461)</f>
        <v>15F46B82-X</v>
      </c>
      <c r="C3461" s="14" t="s">
        <v>1</v>
      </c>
      <c r="D3461" s="15"/>
      <c r="E3461" s="15" t="s">
        <v>20</v>
      </c>
      <c r="F3461" s="16" t="s">
        <v>21</v>
      </c>
      <c r="G3461" s="15" t="s">
        <v>5</v>
      </c>
      <c r="H3461" s="215"/>
      <c r="I3461" s="211"/>
      <c r="J3461" s="211"/>
      <c r="K3461" s="211"/>
    </row>
    <row r="3462" spans="1:11">
      <c r="A3462" s="211" t="s">
        <v>508</v>
      </c>
      <c r="B3462" s="216" t="str">
        <f ca="1">_xlfn.CONCAT(B3436,A3462)</f>
        <v>15F46B82-Y</v>
      </c>
      <c r="C3462" s="24" t="s">
        <v>22</v>
      </c>
      <c r="D3462" s="184"/>
      <c r="E3462" s="25">
        <f>_xlfn.XLOOKUP(C3462,'H-MO'!B$7:B$30,'H-MO'!D$7:D$30,,0,1)</f>
        <v>2436.5624999999995</v>
      </c>
      <c r="F3462" s="19">
        <v>0.4</v>
      </c>
      <c r="G3462" s="33">
        <f t="shared" ref="G3462:G3467" si="98">+E3462*F3462</f>
        <v>974.62499999999989</v>
      </c>
    </row>
    <row r="3463" spans="1:11">
      <c r="A3463" s="211" t="s">
        <v>509</v>
      </c>
      <c r="B3463" s="216" t="str">
        <f ca="1">_xlfn.CONCAT(B3436,A3463)</f>
        <v>15F46B82-Z</v>
      </c>
      <c r="C3463" s="24" t="s">
        <v>23</v>
      </c>
      <c r="D3463" s="184"/>
      <c r="E3463" s="25">
        <f>_xlfn.XLOOKUP(C3463,'H-MO'!B$7:B$30,'H-MO'!D$7:D$30,,0,1)</f>
        <v>1461.9374999999998</v>
      </c>
      <c r="F3463" s="19">
        <v>0.05</v>
      </c>
      <c r="G3463" s="33">
        <f t="shared" si="98"/>
        <v>73.096874999999997</v>
      </c>
    </row>
    <row r="3464" spans="1:11">
      <c r="A3464" s="211" t="s">
        <v>510</v>
      </c>
      <c r="B3464" s="216" t="str">
        <f ca="1">_xlfn.CONCAT(B3436,A3464)</f>
        <v>15F46B82-aa</v>
      </c>
      <c r="C3464" s="24" t="s">
        <v>24</v>
      </c>
      <c r="D3464" s="185"/>
      <c r="E3464" s="25">
        <f>_xlfn.XLOOKUP(C3464,'H-MO'!B$7:B$30,'H-MO'!D$7:D$30,,0,1)</f>
        <v>29238.749999999996</v>
      </c>
      <c r="F3464" s="28">
        <v>0.02</v>
      </c>
      <c r="G3464" s="33">
        <f t="shared" si="98"/>
        <v>584.77499999999998</v>
      </c>
    </row>
    <row r="3465" spans="1:11">
      <c r="A3465" s="211" t="s">
        <v>511</v>
      </c>
      <c r="B3465" s="216" t="str">
        <f ca="1">_xlfn.CONCAT(B3436,A3465)</f>
        <v>15F46B82-ab</v>
      </c>
      <c r="C3465" s="24" t="s">
        <v>25</v>
      </c>
      <c r="D3465" s="185"/>
      <c r="E3465" s="25">
        <f>_xlfn.XLOOKUP(C3465,'H-MO'!B$7:B$30,'H-MO'!D$7:D$30,,0,1)</f>
        <v>2761.4374999999995</v>
      </c>
      <c r="F3465" s="28">
        <v>0.1</v>
      </c>
      <c r="G3465" s="33">
        <f t="shared" si="98"/>
        <v>276.14374999999995</v>
      </c>
    </row>
    <row r="3466" spans="1:11">
      <c r="A3466" s="211" t="s">
        <v>512</v>
      </c>
      <c r="B3466" s="216" t="str">
        <f ca="1">_xlfn.CONCAT(B3436,A3466)</f>
        <v>15F46B82-ac</v>
      </c>
      <c r="C3466" s="24"/>
      <c r="D3466" s="185"/>
      <c r="E3466" s="29"/>
      <c r="F3466" s="28"/>
      <c r="G3466" s="33">
        <f t="shared" si="98"/>
        <v>0</v>
      </c>
    </row>
    <row r="3467" spans="1:11" ht="14.25" thickBot="1">
      <c r="A3467" s="211" t="s">
        <v>513</v>
      </c>
      <c r="B3467" s="216" t="str">
        <f ca="1">_xlfn.CONCAT(B3436,A3467)</f>
        <v>15F46B82-ad</v>
      </c>
      <c r="C3467" s="24"/>
      <c r="D3467" s="185"/>
      <c r="E3467" s="29"/>
      <c r="F3467" s="28"/>
      <c r="G3467" s="33">
        <f t="shared" si="98"/>
        <v>0</v>
      </c>
    </row>
    <row r="3468" spans="1:11" ht="16.5" customHeight="1" thickBot="1">
      <c r="A3468" s="211" t="s">
        <v>514</v>
      </c>
      <c r="B3468" s="216" t="str">
        <f ca="1">_xlfn.CONCAT(B3436,A3468)</f>
        <v>15F46B82-ae</v>
      </c>
      <c r="C3468" s="17"/>
      <c r="D3468" s="192"/>
      <c r="E3468" s="18"/>
      <c r="F3468" s="22" t="s">
        <v>26</v>
      </c>
      <c r="G3468" s="23">
        <f>SUM(G3462:G3467)</f>
        <v>1908.6406249999998</v>
      </c>
    </row>
    <row r="3469" spans="1:11" ht="28.5" customHeight="1" thickBot="1">
      <c r="A3469" s="211" t="s">
        <v>515</v>
      </c>
      <c r="B3469" s="216" t="str">
        <f ca="1">_xlfn.CONCAT(B3436,A3469)</f>
        <v>15F46B82-af</v>
      </c>
      <c r="C3469" s="10" t="s">
        <v>27</v>
      </c>
      <c r="D3469" s="190"/>
      <c r="E3469" s="11"/>
      <c r="F3469" s="12"/>
      <c r="G3469" s="13"/>
    </row>
    <row r="3470" spans="1:11" s="47" customFormat="1" ht="23.25" customHeight="1" thickBot="1">
      <c r="A3470" s="211" t="s">
        <v>516</v>
      </c>
      <c r="B3470" s="216" t="str">
        <f ca="1">_xlfn.CONCAT(B3436,A3470)</f>
        <v>15F46B82-ag</v>
      </c>
      <c r="C3470" s="14" t="s">
        <v>1</v>
      </c>
      <c r="D3470" s="15" t="s">
        <v>28</v>
      </c>
      <c r="E3470" s="15" t="s">
        <v>20</v>
      </c>
      <c r="F3470" s="16" t="s">
        <v>21</v>
      </c>
      <c r="G3470" s="15" t="s">
        <v>5</v>
      </c>
      <c r="H3470" s="215"/>
      <c r="I3470" s="211"/>
      <c r="J3470" s="211"/>
      <c r="K3470" s="211"/>
    </row>
    <row r="3471" spans="1:11">
      <c r="A3471" s="211" t="s">
        <v>517</v>
      </c>
      <c r="B3471" s="216" t="str">
        <f ca="1">_xlfn.CONCAT(B3436,A3471)</f>
        <v>15F46B82-ah</v>
      </c>
      <c r="C3471" s="30" t="s">
        <v>29</v>
      </c>
      <c r="D3471" s="186">
        <f>'H-MO'!$N$77</f>
        <v>725918.52892505517</v>
      </c>
      <c r="E3471" s="31">
        <f>+D3471/8</f>
        <v>90739.816115631897</v>
      </c>
      <c r="F3471" s="32">
        <v>0.25</v>
      </c>
      <c r="G3471" s="33">
        <f>+E3471*F3471</f>
        <v>22684.954028907974</v>
      </c>
    </row>
    <row r="3472" spans="1:11">
      <c r="A3472" s="211" t="s">
        <v>518</v>
      </c>
      <c r="B3472" s="216" t="str">
        <f ca="1">_xlfn.CONCAT(B3436,A3472)</f>
        <v>15F46B82-ai</v>
      </c>
      <c r="C3472" s="34" t="s">
        <v>30</v>
      </c>
      <c r="D3472" s="187">
        <f>'H-MO'!$N$86</f>
        <v>685561.39085756091</v>
      </c>
      <c r="E3472" s="29">
        <f>+D3472/8</f>
        <v>85695.173857195114</v>
      </c>
      <c r="F3472" s="28">
        <v>0.02</v>
      </c>
      <c r="G3472" s="33">
        <f>+E3472*F3472</f>
        <v>1713.9034771439024</v>
      </c>
    </row>
    <row r="3473" spans="1:8" ht="14.25" thickBot="1">
      <c r="A3473" s="211" t="s">
        <v>519</v>
      </c>
      <c r="B3473" s="216" t="str">
        <f ca="1">_xlfn.CONCAT(B3436,A3473)</f>
        <v>15F46B82-aj</v>
      </c>
      <c r="C3473" s="34"/>
      <c r="D3473" s="187"/>
      <c r="E3473" s="29"/>
      <c r="F3473" s="28"/>
      <c r="G3473" s="33">
        <f>+E3473*F3473</f>
        <v>0</v>
      </c>
    </row>
    <row r="3474" spans="1:8" ht="17.25" customHeight="1" thickBot="1">
      <c r="A3474" s="211" t="s">
        <v>520</v>
      </c>
      <c r="B3474" s="216" t="str">
        <f ca="1">_xlfn.CONCAT(B3436,A3474)</f>
        <v>15F46B82-ak</v>
      </c>
      <c r="C3474" s="34"/>
      <c r="D3474" s="185"/>
      <c r="E3474" s="26"/>
      <c r="F3474" s="36" t="s">
        <v>31</v>
      </c>
      <c r="G3474" s="23">
        <f>SUM(G3471:G3473)</f>
        <v>24398.857506051878</v>
      </c>
    </row>
    <row r="3475" spans="1:8" ht="14.25" thickBot="1">
      <c r="A3475" s="211" t="s">
        <v>521</v>
      </c>
      <c r="B3475" s="216" t="str">
        <f ca="1">_xlfn.CONCAT(B3436,A3475)</f>
        <v>15F46B82-al</v>
      </c>
      <c r="C3475" s="37"/>
      <c r="E3475" s="38"/>
      <c r="F3475" s="22"/>
      <c r="G3475" s="39"/>
    </row>
    <row r="3476" spans="1:8" ht="23.25" customHeight="1" thickBot="1">
      <c r="A3476" s="211" t="s">
        <v>522</v>
      </c>
      <c r="B3476" s="216" t="str">
        <f ca="1">_xlfn.CONCAT(B3436,A3476)</f>
        <v>15F46B82-am</v>
      </c>
      <c r="C3476" s="40"/>
      <c r="D3476" s="193"/>
      <c r="E3476" s="41"/>
      <c r="F3476" s="42"/>
      <c r="G3476" s="43">
        <f>+G3459+G3468+G3474</f>
        <v>45241.498131051878</v>
      </c>
    </row>
    <row r="3477" spans="1:8" ht="21.75" thickBot="1">
      <c r="B3477" s="212" t="s">
        <v>550</v>
      </c>
      <c r="C3477" s="2"/>
      <c r="D3477" s="183"/>
      <c r="F3477" s="4"/>
      <c r="G3477" s="5"/>
    </row>
    <row r="3478" spans="1:8" s="45" customFormat="1" ht="34.5" customHeight="1">
      <c r="A3478" s="213"/>
      <c r="B3478" s="214">
        <v>80</v>
      </c>
      <c r="C3478" s="242" t="str">
        <f ca="1">_xlfn.XLOOKUP(B3478,Cantidades!$A$10:$A$314,Cantidades!$C$10:$C$314,,0,1)</f>
        <v>Suministro e instalación de salida para CCTV. Incluye tubería SCH 40, cable UTP cat 6A y demas accesorios para su correcta instalación, funcionamiento y señalización.</v>
      </c>
      <c r="D3478" s="243"/>
      <c r="E3478" s="243"/>
      <c r="F3478" s="243"/>
      <c r="G3478" s="244"/>
      <c r="H3478" s="213"/>
    </row>
    <row r="3479" spans="1:8" s="47" customFormat="1" ht="24.95" customHeight="1" thickBot="1">
      <c r="A3479" s="215"/>
      <c r="B3479" s="216" t="s">
        <v>550</v>
      </c>
      <c r="C3479" s="177"/>
      <c r="D3479" s="189"/>
      <c r="E3479" s="178"/>
      <c r="F3479" s="179" t="s">
        <v>636</v>
      </c>
      <c r="G3479" s="209" t="str">
        <f ca="1">B3480</f>
        <v>3141EA9A-</v>
      </c>
      <c r="H3479" s="215"/>
    </row>
    <row r="3480" spans="1:8" ht="28.5" customHeight="1" thickBot="1">
      <c r="B3480" s="212" t="str">
        <f ca="1">_xlfn.XLOOKUP(C3478,Cantidades!$C$1:$C$314,Cantidades!$B$1:$B$314,"",0,1)</f>
        <v>3141EA9A-</v>
      </c>
      <c r="C3480" s="10" t="s">
        <v>0</v>
      </c>
      <c r="D3480" s="190"/>
      <c r="E3480" s="11"/>
      <c r="F3480" s="12"/>
      <c r="G3480" s="13"/>
    </row>
    <row r="3481" spans="1:8" s="47" customFormat="1" ht="23.25" customHeight="1" thickBot="1">
      <c r="A3481" s="215"/>
      <c r="B3481" s="216" t="s">
        <v>550</v>
      </c>
      <c r="C3481" s="14" t="s">
        <v>1</v>
      </c>
      <c r="D3481" s="15" t="s">
        <v>2</v>
      </c>
      <c r="E3481" s="15" t="s">
        <v>3</v>
      </c>
      <c r="F3481" s="16" t="s">
        <v>4</v>
      </c>
      <c r="G3481" s="15" t="s">
        <v>5</v>
      </c>
      <c r="H3481" s="215"/>
    </row>
    <row r="3482" spans="1:8" ht="15">
      <c r="A3482" s="211" t="s">
        <v>484</v>
      </c>
      <c r="B3482" s="216" t="str">
        <f ca="1">_xlfn.CONCAT(B3480,A3482)</f>
        <v>3141EA9A-A</v>
      </c>
      <c r="C3482" s="17" t="str">
        <f>_xlfn.XLOOKUP(H3482,'Materiales unitario'!$A$1:$A$2500,'Materiales unitario'!B$1:B$2500,,0,1)</f>
        <v>Tubo Conduit PVC SCH40 3-4 Pulgadas</v>
      </c>
      <c r="D3482" s="184" t="str">
        <f>_xlfn.XLOOKUP(H3482,'Materiales unitario'!A$1:A$2500,'Materiales unitario'!C$1:C$2500,,0,1)</f>
        <v>ml</v>
      </c>
      <c r="E3482" s="197">
        <f>_xlfn.XLOOKUP(H3482,'Materiales unitario'!$A$1:$A$2500,'Materiales unitario'!D$1:D$2500,,0,1)</f>
        <v>3966.6666666666665</v>
      </c>
      <c r="F3482" s="19">
        <v>8</v>
      </c>
      <c r="G3482" s="20">
        <f>+E3482*F3482</f>
        <v>31733.333333333332</v>
      </c>
      <c r="H3482" s="217" t="s">
        <v>602</v>
      </c>
    </row>
    <row r="3483" spans="1:8" ht="15">
      <c r="A3483" s="211" t="s">
        <v>485</v>
      </c>
      <c r="B3483" s="216" t="str">
        <f ca="1">_xlfn.CONCAT(B3480,A3483)</f>
        <v>3141EA9A-B</v>
      </c>
      <c r="C3483" s="17" t="str">
        <f>_xlfn.XLOOKUP(H3483,'Materiales unitario'!$A$1:$A$2500,'Materiales unitario'!B$1:B$2500,,0,1)</f>
        <v>Curva PVC SCH40 3/4"</v>
      </c>
      <c r="D3483" s="184" t="str">
        <f>_xlfn.XLOOKUP(H3483,'Materiales unitario'!A$1:A$2500,'Materiales unitario'!C$1:C$2500,,0,1)</f>
        <v>un</v>
      </c>
      <c r="E3483" s="197">
        <f>_xlfn.XLOOKUP(H3483,'Materiales unitario'!$A$1:$A$2500,'Materiales unitario'!D$1:D$2500,,0,1)</f>
        <v>1470</v>
      </c>
      <c r="F3483" s="19">
        <v>1</v>
      </c>
      <c r="G3483" s="20">
        <f t="shared" ref="G3483:G3488" si="99">+E3483*F3483</f>
        <v>1470</v>
      </c>
      <c r="H3483" s="217" t="s">
        <v>805</v>
      </c>
    </row>
    <row r="3484" spans="1:8" ht="15">
      <c r="A3484" s="211" t="s">
        <v>486</v>
      </c>
      <c r="B3484" s="216" t="str">
        <f ca="1">_xlfn.CONCAT(B3480,A3484)</f>
        <v>3141EA9A-C</v>
      </c>
      <c r="C3484" s="17" t="str">
        <f>_xlfn.XLOOKUP(H3484,'Materiales unitario'!$A$1:$A$2500,'Materiales unitario'!B$1:B$2500,,0,1)</f>
        <v>Adaptador terminal PVC ø3/4"</v>
      </c>
      <c r="D3484" s="184" t="str">
        <f>_xlfn.XLOOKUP(H3484,'Materiales unitario'!A$1:A$2500,'Materiales unitario'!C$1:C$2500,,0,1)</f>
        <v>un</v>
      </c>
      <c r="E3484" s="197">
        <f>_xlfn.XLOOKUP(H3484,'Materiales unitario'!$A$1:$A$2500,'Materiales unitario'!D$1:D$2500,,0,1)</f>
        <v>920</v>
      </c>
      <c r="F3484" s="19">
        <v>2</v>
      </c>
      <c r="G3484" s="20">
        <f t="shared" si="99"/>
        <v>1840</v>
      </c>
      <c r="H3484" s="217" t="s">
        <v>604</v>
      </c>
    </row>
    <row r="3485" spans="1:8" ht="15">
      <c r="A3485" s="211" t="s">
        <v>487</v>
      </c>
      <c r="B3485" s="216" t="str">
        <f ca="1">_xlfn.CONCAT(B3480,A3485)</f>
        <v>3141EA9A-D</v>
      </c>
      <c r="C3485" s="17" t="str">
        <f>_xlfn.XLOOKUP(H3485,'Materiales unitario'!$A$1:$A$2500,'Materiales unitario'!B$1:B$2500,,0,1)</f>
        <v>Tubo Conduit PVC Sch40 1-2 Pulgadas</v>
      </c>
      <c r="D3485" s="184" t="str">
        <f>_xlfn.XLOOKUP(H3485,'Materiales unitario'!A$1:A$2500,'Materiales unitario'!C$1:C$2500,,0,1)</f>
        <v>ml</v>
      </c>
      <c r="E3485" s="197">
        <f>_xlfn.XLOOKUP(H3485,'Materiales unitario'!$A$1:$A$2500,'Materiales unitario'!D$1:D$2500,,0,1)</f>
        <v>2966.6666666666665</v>
      </c>
      <c r="F3485" s="19">
        <v>8</v>
      </c>
      <c r="G3485" s="20">
        <f t="shared" si="99"/>
        <v>23733.333333333332</v>
      </c>
      <c r="H3485" s="217" t="s">
        <v>601</v>
      </c>
    </row>
    <row r="3486" spans="1:8" ht="15">
      <c r="A3486" s="211" t="s">
        <v>488</v>
      </c>
      <c r="B3486" s="216" t="str">
        <f ca="1">_xlfn.CONCAT(B3480,A3486)</f>
        <v>3141EA9A-E</v>
      </c>
      <c r="C3486" s="17" t="str">
        <f>_xlfn.XLOOKUP(H3486,'Materiales unitario'!$A$1:$A$2500,'Materiales unitario'!B$1:B$2500,,0,1)</f>
        <v>Adaptador terminal PVC ø1/2"</v>
      </c>
      <c r="D3486" s="184" t="str">
        <f>_xlfn.XLOOKUP(H3486,'Materiales unitario'!A$1:A$2500,'Materiales unitario'!C$1:C$2500,,0,1)</f>
        <v>un</v>
      </c>
      <c r="E3486" s="197">
        <f>_xlfn.XLOOKUP(H3486,'Materiales unitario'!$A$1:$A$2500,'Materiales unitario'!D$1:D$2500,,0,1)</f>
        <v>720</v>
      </c>
      <c r="F3486" s="19">
        <v>1</v>
      </c>
      <c r="G3486" s="20">
        <f t="shared" si="99"/>
        <v>720</v>
      </c>
      <c r="H3486" s="217" t="s">
        <v>603</v>
      </c>
    </row>
    <row r="3487" spans="1:8" ht="15">
      <c r="A3487" s="211" t="s">
        <v>489</v>
      </c>
      <c r="B3487" s="216" t="str">
        <f ca="1">_xlfn.CONCAT(B3480,A3487)</f>
        <v>3141EA9A-F</v>
      </c>
      <c r="C3487" s="17" t="str">
        <f>_xlfn.XLOOKUP(H3487,'Materiales unitario'!$A$1:$A$2500,'Materiales unitario'!B$1:B$2500,,0,1)</f>
        <v>Curva PVC SCH40 1/2"</v>
      </c>
      <c r="D3487" s="184" t="str">
        <f>_xlfn.XLOOKUP(H3487,'Materiales unitario'!A$1:A$2500,'Materiales unitario'!C$1:C$2500,,0,1)</f>
        <v>un</v>
      </c>
      <c r="E3487" s="197">
        <f>_xlfn.XLOOKUP(H3487,'Materiales unitario'!$A$1:$A$2500,'Materiales unitario'!D$1:D$2500,,0,1)</f>
        <v>970</v>
      </c>
      <c r="F3487" s="19">
        <v>1</v>
      </c>
      <c r="G3487" s="20">
        <f t="shared" si="99"/>
        <v>970</v>
      </c>
      <c r="H3487" s="217" t="s">
        <v>822</v>
      </c>
    </row>
    <row r="3488" spans="1:8" ht="15">
      <c r="A3488" s="211" t="s">
        <v>490</v>
      </c>
      <c r="B3488" s="216" t="str">
        <f ca="1">_xlfn.CONCAT(B3480,A3488)</f>
        <v>3141EA9A-G</v>
      </c>
      <c r="C3488" s="17" t="str">
        <f>_xlfn.XLOOKUP(H3488,'Materiales unitario'!$A$1:$A$2500,'Materiales unitario'!B$1:B$2500,,0,1)</f>
        <v>Caja doble fondo 10x10</v>
      </c>
      <c r="D3488" s="184" t="str">
        <f>_xlfn.XLOOKUP(H3488,'Materiales unitario'!A$1:A$2500,'Materiales unitario'!C$1:C$2500,,0,1)</f>
        <v>un</v>
      </c>
      <c r="E3488" s="197">
        <f>_xlfn.XLOOKUP(H3488,'Materiales unitario'!$A$1:$A$2500,'Materiales unitario'!D$1:D$2500,,0,1)</f>
        <v>4970</v>
      </c>
      <c r="F3488" s="19">
        <v>1</v>
      </c>
      <c r="G3488" s="20">
        <f t="shared" si="99"/>
        <v>4970</v>
      </c>
      <c r="H3488" s="217" t="s">
        <v>746</v>
      </c>
    </row>
    <row r="3489" spans="1:8" ht="15">
      <c r="A3489" s="211" t="s">
        <v>491</v>
      </c>
      <c r="B3489" s="216" t="str">
        <f ca="1">_xlfn.CONCAT(B3480,A3489)</f>
        <v>3141EA9A-H</v>
      </c>
      <c r="C3489" s="17" t="str">
        <f>_xlfn.XLOOKUP(H3489,'Materiales unitario'!$A$1:$A$2500,'Materiales unitario'!B$1:B$2500,,0,1)</f>
        <v>Cable UTP CAT 6A</v>
      </c>
      <c r="D3489" s="184" t="str">
        <f>_xlfn.XLOOKUP(H3489,'Materiales unitario'!A$1:A$2500,'Materiales unitario'!C$1:C$2500,,0,1)</f>
        <v>ml</v>
      </c>
      <c r="E3489" s="197">
        <f>_xlfn.XLOOKUP(H3489,'Materiales unitario'!$A$1:$A$2500,'Materiales unitario'!D$1:D$2500,,0,1)</f>
        <v>2140</v>
      </c>
      <c r="F3489" s="19">
        <v>18</v>
      </c>
      <c r="G3489" s="20">
        <f>+E3489*F3489</f>
        <v>38520</v>
      </c>
      <c r="H3489" s="217" t="s">
        <v>743</v>
      </c>
    </row>
    <row r="3490" spans="1:8" ht="15">
      <c r="A3490" s="211" t="s">
        <v>492</v>
      </c>
      <c r="B3490" s="216" t="str">
        <f ca="1">_xlfn.CONCAT(B3480,A3490)</f>
        <v>3141EA9A-I</v>
      </c>
      <c r="C3490" s="17" t="str">
        <f>_xlfn.XLOOKUP(H3490,'Materiales unitario'!$A$1:$A$2500,'Materiales unitario'!B$1:B$2500,,0,1)</f>
        <v>Caja plastica 10x10</v>
      </c>
      <c r="D3490" s="184" t="str">
        <f>_xlfn.XLOOKUP(H3490,'Materiales unitario'!A$1:A$2500,'Materiales unitario'!C$1:C$2500,,0,1)</f>
        <v>un</v>
      </c>
      <c r="E3490" s="197">
        <f>_xlfn.XLOOKUP(H3490,'Materiales unitario'!$A$1:$A$2500,'Materiales unitario'!D$1:D$2500,,0,1)</f>
        <v>4285</v>
      </c>
      <c r="F3490" s="19">
        <v>1</v>
      </c>
      <c r="G3490" s="20">
        <f>+E3490*F3490</f>
        <v>4285</v>
      </c>
      <c r="H3490" s="217" t="s">
        <v>826</v>
      </c>
    </row>
    <row r="3491" spans="1:8" ht="15">
      <c r="A3491" s="211" t="s">
        <v>493</v>
      </c>
      <c r="B3491" s="216" t="str">
        <f ca="1">_xlfn.CONCAT(B3480,A3491)</f>
        <v>3141EA9A-J</v>
      </c>
      <c r="C3491" s="17" t="str">
        <f>_xlfn.XLOOKUP(H3491,'Materiales unitario'!$A$1:$A$2500,'Materiales unitario'!B$1:B$2500,,0,1)</f>
        <v>Conector macho hembra para fuente de poder</v>
      </c>
      <c r="D3491" s="184" t="str">
        <f>_xlfn.XLOOKUP(H3491,'Materiales unitario'!A$1:A$2500,'Materiales unitario'!C$1:C$2500,,0,1)</f>
        <v>un</v>
      </c>
      <c r="E3491" s="197">
        <f>_xlfn.XLOOKUP(H3491,'Materiales unitario'!$A$1:$A$2500,'Materiales unitario'!D$1:D$2500,,0,1)</f>
        <v>5600</v>
      </c>
      <c r="F3491" s="19">
        <v>1</v>
      </c>
      <c r="G3491" s="20">
        <f>+E3491*F3491</f>
        <v>5600</v>
      </c>
      <c r="H3491" s="217" t="s">
        <v>828</v>
      </c>
    </row>
    <row r="3492" spans="1:8" ht="15">
      <c r="A3492" s="211" t="s">
        <v>494</v>
      </c>
      <c r="B3492" s="216" t="str">
        <f ca="1">_xlfn.CONCAT(B3480,A3492)</f>
        <v>3141EA9A-K</v>
      </c>
      <c r="C3492" s="17" t="str">
        <f>_xlfn.XLOOKUP(H3492,'Materiales unitario'!$A$1:$A$2500,'Materiales unitario'!B$1:B$2500,,0,1)</f>
        <v>Video balun</v>
      </c>
      <c r="D3492" s="184" t="str">
        <f>_xlfn.XLOOKUP(H3492,'Materiales unitario'!A$1:A$2500,'Materiales unitario'!C$1:C$2500,,0,1)</f>
        <v>un</v>
      </c>
      <c r="E3492" s="197">
        <f>_xlfn.XLOOKUP(H3492,'Materiales unitario'!$A$1:$A$2500,'Materiales unitario'!D$1:D$2500,,0,1)</f>
        <v>5781</v>
      </c>
      <c r="F3492" s="19">
        <v>2</v>
      </c>
      <c r="G3492" s="20">
        <f>+E3492*F3492</f>
        <v>11562</v>
      </c>
      <c r="H3492" s="217" t="s">
        <v>830</v>
      </c>
    </row>
    <row r="3493" spans="1:8">
      <c r="A3493" s="211" t="s">
        <v>495</v>
      </c>
      <c r="B3493" s="216" t="str">
        <f ca="1">_xlfn.CONCAT(B3480,A3493)</f>
        <v>3141EA9A-L</v>
      </c>
      <c r="C3493" s="17"/>
      <c r="D3493" s="184"/>
      <c r="E3493" s="197"/>
      <c r="F3493" s="19"/>
      <c r="G3493" s="20"/>
    </row>
    <row r="3494" spans="1:8">
      <c r="A3494" s="211" t="s">
        <v>496</v>
      </c>
      <c r="B3494" s="216" t="str">
        <f ca="1">_xlfn.CONCAT(B3480,A3494)</f>
        <v>3141EA9A-M</v>
      </c>
      <c r="C3494" s="17"/>
      <c r="D3494" s="184"/>
      <c r="E3494" s="197"/>
      <c r="F3494" s="19"/>
      <c r="G3494" s="20"/>
    </row>
    <row r="3495" spans="1:8">
      <c r="A3495" s="211" t="s">
        <v>497</v>
      </c>
      <c r="B3495" s="216" t="str">
        <f ca="1">_xlfn.CONCAT(B3480,A3495)</f>
        <v>3141EA9A-N</v>
      </c>
      <c r="C3495" s="17"/>
      <c r="D3495" s="184"/>
      <c r="E3495" s="197"/>
      <c r="F3495" s="19"/>
      <c r="G3495" s="20"/>
    </row>
    <row r="3496" spans="1:8">
      <c r="A3496" s="211" t="s">
        <v>498</v>
      </c>
      <c r="B3496" s="216" t="str">
        <f ca="1">_xlfn.CONCAT(B3480,A3496)</f>
        <v>3141EA9A-O</v>
      </c>
      <c r="C3496" s="17"/>
      <c r="D3496" s="184"/>
      <c r="E3496" s="197"/>
      <c r="F3496" s="19"/>
      <c r="G3496" s="20"/>
    </row>
    <row r="3497" spans="1:8">
      <c r="A3497" s="211" t="s">
        <v>499</v>
      </c>
      <c r="B3497" s="216" t="str">
        <f ca="1">_xlfn.CONCAT(B3480,A3497)</f>
        <v>3141EA9A-P</v>
      </c>
      <c r="C3497" s="17"/>
      <c r="D3497" s="184"/>
      <c r="E3497" s="197"/>
      <c r="F3497" s="19"/>
      <c r="G3497" s="20"/>
    </row>
    <row r="3498" spans="1:8">
      <c r="A3498" s="211" t="s">
        <v>500</v>
      </c>
      <c r="B3498" s="216" t="str">
        <f ca="1">_xlfn.CONCAT(B3480,A3498)</f>
        <v>3141EA9A-Q</v>
      </c>
      <c r="C3498" s="17"/>
      <c r="D3498" s="184"/>
      <c r="E3498" s="197"/>
      <c r="F3498" s="19"/>
      <c r="G3498" s="20"/>
    </row>
    <row r="3499" spans="1:8">
      <c r="A3499" s="211" t="s">
        <v>501</v>
      </c>
      <c r="B3499" s="216" t="str">
        <f ca="1">_xlfn.CONCAT(B3480,A3499)</f>
        <v>3141EA9A-R</v>
      </c>
      <c r="C3499" s="17"/>
      <c r="D3499" s="184"/>
      <c r="E3499" s="197"/>
      <c r="F3499" s="19"/>
      <c r="G3499" s="20"/>
    </row>
    <row r="3500" spans="1:8">
      <c r="A3500" s="211" t="s">
        <v>502</v>
      </c>
      <c r="B3500" s="216" t="str">
        <f ca="1">_xlfn.CONCAT(B3480,A3500)</f>
        <v>3141EA9A-S</v>
      </c>
      <c r="C3500" s="17"/>
      <c r="D3500" s="184"/>
      <c r="E3500" s="197"/>
      <c r="F3500" s="19"/>
      <c r="G3500" s="20"/>
    </row>
    <row r="3501" spans="1:8">
      <c r="A3501" s="211" t="s">
        <v>503</v>
      </c>
      <c r="B3501" s="216" t="str">
        <f ca="1">_xlfn.CONCAT(B3480,A3501)</f>
        <v>3141EA9A-T</v>
      </c>
      <c r="C3501" s="17"/>
      <c r="D3501" s="184"/>
      <c r="E3501" s="197"/>
      <c r="F3501" s="19"/>
      <c r="G3501" s="20"/>
    </row>
    <row r="3502" spans="1:8" ht="14.25" thickBot="1">
      <c r="A3502" s="211" t="s">
        <v>504</v>
      </c>
      <c r="B3502" s="216" t="str">
        <f ca="1">_xlfn.CONCAT(B3480,A3502)</f>
        <v>3141EA9A-U</v>
      </c>
      <c r="C3502" s="17"/>
      <c r="D3502" s="184"/>
      <c r="E3502" s="197"/>
      <c r="F3502" s="19"/>
      <c r="G3502" s="20"/>
    </row>
    <row r="3503" spans="1:8" ht="16.5" customHeight="1" thickBot="1">
      <c r="A3503" s="211" t="s">
        <v>505</v>
      </c>
      <c r="B3503" s="216" t="str">
        <f ca="1">_xlfn.CONCAT(B3480,A3503)</f>
        <v>3141EA9A-V</v>
      </c>
      <c r="C3503" s="17" t="s">
        <v>17</v>
      </c>
      <c r="D3503" s="192" t="s">
        <v>17</v>
      </c>
      <c r="E3503" s="18"/>
      <c r="F3503" s="22" t="s">
        <v>18</v>
      </c>
      <c r="G3503" s="23">
        <f>SUM(G3482:G3502)</f>
        <v>125403.66666666666</v>
      </c>
    </row>
    <row r="3504" spans="1:8" ht="28.5" customHeight="1" thickBot="1">
      <c r="A3504" s="211" t="s">
        <v>506</v>
      </c>
      <c r="B3504" s="216" t="str">
        <f ca="1">_xlfn.CONCAT(B3480,A3504)</f>
        <v>3141EA9A-W</v>
      </c>
      <c r="C3504" s="10" t="s">
        <v>19</v>
      </c>
      <c r="D3504" s="190"/>
      <c r="E3504" s="11"/>
      <c r="F3504" s="12"/>
      <c r="G3504" s="13"/>
    </row>
    <row r="3505" spans="1:8" s="47" customFormat="1" ht="23.25" customHeight="1" thickBot="1">
      <c r="A3505" s="211" t="s">
        <v>507</v>
      </c>
      <c r="B3505" s="216" t="str">
        <f ca="1">_xlfn.CONCAT(B3480,A3505)</f>
        <v>3141EA9A-X</v>
      </c>
      <c r="C3505" s="14" t="s">
        <v>1</v>
      </c>
      <c r="D3505" s="15"/>
      <c r="E3505" s="15" t="s">
        <v>20</v>
      </c>
      <c r="F3505" s="16" t="s">
        <v>21</v>
      </c>
      <c r="G3505" s="15" t="s">
        <v>5</v>
      </c>
      <c r="H3505" s="215"/>
    </row>
    <row r="3506" spans="1:8">
      <c r="A3506" s="211" t="s">
        <v>508</v>
      </c>
      <c r="B3506" s="216" t="str">
        <f ca="1">_xlfn.CONCAT(B3480,A3506)</f>
        <v>3141EA9A-Y</v>
      </c>
      <c r="C3506" s="24" t="s">
        <v>22</v>
      </c>
      <c r="D3506" s="184"/>
      <c r="E3506" s="25">
        <f>_xlfn.XLOOKUP(C3506,'H-MO'!B$7:B$30,'H-MO'!D$7:D$30,,0,1)</f>
        <v>2436.5624999999995</v>
      </c>
      <c r="F3506" s="19">
        <v>0.4</v>
      </c>
      <c r="G3506" s="33">
        <f t="shared" ref="G3506:G3511" si="100">+E3506*F3506</f>
        <v>974.62499999999989</v>
      </c>
    </row>
    <row r="3507" spans="1:8">
      <c r="A3507" s="211" t="s">
        <v>509</v>
      </c>
      <c r="B3507" s="216" t="str">
        <f ca="1">_xlfn.CONCAT(B3480,A3507)</f>
        <v>3141EA9A-Z</v>
      </c>
      <c r="C3507" s="24" t="s">
        <v>23</v>
      </c>
      <c r="D3507" s="184"/>
      <c r="E3507" s="25">
        <f>_xlfn.XLOOKUP(C3507,'H-MO'!B$7:B$30,'H-MO'!D$7:D$30,,0,1)</f>
        <v>1461.9374999999998</v>
      </c>
      <c r="F3507" s="19">
        <v>0.1</v>
      </c>
      <c r="G3507" s="33">
        <f t="shared" si="100"/>
        <v>146.19374999999999</v>
      </c>
    </row>
    <row r="3508" spans="1:8">
      <c r="A3508" s="211" t="s">
        <v>510</v>
      </c>
      <c r="B3508" s="216" t="str">
        <f ca="1">_xlfn.CONCAT(B3480,A3508)</f>
        <v>3141EA9A-aa</v>
      </c>
      <c r="C3508" s="24" t="s">
        <v>24</v>
      </c>
      <c r="D3508" s="185"/>
      <c r="E3508" s="25">
        <f>_xlfn.XLOOKUP(C3508,'H-MO'!B$7:B$30,'H-MO'!D$7:D$30,,0,1)</f>
        <v>29238.749999999996</v>
      </c>
      <c r="F3508" s="28">
        <v>0.01</v>
      </c>
      <c r="G3508" s="33">
        <f t="shared" si="100"/>
        <v>292.38749999999999</v>
      </c>
    </row>
    <row r="3509" spans="1:8">
      <c r="A3509" s="211" t="s">
        <v>511</v>
      </c>
      <c r="B3509" s="216" t="str">
        <f ca="1">_xlfn.CONCAT(B3480,A3509)</f>
        <v>3141EA9A-ab</v>
      </c>
      <c r="C3509" s="24" t="s">
        <v>25</v>
      </c>
      <c r="D3509" s="185"/>
      <c r="E3509" s="25">
        <f>_xlfn.XLOOKUP(C3509,'H-MO'!B$7:B$30,'H-MO'!D$7:D$30,,0,1)</f>
        <v>2761.4374999999995</v>
      </c>
      <c r="F3509" s="28">
        <v>0.1</v>
      </c>
      <c r="G3509" s="33">
        <f t="shared" si="100"/>
        <v>276.14374999999995</v>
      </c>
    </row>
    <row r="3510" spans="1:8">
      <c r="A3510" s="211" t="s">
        <v>512</v>
      </c>
      <c r="B3510" s="216" t="str">
        <f ca="1">_xlfn.CONCAT(B3480,A3510)</f>
        <v>3141EA9A-ac</v>
      </c>
      <c r="C3510" s="24"/>
      <c r="D3510" s="185"/>
      <c r="E3510" s="29"/>
      <c r="F3510" s="28"/>
      <c r="G3510" s="33">
        <f t="shared" si="100"/>
        <v>0</v>
      </c>
    </row>
    <row r="3511" spans="1:8" ht="14.25" thickBot="1">
      <c r="A3511" s="211" t="s">
        <v>513</v>
      </c>
      <c r="B3511" s="216" t="str">
        <f ca="1">_xlfn.CONCAT(B3480,A3511)</f>
        <v>3141EA9A-ad</v>
      </c>
      <c r="C3511" s="24"/>
      <c r="D3511" s="185"/>
      <c r="E3511" s="29"/>
      <c r="F3511" s="28"/>
      <c r="G3511" s="33">
        <f t="shared" si="100"/>
        <v>0</v>
      </c>
    </row>
    <row r="3512" spans="1:8" ht="16.5" customHeight="1" thickBot="1">
      <c r="A3512" s="211" t="s">
        <v>514</v>
      </c>
      <c r="B3512" s="216" t="str">
        <f ca="1">_xlfn.CONCAT(B3480,A3512)</f>
        <v>3141EA9A-ae</v>
      </c>
      <c r="C3512" s="17"/>
      <c r="D3512" s="192"/>
      <c r="E3512" s="18"/>
      <c r="F3512" s="22" t="s">
        <v>26</v>
      </c>
      <c r="G3512" s="23">
        <f>SUM(G3506:G3511)</f>
        <v>1689.35</v>
      </c>
    </row>
    <row r="3513" spans="1:8" ht="28.5" customHeight="1" thickBot="1">
      <c r="A3513" s="211" t="s">
        <v>515</v>
      </c>
      <c r="B3513" s="216" t="str">
        <f ca="1">_xlfn.CONCAT(B3480,A3513)</f>
        <v>3141EA9A-af</v>
      </c>
      <c r="C3513" s="10" t="s">
        <v>27</v>
      </c>
      <c r="D3513" s="190"/>
      <c r="E3513" s="11"/>
      <c r="F3513" s="12"/>
      <c r="G3513" s="13"/>
    </row>
    <row r="3514" spans="1:8" s="47" customFormat="1" ht="23.25" customHeight="1" thickBot="1">
      <c r="A3514" s="211" t="s">
        <v>516</v>
      </c>
      <c r="B3514" s="216" t="str">
        <f ca="1">_xlfn.CONCAT(B3480,A3514)</f>
        <v>3141EA9A-ag</v>
      </c>
      <c r="C3514" s="14" t="s">
        <v>1</v>
      </c>
      <c r="D3514" s="15" t="s">
        <v>28</v>
      </c>
      <c r="E3514" s="15" t="s">
        <v>20</v>
      </c>
      <c r="F3514" s="16" t="s">
        <v>21</v>
      </c>
      <c r="G3514" s="15" t="s">
        <v>5</v>
      </c>
      <c r="H3514" s="215"/>
    </row>
    <row r="3515" spans="1:8">
      <c r="A3515" s="211" t="s">
        <v>517</v>
      </c>
      <c r="B3515" s="216" t="str">
        <f ca="1">_xlfn.CONCAT(B3480,A3515)</f>
        <v>3141EA9A-ah</v>
      </c>
      <c r="C3515" s="30" t="s">
        <v>29</v>
      </c>
      <c r="D3515" s="186">
        <f>'H-MO'!$N$77</f>
        <v>725918.52892505517</v>
      </c>
      <c r="E3515" s="31">
        <f>+D3515/8</f>
        <v>90739.816115631897</v>
      </c>
      <c r="F3515" s="32">
        <v>0.5</v>
      </c>
      <c r="G3515" s="33">
        <f>+E3515*F3515</f>
        <v>45369.908057815948</v>
      </c>
    </row>
    <row r="3516" spans="1:8">
      <c r="A3516" s="211" t="s">
        <v>518</v>
      </c>
      <c r="B3516" s="216" t="str">
        <f ca="1">_xlfn.CONCAT(B3480,A3516)</f>
        <v>3141EA9A-ai</v>
      </c>
      <c r="C3516" s="34" t="s">
        <v>30</v>
      </c>
      <c r="D3516" s="187">
        <f>'H-MO'!$N$86</f>
        <v>685561.39085756091</v>
      </c>
      <c r="E3516" s="29">
        <f>+D3516/8</f>
        <v>85695.173857195114</v>
      </c>
      <c r="F3516" s="28">
        <v>0</v>
      </c>
      <c r="G3516" s="33">
        <f>+E3516*F3516</f>
        <v>0</v>
      </c>
    </row>
    <row r="3517" spans="1:8" ht="14.25" thickBot="1">
      <c r="A3517" s="211" t="s">
        <v>519</v>
      </c>
      <c r="B3517" s="216" t="str">
        <f ca="1">_xlfn.CONCAT(B3480,A3517)</f>
        <v>3141EA9A-aj</v>
      </c>
      <c r="C3517" s="34"/>
      <c r="D3517" s="187"/>
      <c r="E3517" s="29"/>
      <c r="F3517" s="28"/>
      <c r="G3517" s="33">
        <f>+E3517*F3517</f>
        <v>0</v>
      </c>
    </row>
    <row r="3518" spans="1:8" ht="17.25" customHeight="1" thickBot="1">
      <c r="A3518" s="211" t="s">
        <v>520</v>
      </c>
      <c r="B3518" s="216" t="str">
        <f ca="1">_xlfn.CONCAT(B3480,A3518)</f>
        <v>3141EA9A-ak</v>
      </c>
      <c r="C3518" s="34"/>
      <c r="D3518" s="185"/>
      <c r="E3518" s="26"/>
      <c r="F3518" s="36" t="s">
        <v>31</v>
      </c>
      <c r="G3518" s="23">
        <f>SUM(G3515:G3517)</f>
        <v>45369.908057815948</v>
      </c>
    </row>
    <row r="3519" spans="1:8" ht="14.25" thickBot="1">
      <c r="A3519" s="211" t="s">
        <v>521</v>
      </c>
      <c r="B3519" s="216" t="str">
        <f ca="1">_xlfn.CONCAT(B3480,A3519)</f>
        <v>3141EA9A-al</v>
      </c>
      <c r="C3519" s="37"/>
      <c r="E3519" s="38"/>
      <c r="F3519" s="22"/>
      <c r="G3519" s="39"/>
    </row>
    <row r="3520" spans="1:8" ht="23.25" customHeight="1" thickBot="1">
      <c r="A3520" s="211" t="s">
        <v>522</v>
      </c>
      <c r="B3520" s="216" t="str">
        <f ca="1">_xlfn.CONCAT(B3480,A3520)</f>
        <v>3141EA9A-am</v>
      </c>
      <c r="C3520" s="40"/>
      <c r="D3520" s="193"/>
      <c r="E3520" s="41"/>
      <c r="F3520" s="42"/>
      <c r="G3520" s="43">
        <f>+G3503+G3512+G3518</f>
        <v>172462.92472448261</v>
      </c>
    </row>
    <row r="3521" spans="1:8" ht="21.75" thickBot="1">
      <c r="B3521" s="212" t="s">
        <v>550</v>
      </c>
      <c r="C3521" s="2"/>
      <c r="D3521" s="183"/>
      <c r="F3521" s="4"/>
      <c r="G3521" s="5"/>
    </row>
    <row r="3522" spans="1:8" s="45" customFormat="1" ht="34.5" customHeight="1">
      <c r="A3522" s="213"/>
      <c r="B3522" s="214">
        <v>81</v>
      </c>
      <c r="C3522" s="242" t="str">
        <f ca="1">_xlfn.XLOOKUP(B3522,Cantidades!$A$10:$A$314,Cantidades!$C$10:$C$314,,0,1)</f>
        <v>Suministro e instalación de tubería EMT 1-1/4"</v>
      </c>
      <c r="D3522" s="243"/>
      <c r="E3522" s="243"/>
      <c r="F3522" s="243"/>
      <c r="G3522" s="244"/>
      <c r="H3522" s="213"/>
    </row>
    <row r="3523" spans="1:8" s="47" customFormat="1" ht="24.95" customHeight="1" thickBot="1">
      <c r="A3523" s="215"/>
      <c r="B3523" s="216" t="s">
        <v>550</v>
      </c>
      <c r="C3523" s="177"/>
      <c r="D3523" s="189"/>
      <c r="E3523" s="178"/>
      <c r="F3523" s="179" t="s">
        <v>636</v>
      </c>
      <c r="G3523" s="209" t="str">
        <f ca="1">B3524</f>
        <v>16597CEC-</v>
      </c>
      <c r="H3523" s="215"/>
    </row>
    <row r="3524" spans="1:8" ht="28.5" customHeight="1" thickBot="1">
      <c r="B3524" s="212" t="str">
        <f ca="1">_xlfn.XLOOKUP(C3522,Cantidades!$C$1:$C$314,Cantidades!$B$1:$B$314,"",0,1)</f>
        <v>16597CEC-</v>
      </c>
      <c r="C3524" s="10" t="s">
        <v>0</v>
      </c>
      <c r="D3524" s="190"/>
      <c r="E3524" s="11"/>
      <c r="F3524" s="12"/>
      <c r="G3524" s="13"/>
    </row>
    <row r="3525" spans="1:8" s="47" customFormat="1" ht="23.25" customHeight="1" thickBot="1">
      <c r="A3525" s="215"/>
      <c r="B3525" s="216" t="s">
        <v>550</v>
      </c>
      <c r="C3525" s="14" t="s">
        <v>1</v>
      </c>
      <c r="D3525" s="15" t="s">
        <v>2</v>
      </c>
      <c r="E3525" s="15" t="s">
        <v>3</v>
      </c>
      <c r="F3525" s="16" t="s">
        <v>4</v>
      </c>
      <c r="G3525" s="15" t="s">
        <v>5</v>
      </c>
      <c r="H3525" s="215"/>
    </row>
    <row r="3526" spans="1:8" ht="15">
      <c r="A3526" s="211" t="s">
        <v>484</v>
      </c>
      <c r="B3526" s="216" t="str">
        <f ca="1">_xlfn.CONCAT(B3524,A3526)</f>
        <v>16597CEC-A</v>
      </c>
      <c r="C3526" s="17" t="str">
        <f>_xlfn.XLOOKUP(H3526,'Materiales unitario'!$A$1:$A$2500,'Materiales unitario'!B$1:B$2500,,0,1)</f>
        <v>Tubo metálico ø1 1/4" EMT</v>
      </c>
      <c r="D3526" s="184" t="str">
        <f>_xlfn.XLOOKUP(H3526,'Materiales unitario'!A$1:A$2500,'Materiales unitario'!C$1:C$2500,,0,1)</f>
        <v>ml</v>
      </c>
      <c r="E3526" s="197">
        <f>_xlfn.XLOOKUP(H3526,'Materiales unitario'!$A$1:$A$2500,'Materiales unitario'!D$1:D$2500,,0,1)</f>
        <v>28816.666666666668</v>
      </c>
      <c r="F3526" s="19">
        <v>1.05</v>
      </c>
      <c r="G3526" s="20">
        <f>+E3526*F3526</f>
        <v>30257.500000000004</v>
      </c>
      <c r="H3526" s="217" t="s">
        <v>838</v>
      </c>
    </row>
    <row r="3527" spans="1:8" ht="15">
      <c r="A3527" s="211" t="s">
        <v>485</v>
      </c>
      <c r="B3527" s="216" t="str">
        <f ca="1">_xlfn.CONCAT(B3524,A3527)</f>
        <v>16597CEC-B</v>
      </c>
      <c r="C3527" s="17" t="str">
        <f>_xlfn.XLOOKUP(H3527,'Materiales unitario'!$A$1:$A$2500,'Materiales unitario'!B$1:B$2500,,0,1)</f>
        <v>Unión metálica ø1 1/4" EMT</v>
      </c>
      <c r="D3527" s="184" t="str">
        <f>_xlfn.XLOOKUP(H3527,'Materiales unitario'!A$1:A$2500,'Materiales unitario'!C$1:C$2500,,0,1)</f>
        <v>un</v>
      </c>
      <c r="E3527" s="197">
        <f>_xlfn.XLOOKUP(H3527,'Materiales unitario'!$A$1:$A$2500,'Materiales unitario'!D$1:D$2500,,0,1)</f>
        <v>4420</v>
      </c>
      <c r="F3527" s="19">
        <v>0.35</v>
      </c>
      <c r="G3527" s="20">
        <f>+E3527*F3527</f>
        <v>1547</v>
      </c>
      <c r="H3527" s="217" t="s">
        <v>839</v>
      </c>
    </row>
    <row r="3528" spans="1:8" ht="15">
      <c r="A3528" s="211" t="s">
        <v>486</v>
      </c>
      <c r="B3528" s="216" t="str">
        <f ca="1">_xlfn.CONCAT(B3524,A3528)</f>
        <v>16597CEC-C</v>
      </c>
      <c r="C3528" s="17" t="str">
        <f>_xlfn.XLOOKUP(H3528,'Materiales unitario'!$A$1:$A$2500,'Materiales unitario'!B$1:B$2500,,0,1)</f>
        <v xml:space="preserve">Terminal metálico ø1 1/4" EMT </v>
      </c>
      <c r="D3528" s="184" t="str">
        <f>_xlfn.XLOOKUP(H3528,'Materiales unitario'!A$1:A$2500,'Materiales unitario'!C$1:C$2500,,0,1)</f>
        <v>un</v>
      </c>
      <c r="E3528" s="197">
        <f>_xlfn.XLOOKUP(H3528,'Materiales unitario'!$A$1:$A$2500,'Materiales unitario'!D$1:D$2500,,0,1)</f>
        <v>4612</v>
      </c>
      <c r="F3528" s="19">
        <v>0.1</v>
      </c>
      <c r="G3528" s="20">
        <f>+E3528*F3528</f>
        <v>461.20000000000005</v>
      </c>
      <c r="H3528" s="217" t="s">
        <v>840</v>
      </c>
    </row>
    <row r="3529" spans="1:8" ht="15">
      <c r="A3529" s="211" t="s">
        <v>487</v>
      </c>
      <c r="B3529" s="216" t="str">
        <f ca="1">_xlfn.CONCAT(B3524,A3529)</f>
        <v>16597CEC-D</v>
      </c>
      <c r="C3529" s="17" t="str">
        <f>_xlfn.XLOOKUP(H3529,'Materiales unitario'!$A$1:$A$2500,'Materiales unitario'!B$1:B$2500,,0,1)</f>
        <v>Curva metálica ø1 1/4" EMT</v>
      </c>
      <c r="D3529" s="184" t="str">
        <f>_xlfn.XLOOKUP(H3529,'Materiales unitario'!A$1:A$2500,'Materiales unitario'!C$1:C$2500,,0,1)</f>
        <v>un</v>
      </c>
      <c r="E3529" s="197">
        <f>_xlfn.XLOOKUP(H3529,'Materiales unitario'!$A$1:$A$2500,'Materiales unitario'!D$1:D$2500,,0,1)</f>
        <v>7915</v>
      </c>
      <c r="F3529" s="19">
        <v>0.1</v>
      </c>
      <c r="G3529" s="20">
        <f>+E3529*F3529</f>
        <v>791.5</v>
      </c>
      <c r="H3529" s="217" t="s">
        <v>841</v>
      </c>
    </row>
    <row r="3530" spans="1:8" ht="15">
      <c r="A3530" s="211" t="s">
        <v>488</v>
      </c>
      <c r="B3530" s="216" t="str">
        <f ca="1">_xlfn.CONCAT(B3524,A3530)</f>
        <v>16597CEC-E</v>
      </c>
      <c r="C3530" s="17" t="str">
        <f>_xlfn.XLOOKUP(H3530,'Materiales unitario'!$A$1:$A$2500,'Materiales unitario'!B$1:B$2500,,0,1)</f>
        <v>Soporte metalico 1 1/4"</v>
      </c>
      <c r="D3530" s="184" t="str">
        <f>_xlfn.XLOOKUP(H3530,'Materiales unitario'!A$1:A$2500,'Materiales unitario'!C$1:C$2500,,0,1)</f>
        <v>un</v>
      </c>
      <c r="E3530" s="197">
        <f>_xlfn.XLOOKUP(H3530,'Materiales unitario'!$A$1:$A$2500,'Materiales unitario'!D$1:D$2500,,0,1)</f>
        <v>3110</v>
      </c>
      <c r="F3530" s="19">
        <v>0.75</v>
      </c>
      <c r="G3530" s="20">
        <f>+E3530*F3530</f>
        <v>2332.5</v>
      </c>
      <c r="H3530" s="217" t="s">
        <v>769</v>
      </c>
    </row>
    <row r="3531" spans="1:8" ht="15">
      <c r="A3531" s="211" t="s">
        <v>489</v>
      </c>
      <c r="B3531" s="216" t="str">
        <f ca="1">_xlfn.CONCAT(B3524,A3531)</f>
        <v>16597CEC-F</v>
      </c>
      <c r="C3531" s="17"/>
      <c r="D3531" s="184"/>
      <c r="E3531" s="197"/>
      <c r="F3531" s="19"/>
      <c r="G3531" s="20"/>
      <c r="H3531" s="217"/>
    </row>
    <row r="3532" spans="1:8" ht="15">
      <c r="A3532" s="211" t="s">
        <v>490</v>
      </c>
      <c r="B3532" s="216" t="str">
        <f ca="1">_xlfn.CONCAT(B3524,A3532)</f>
        <v>16597CEC-G</v>
      </c>
      <c r="C3532" s="17"/>
      <c r="D3532" s="184"/>
      <c r="E3532" s="197"/>
      <c r="F3532" s="19"/>
      <c r="G3532" s="20"/>
      <c r="H3532" s="217"/>
    </row>
    <row r="3533" spans="1:8" ht="15">
      <c r="A3533" s="211" t="s">
        <v>491</v>
      </c>
      <c r="B3533" s="216" t="str">
        <f ca="1">_xlfn.CONCAT(B3524,A3533)</f>
        <v>16597CEC-H</v>
      </c>
      <c r="C3533" s="17"/>
      <c r="D3533" s="184"/>
      <c r="E3533" s="197"/>
      <c r="F3533" s="19"/>
      <c r="G3533" s="20"/>
      <c r="H3533" s="217"/>
    </row>
    <row r="3534" spans="1:8">
      <c r="A3534" s="211" t="s">
        <v>492</v>
      </c>
      <c r="B3534" s="216" t="str">
        <f ca="1">_xlfn.CONCAT(B3524,A3534)</f>
        <v>16597CEC-I</v>
      </c>
      <c r="C3534" s="17"/>
      <c r="D3534" s="184"/>
      <c r="E3534" s="197"/>
      <c r="F3534" s="19"/>
      <c r="G3534" s="20"/>
    </row>
    <row r="3535" spans="1:8">
      <c r="A3535" s="211" t="s">
        <v>493</v>
      </c>
      <c r="B3535" s="216" t="str">
        <f ca="1">_xlfn.CONCAT(B3524,A3535)</f>
        <v>16597CEC-J</v>
      </c>
      <c r="C3535" s="17"/>
      <c r="D3535" s="184"/>
      <c r="E3535" s="197"/>
      <c r="F3535" s="19"/>
      <c r="G3535" s="20"/>
    </row>
    <row r="3536" spans="1:8">
      <c r="A3536" s="211" t="s">
        <v>494</v>
      </c>
      <c r="B3536" s="216" t="str">
        <f ca="1">_xlfn.CONCAT(B3524,A3536)</f>
        <v>16597CEC-K</v>
      </c>
      <c r="C3536" s="17"/>
      <c r="D3536" s="184"/>
      <c r="E3536" s="197"/>
      <c r="F3536" s="19"/>
      <c r="G3536" s="20"/>
    </row>
    <row r="3537" spans="1:8">
      <c r="A3537" s="211" t="s">
        <v>495</v>
      </c>
      <c r="B3537" s="216" t="str">
        <f ca="1">_xlfn.CONCAT(B3524,A3537)</f>
        <v>16597CEC-L</v>
      </c>
      <c r="C3537" s="17"/>
      <c r="D3537" s="184"/>
      <c r="E3537" s="197"/>
      <c r="F3537" s="19"/>
      <c r="G3537" s="20"/>
    </row>
    <row r="3538" spans="1:8">
      <c r="A3538" s="211" t="s">
        <v>496</v>
      </c>
      <c r="B3538" s="216" t="str">
        <f ca="1">_xlfn.CONCAT(B3524,A3538)</f>
        <v>16597CEC-M</v>
      </c>
      <c r="C3538" s="17"/>
      <c r="D3538" s="184"/>
      <c r="E3538" s="197"/>
      <c r="F3538" s="19"/>
      <c r="G3538" s="20"/>
    </row>
    <row r="3539" spans="1:8">
      <c r="A3539" s="211" t="s">
        <v>497</v>
      </c>
      <c r="B3539" s="216" t="str">
        <f ca="1">_xlfn.CONCAT(B3524,A3539)</f>
        <v>16597CEC-N</v>
      </c>
      <c r="C3539" s="17"/>
      <c r="D3539" s="184"/>
      <c r="E3539" s="197"/>
      <c r="F3539" s="19"/>
      <c r="G3539" s="20"/>
    </row>
    <row r="3540" spans="1:8">
      <c r="A3540" s="211" t="s">
        <v>498</v>
      </c>
      <c r="B3540" s="216" t="str">
        <f ca="1">_xlfn.CONCAT(B3524,A3540)</f>
        <v>16597CEC-O</v>
      </c>
      <c r="C3540" s="17"/>
      <c r="D3540" s="184"/>
      <c r="E3540" s="197"/>
      <c r="F3540" s="19"/>
      <c r="G3540" s="20"/>
    </row>
    <row r="3541" spans="1:8">
      <c r="A3541" s="211" t="s">
        <v>499</v>
      </c>
      <c r="B3541" s="216" t="str">
        <f ca="1">_xlfn.CONCAT(B3524,A3541)</f>
        <v>16597CEC-P</v>
      </c>
      <c r="C3541" s="17"/>
      <c r="D3541" s="184"/>
      <c r="E3541" s="197"/>
      <c r="F3541" s="19"/>
      <c r="G3541" s="20"/>
    </row>
    <row r="3542" spans="1:8">
      <c r="A3542" s="211" t="s">
        <v>500</v>
      </c>
      <c r="B3542" s="216" t="str">
        <f ca="1">_xlfn.CONCAT(B3524,A3542)</f>
        <v>16597CEC-Q</v>
      </c>
      <c r="C3542" s="17"/>
      <c r="D3542" s="184"/>
      <c r="E3542" s="197"/>
      <c r="F3542" s="19"/>
      <c r="G3542" s="20"/>
    </row>
    <row r="3543" spans="1:8">
      <c r="A3543" s="211" t="s">
        <v>501</v>
      </c>
      <c r="B3543" s="216" t="str">
        <f ca="1">_xlfn.CONCAT(B3524,A3543)</f>
        <v>16597CEC-R</v>
      </c>
      <c r="C3543" s="17"/>
      <c r="D3543" s="184"/>
      <c r="E3543" s="197"/>
      <c r="F3543" s="19"/>
      <c r="G3543" s="20"/>
    </row>
    <row r="3544" spans="1:8">
      <c r="A3544" s="211" t="s">
        <v>502</v>
      </c>
      <c r="B3544" s="216" t="str">
        <f ca="1">_xlfn.CONCAT(B3524,A3544)</f>
        <v>16597CEC-S</v>
      </c>
      <c r="C3544" s="17"/>
      <c r="D3544" s="184"/>
      <c r="E3544" s="197"/>
      <c r="F3544" s="19"/>
      <c r="G3544" s="20"/>
    </row>
    <row r="3545" spans="1:8">
      <c r="A3545" s="211" t="s">
        <v>503</v>
      </c>
      <c r="B3545" s="216" t="str">
        <f ca="1">_xlfn.CONCAT(B3524,A3545)</f>
        <v>16597CEC-T</v>
      </c>
      <c r="C3545" s="17"/>
      <c r="D3545" s="184"/>
      <c r="E3545" s="197"/>
      <c r="F3545" s="19"/>
      <c r="G3545" s="20"/>
    </row>
    <row r="3546" spans="1:8" ht="14.25" thickBot="1">
      <c r="A3546" s="211" t="s">
        <v>504</v>
      </c>
      <c r="B3546" s="216" t="str">
        <f ca="1">_xlfn.CONCAT(B3524,A3546)</f>
        <v>16597CEC-U</v>
      </c>
      <c r="C3546" s="17"/>
      <c r="D3546" s="184"/>
      <c r="E3546" s="197"/>
      <c r="F3546" s="19"/>
      <c r="G3546" s="20"/>
    </row>
    <row r="3547" spans="1:8" ht="16.5" customHeight="1" thickBot="1">
      <c r="A3547" s="211" t="s">
        <v>505</v>
      </c>
      <c r="B3547" s="216" t="str">
        <f ca="1">_xlfn.CONCAT(B3524,A3547)</f>
        <v>16597CEC-V</v>
      </c>
      <c r="C3547" s="17" t="s">
        <v>17</v>
      </c>
      <c r="D3547" s="192" t="s">
        <v>17</v>
      </c>
      <c r="E3547" s="18"/>
      <c r="F3547" s="22" t="s">
        <v>18</v>
      </c>
      <c r="G3547" s="23">
        <f>SUM(G3526:G3546)</f>
        <v>35389.700000000004</v>
      </c>
    </row>
    <row r="3548" spans="1:8" ht="28.5" customHeight="1" thickBot="1">
      <c r="A3548" s="211" t="s">
        <v>506</v>
      </c>
      <c r="B3548" s="216" t="str">
        <f ca="1">_xlfn.CONCAT(B3524,A3548)</f>
        <v>16597CEC-W</v>
      </c>
      <c r="C3548" s="10" t="s">
        <v>19</v>
      </c>
      <c r="D3548" s="190"/>
      <c r="E3548" s="11"/>
      <c r="F3548" s="12"/>
      <c r="G3548" s="13"/>
    </row>
    <row r="3549" spans="1:8" s="47" customFormat="1" ht="23.25" customHeight="1" thickBot="1">
      <c r="A3549" s="211" t="s">
        <v>507</v>
      </c>
      <c r="B3549" s="216" t="str">
        <f ca="1">_xlfn.CONCAT(B3524,A3549)</f>
        <v>16597CEC-X</v>
      </c>
      <c r="C3549" s="14" t="s">
        <v>1</v>
      </c>
      <c r="D3549" s="15"/>
      <c r="E3549" s="15" t="s">
        <v>20</v>
      </c>
      <c r="F3549" s="16" t="s">
        <v>21</v>
      </c>
      <c r="G3549" s="15" t="s">
        <v>5</v>
      </c>
      <c r="H3549" s="215"/>
    </row>
    <row r="3550" spans="1:8">
      <c r="A3550" s="211" t="s">
        <v>508</v>
      </c>
      <c r="B3550" s="216" t="str">
        <f ca="1">_xlfn.CONCAT(B3524,A3550)</f>
        <v>16597CEC-Y</v>
      </c>
      <c r="C3550" s="24" t="s">
        <v>22</v>
      </c>
      <c r="D3550" s="184"/>
      <c r="E3550" s="25">
        <f>_xlfn.XLOOKUP(C3550,'H-MO'!B$7:B$30,'H-MO'!D$7:D$30,,0,1)</f>
        <v>2436.5624999999995</v>
      </c>
      <c r="F3550" s="19">
        <v>0.4</v>
      </c>
      <c r="G3550" s="33">
        <f t="shared" ref="G3550:G3555" si="101">+E3550*F3550</f>
        <v>974.62499999999989</v>
      </c>
    </row>
    <row r="3551" spans="1:8">
      <c r="A3551" s="211" t="s">
        <v>509</v>
      </c>
      <c r="B3551" s="216" t="str">
        <f ca="1">_xlfn.CONCAT(B3524,A3551)</f>
        <v>16597CEC-Z</v>
      </c>
      <c r="C3551" s="24" t="s">
        <v>23</v>
      </c>
      <c r="D3551" s="184"/>
      <c r="E3551" s="25">
        <f>_xlfn.XLOOKUP(C3551,'H-MO'!B$7:B$30,'H-MO'!D$7:D$30,,0,1)</f>
        <v>1461.9374999999998</v>
      </c>
      <c r="F3551" s="19">
        <v>0.05</v>
      </c>
      <c r="G3551" s="33">
        <f t="shared" si="101"/>
        <v>73.096874999999997</v>
      </c>
    </row>
    <row r="3552" spans="1:8">
      <c r="A3552" s="211" t="s">
        <v>510</v>
      </c>
      <c r="B3552" s="216" t="str">
        <f ca="1">_xlfn.CONCAT(B3524,A3552)</f>
        <v>16597CEC-aa</v>
      </c>
      <c r="C3552" s="24" t="s">
        <v>24</v>
      </c>
      <c r="D3552" s="185"/>
      <c r="E3552" s="25">
        <f>_xlfn.XLOOKUP(C3552,'H-MO'!B$7:B$30,'H-MO'!D$7:D$30,,0,1)</f>
        <v>29238.749999999996</v>
      </c>
      <c r="F3552" s="28">
        <v>0.02</v>
      </c>
      <c r="G3552" s="33">
        <f t="shared" si="101"/>
        <v>584.77499999999998</v>
      </c>
    </row>
    <row r="3553" spans="1:8">
      <c r="A3553" s="211" t="s">
        <v>511</v>
      </c>
      <c r="B3553" s="216" t="str">
        <f ca="1">_xlfn.CONCAT(B3524,A3553)</f>
        <v>16597CEC-ab</v>
      </c>
      <c r="C3553" s="24" t="s">
        <v>25</v>
      </c>
      <c r="D3553" s="185"/>
      <c r="E3553" s="25">
        <f>_xlfn.XLOOKUP(C3553,'H-MO'!B$7:B$30,'H-MO'!D$7:D$30,,0,1)</f>
        <v>2761.4374999999995</v>
      </c>
      <c r="F3553" s="28">
        <v>0.1</v>
      </c>
      <c r="G3553" s="33">
        <f t="shared" si="101"/>
        <v>276.14374999999995</v>
      </c>
    </row>
    <row r="3554" spans="1:8">
      <c r="A3554" s="211" t="s">
        <v>512</v>
      </c>
      <c r="B3554" s="216" t="str">
        <f ca="1">_xlfn.CONCAT(B3524,A3554)</f>
        <v>16597CEC-ac</v>
      </c>
      <c r="C3554" s="24"/>
      <c r="D3554" s="185"/>
      <c r="E3554" s="29"/>
      <c r="F3554" s="28"/>
      <c r="G3554" s="33">
        <f t="shared" si="101"/>
        <v>0</v>
      </c>
    </row>
    <row r="3555" spans="1:8" ht="14.25" thickBot="1">
      <c r="A3555" s="211" t="s">
        <v>513</v>
      </c>
      <c r="B3555" s="216" t="str">
        <f ca="1">_xlfn.CONCAT(B3524,A3555)</f>
        <v>16597CEC-ad</v>
      </c>
      <c r="C3555" s="24"/>
      <c r="D3555" s="185"/>
      <c r="E3555" s="29"/>
      <c r="F3555" s="28"/>
      <c r="G3555" s="33">
        <f t="shared" si="101"/>
        <v>0</v>
      </c>
    </row>
    <row r="3556" spans="1:8" ht="16.5" customHeight="1" thickBot="1">
      <c r="A3556" s="211" t="s">
        <v>514</v>
      </c>
      <c r="B3556" s="216" t="str">
        <f ca="1">_xlfn.CONCAT(B3524,A3556)</f>
        <v>16597CEC-ae</v>
      </c>
      <c r="C3556" s="17"/>
      <c r="D3556" s="192"/>
      <c r="E3556" s="18"/>
      <c r="F3556" s="22" t="s">
        <v>26</v>
      </c>
      <c r="G3556" s="23">
        <f>SUM(G3550:G3555)</f>
        <v>1908.6406249999998</v>
      </c>
    </row>
    <row r="3557" spans="1:8" ht="28.5" customHeight="1" thickBot="1">
      <c r="A3557" s="211" t="s">
        <v>515</v>
      </c>
      <c r="B3557" s="216" t="str">
        <f ca="1">_xlfn.CONCAT(B3524,A3557)</f>
        <v>16597CEC-af</v>
      </c>
      <c r="C3557" s="10" t="s">
        <v>27</v>
      </c>
      <c r="D3557" s="190"/>
      <c r="E3557" s="11"/>
      <c r="F3557" s="12"/>
      <c r="G3557" s="13"/>
    </row>
    <row r="3558" spans="1:8" s="47" customFormat="1" ht="23.25" customHeight="1" thickBot="1">
      <c r="A3558" s="211" t="s">
        <v>516</v>
      </c>
      <c r="B3558" s="216" t="str">
        <f ca="1">_xlfn.CONCAT(B3524,A3558)</f>
        <v>16597CEC-ag</v>
      </c>
      <c r="C3558" s="14" t="s">
        <v>1</v>
      </c>
      <c r="D3558" s="15" t="s">
        <v>28</v>
      </c>
      <c r="E3558" s="15" t="s">
        <v>20</v>
      </c>
      <c r="F3558" s="16" t="s">
        <v>21</v>
      </c>
      <c r="G3558" s="15" t="s">
        <v>5</v>
      </c>
      <c r="H3558" s="215"/>
    </row>
    <row r="3559" spans="1:8">
      <c r="A3559" s="211" t="s">
        <v>517</v>
      </c>
      <c r="B3559" s="216" t="str">
        <f ca="1">_xlfn.CONCAT(B3524,A3559)</f>
        <v>16597CEC-ah</v>
      </c>
      <c r="C3559" s="30" t="s">
        <v>29</v>
      </c>
      <c r="D3559" s="186">
        <f>'H-MO'!$N$77</f>
        <v>725918.52892505517</v>
      </c>
      <c r="E3559" s="31">
        <f>+D3559/8</f>
        <v>90739.816115631897</v>
      </c>
      <c r="F3559" s="32">
        <v>0.4</v>
      </c>
      <c r="G3559" s="33">
        <f>+E3559*F3559</f>
        <v>36295.926446252757</v>
      </c>
    </row>
    <row r="3560" spans="1:8">
      <c r="A3560" s="211" t="s">
        <v>518</v>
      </c>
      <c r="B3560" s="216" t="str">
        <f ca="1">_xlfn.CONCAT(B3524,A3560)</f>
        <v>16597CEC-ai</v>
      </c>
      <c r="C3560" s="34" t="s">
        <v>30</v>
      </c>
      <c r="D3560" s="187">
        <f>'H-MO'!$N$86</f>
        <v>685561.39085756091</v>
      </c>
      <c r="E3560" s="29">
        <f>+D3560/8</f>
        <v>85695.173857195114</v>
      </c>
      <c r="F3560" s="28">
        <v>0.03</v>
      </c>
      <c r="G3560" s="33">
        <f>+E3560*F3560</f>
        <v>2570.8552157158533</v>
      </c>
    </row>
    <row r="3561" spans="1:8" ht="14.25" thickBot="1">
      <c r="A3561" s="211" t="s">
        <v>519</v>
      </c>
      <c r="B3561" s="216" t="str">
        <f ca="1">_xlfn.CONCAT(B3524,A3561)</f>
        <v>16597CEC-aj</v>
      </c>
      <c r="C3561" s="34"/>
      <c r="D3561" s="187"/>
      <c r="E3561" s="29"/>
      <c r="F3561" s="28"/>
      <c r="G3561" s="33">
        <f>+E3561*F3561</f>
        <v>0</v>
      </c>
    </row>
    <row r="3562" spans="1:8" ht="17.25" customHeight="1" thickBot="1">
      <c r="A3562" s="211" t="s">
        <v>520</v>
      </c>
      <c r="B3562" s="216" t="str">
        <f ca="1">_xlfn.CONCAT(B3524,A3562)</f>
        <v>16597CEC-ak</v>
      </c>
      <c r="C3562" s="34"/>
      <c r="D3562" s="185"/>
      <c r="E3562" s="26"/>
      <c r="F3562" s="36" t="s">
        <v>31</v>
      </c>
      <c r="G3562" s="23">
        <f>SUM(G3559:G3561)</f>
        <v>38866.781661968613</v>
      </c>
    </row>
    <row r="3563" spans="1:8" ht="14.25" thickBot="1">
      <c r="A3563" s="211" t="s">
        <v>521</v>
      </c>
      <c r="B3563" s="216" t="str">
        <f ca="1">_xlfn.CONCAT(B3524,A3563)</f>
        <v>16597CEC-al</v>
      </c>
      <c r="C3563" s="37"/>
      <c r="E3563" s="38"/>
      <c r="F3563" s="22"/>
      <c r="G3563" s="39"/>
    </row>
    <row r="3564" spans="1:8" ht="23.25" customHeight="1" thickBot="1">
      <c r="A3564" s="211" t="s">
        <v>522</v>
      </c>
      <c r="B3564" s="216" t="str">
        <f ca="1">_xlfn.CONCAT(B3524,A3564)</f>
        <v>16597CEC-am</v>
      </c>
      <c r="C3564" s="40"/>
      <c r="D3564" s="193"/>
      <c r="E3564" s="41"/>
      <c r="F3564" s="42"/>
      <c r="G3564" s="43">
        <f>+G3547+G3556+G3562</f>
        <v>76165.122286968617</v>
      </c>
    </row>
    <row r="3565" spans="1:8" ht="21">
      <c r="B3565" s="212" t="s">
        <v>550</v>
      </c>
      <c r="C3565" s="2"/>
      <c r="D3565" s="183"/>
      <c r="F3565" s="4"/>
      <c r="G3565" s="5"/>
    </row>
    <row r="3566" spans="1:8" s="45" customFormat="1" ht="34.5" customHeight="1">
      <c r="A3566" s="213"/>
      <c r="B3566" s="214"/>
      <c r="C3566" s="245"/>
      <c r="D3566" s="245"/>
      <c r="E3566" s="245"/>
      <c r="F3566" s="245"/>
      <c r="G3566" s="245"/>
      <c r="H3566" s="213"/>
    </row>
    <row r="3610" spans="3:7" s="45" customFormat="1" ht="34.5" customHeight="1">
      <c r="C3610" s="245"/>
      <c r="D3610" s="245"/>
      <c r="E3610" s="245"/>
      <c r="F3610" s="245"/>
      <c r="G3610" s="245"/>
    </row>
    <row r="3653" spans="1:8" ht="14.25" thickBot="1"/>
    <row r="3654" spans="1:8" s="45" customFormat="1" ht="34.5" customHeight="1">
      <c r="A3654" s="213"/>
      <c r="B3654" s="214">
        <v>84</v>
      </c>
      <c r="C3654" s="242" t="str">
        <f ca="1">_xlfn.XLOOKUP(B3654,Cantidades!$A$10:$A$314,Cantidades!$C$10:$C$314,,0,1)</f>
        <v>Suministro e instalación de salida Iluminación. Incliye tubería EMT, accesorios, caja de conexiones, cableado, señalización y demás elementos para su puesta en servicio.</v>
      </c>
      <c r="D3654" s="243"/>
      <c r="E3654" s="243"/>
      <c r="F3654" s="243"/>
      <c r="G3654" s="244"/>
      <c r="H3654" s="213"/>
    </row>
    <row r="3655" spans="1:8" ht="19.5" thickBot="1">
      <c r="A3655" s="215"/>
      <c r="B3655" s="216" t="s">
        <v>550</v>
      </c>
      <c r="C3655" s="177"/>
      <c r="D3655" s="189"/>
      <c r="E3655" s="178"/>
      <c r="F3655" s="179" t="s">
        <v>636</v>
      </c>
      <c r="G3655" s="209" t="str">
        <f ca="1">B3656</f>
        <v>1B56132A-</v>
      </c>
      <c r="H3655" s="215"/>
    </row>
    <row r="3656" spans="1:8" ht="15.75" thickBot="1">
      <c r="B3656" s="212" t="str">
        <f ca="1">_xlfn.XLOOKUP(C3654,Cantidades!$C$1:$C$314,Cantidades!$B$1:$B$314,"",0,1)</f>
        <v>1B56132A-</v>
      </c>
      <c r="C3656" s="10" t="s">
        <v>0</v>
      </c>
      <c r="D3656" s="190"/>
      <c r="E3656" s="11"/>
      <c r="F3656" s="12"/>
      <c r="G3656" s="13"/>
    </row>
    <row r="3657" spans="1:8" ht="14.25" thickBot="1">
      <c r="A3657" s="215"/>
      <c r="B3657" s="216" t="s">
        <v>550</v>
      </c>
      <c r="C3657" s="14" t="s">
        <v>1</v>
      </c>
      <c r="D3657" s="15" t="s">
        <v>2</v>
      </c>
      <c r="E3657" s="15" t="s">
        <v>3</v>
      </c>
      <c r="F3657" s="16" t="s">
        <v>4</v>
      </c>
      <c r="G3657" s="15" t="s">
        <v>5</v>
      </c>
      <c r="H3657" s="215"/>
    </row>
    <row r="3658" spans="1:8">
      <c r="A3658" s="211" t="s">
        <v>484</v>
      </c>
      <c r="B3658" s="216" t="str">
        <f ca="1">_xlfn.CONCAT(B3656,A3658)</f>
        <v>1B56132A-A</v>
      </c>
      <c r="C3658" s="17" t="str">
        <f>_xlfn.XLOOKUP(H3658,'Materiales unitario'!$A$1:$A$2500,'Materiales unitario'!B$1:B$2500,,0,1)</f>
        <v>Tubo metálico ø3/4" EMT</v>
      </c>
      <c r="D3658" s="184" t="str">
        <f>_xlfn.XLOOKUP(H3658,'Materiales unitario'!A$1:A$2500,'Materiales unitario'!C$1:C$2500,,0,1)</f>
        <v>ml</v>
      </c>
      <c r="E3658" s="197">
        <f>_xlfn.XLOOKUP(H3658,'Materiales unitario'!$A$1:$A$2500,'Materiales unitario'!D$1:D$2500,,0,1)</f>
        <v>11733</v>
      </c>
      <c r="F3658" s="19">
        <v>4.5</v>
      </c>
      <c r="G3658" s="20">
        <f t="shared" ref="G3658:G3666" si="102">+E3658*F3658</f>
        <v>52798.5</v>
      </c>
      <c r="H3658" s="211" t="s">
        <v>388</v>
      </c>
    </row>
    <row r="3659" spans="1:8">
      <c r="A3659" s="211" t="s">
        <v>485</v>
      </c>
      <c r="B3659" s="216" t="str">
        <f ca="1">_xlfn.CONCAT(B3656,A3659)</f>
        <v>1B56132A-B</v>
      </c>
      <c r="C3659" s="17" t="str">
        <f>_xlfn.XLOOKUP(H3659,'Materiales unitario'!$A$1:$A$2500,'Materiales unitario'!B$1:B$2500,,0,1)</f>
        <v>Unión metálica ø3/4" EMT</v>
      </c>
      <c r="D3659" s="184" t="str">
        <f>_xlfn.XLOOKUP(H3659,'Materiales unitario'!A$1:A$2500,'Materiales unitario'!C$1:C$2500,,0,1)</f>
        <v>un</v>
      </c>
      <c r="E3659" s="197">
        <f>_xlfn.XLOOKUP(H3659,'Materiales unitario'!$A$1:$A$2500,'Materiales unitario'!D$1:D$2500,,0,1)</f>
        <v>1800</v>
      </c>
      <c r="F3659" s="19">
        <v>2</v>
      </c>
      <c r="G3659" s="20">
        <f t="shared" si="102"/>
        <v>3600</v>
      </c>
      <c r="H3659" s="211" t="s">
        <v>392</v>
      </c>
    </row>
    <row r="3660" spans="1:8">
      <c r="A3660" s="211" t="s">
        <v>486</v>
      </c>
      <c r="B3660" s="216" t="str">
        <f ca="1">_xlfn.CONCAT(B3656,A3660)</f>
        <v>1B56132A-C</v>
      </c>
      <c r="C3660" s="17" t="str">
        <f>_xlfn.XLOOKUP(H3660,'Materiales unitario'!$A$1:$A$2500,'Materiales unitario'!B$1:B$2500,,0,1)</f>
        <v xml:space="preserve">Terminal metálico ø3/4" EMT </v>
      </c>
      <c r="D3660" s="184" t="str">
        <f>_xlfn.XLOOKUP(H3660,'Materiales unitario'!A$1:A$2500,'Materiales unitario'!C$1:C$2500,,0,1)</f>
        <v>un</v>
      </c>
      <c r="E3660" s="197">
        <f>_xlfn.XLOOKUP(H3660,'Materiales unitario'!$A$1:$A$2500,'Materiales unitario'!D$1:D$2500,,0,1)</f>
        <v>2200</v>
      </c>
      <c r="F3660" s="19">
        <v>2</v>
      </c>
      <c r="G3660" s="20">
        <f t="shared" si="102"/>
        <v>4400</v>
      </c>
      <c r="H3660" s="211" t="s">
        <v>371</v>
      </c>
    </row>
    <row r="3661" spans="1:8">
      <c r="A3661" s="211" t="s">
        <v>487</v>
      </c>
      <c r="B3661" s="216" t="str">
        <f ca="1">_xlfn.CONCAT(B3656,A3661)</f>
        <v>1B56132A-D</v>
      </c>
      <c r="C3661" s="17" t="str">
        <f>_xlfn.XLOOKUP(H3661,'Materiales unitario'!$A$1:$A$2500,'Materiales unitario'!B$1:B$2500,,0,1)</f>
        <v xml:space="preserve">Soporte Metálico Uniestruc Tubería ø3/4" </v>
      </c>
      <c r="D3661" s="184" t="str">
        <f>_xlfn.XLOOKUP(H3661,'Materiales unitario'!A$1:A$2500,'Materiales unitario'!C$1:C$2500,,0,1)</f>
        <v>un</v>
      </c>
      <c r="E3661" s="197">
        <f>_xlfn.XLOOKUP(H3661,'Materiales unitario'!$A$1:$A$2500,'Materiales unitario'!D$1:D$2500,,0,1)</f>
        <v>630</v>
      </c>
      <c r="F3661" s="19">
        <v>2</v>
      </c>
      <c r="G3661" s="20">
        <f t="shared" si="102"/>
        <v>1260</v>
      </c>
      <c r="H3661" s="211" t="s">
        <v>356</v>
      </c>
    </row>
    <row r="3662" spans="1:8">
      <c r="A3662" s="211" t="s">
        <v>488</v>
      </c>
      <c r="B3662" s="216" t="str">
        <f ca="1">_xlfn.CONCAT(B3656,A3662)</f>
        <v>1B56132A-E</v>
      </c>
      <c r="C3662" s="17" t="str">
        <f>_xlfn.XLOOKUP(H3662,'Materiales unitario'!$A$1:$A$2500,'Materiales unitario'!B$1:B$2500,,0,1)</f>
        <v>Alambre de cobre desnudo #12 AWG-ED</v>
      </c>
      <c r="D3662" s="184" t="str">
        <f>_xlfn.XLOOKUP(H3662,'Materiales unitario'!A$1:A$2500,'Materiales unitario'!C$1:C$2500,,0,1)</f>
        <v>ml</v>
      </c>
      <c r="E3662" s="197">
        <f>_xlfn.XLOOKUP(H3662,'Materiales unitario'!$A$1:$A$2500,'Materiales unitario'!D$1:D$2500,,0,1)</f>
        <v>2558.5</v>
      </c>
      <c r="F3662" s="19">
        <v>5.5</v>
      </c>
      <c r="G3662" s="20">
        <f t="shared" si="102"/>
        <v>14071.75</v>
      </c>
      <c r="H3662" s="211" t="s">
        <v>227</v>
      </c>
    </row>
    <row r="3663" spans="1:8">
      <c r="A3663" s="211" t="s">
        <v>489</v>
      </c>
      <c r="B3663" s="216" t="str">
        <f ca="1">_xlfn.CONCAT(B3656,A3663)</f>
        <v>1B56132A-F</v>
      </c>
      <c r="C3663" s="17" t="str">
        <f>_xlfn.XLOOKUP(H3663,'Materiales unitario'!$A$1:$A$2500,'Materiales unitario'!B$1:B$2500,,0,1)</f>
        <v>Alambre de cobre aislado #12 AWG-THHN/THWN Color negro</v>
      </c>
      <c r="D3663" s="184" t="str">
        <f>_xlfn.XLOOKUP(H3663,'Materiales unitario'!A$1:A$2500,'Materiales unitario'!C$1:C$2500,,0,1)</f>
        <v>ml</v>
      </c>
      <c r="E3663" s="197">
        <f>_xlfn.XLOOKUP(H3663,'Materiales unitario'!$A$1:$A$2500,'Materiales unitario'!D$1:D$2500,,0,1)</f>
        <v>2975</v>
      </c>
      <c r="F3663" s="19">
        <v>11</v>
      </c>
      <c r="G3663" s="20">
        <f t="shared" si="102"/>
        <v>32725</v>
      </c>
      <c r="H3663" s="211" t="s">
        <v>524</v>
      </c>
    </row>
    <row r="3664" spans="1:8">
      <c r="A3664" s="211" t="s">
        <v>490</v>
      </c>
      <c r="B3664" s="216" t="str">
        <f ca="1">_xlfn.CONCAT(B3656,A3664)</f>
        <v>1B56132A-G</v>
      </c>
      <c r="C3664" s="17" t="str">
        <f>_xlfn.XLOOKUP(H3664,'Materiales unitario'!$A$1:$A$2500,'Materiales unitario'!B$1:B$2500,,0,1)</f>
        <v>Conector de resorte rojo "R" 18-10 AWG</v>
      </c>
      <c r="D3664" s="184" t="str">
        <f>_xlfn.XLOOKUP(H3664,'Materiales unitario'!A$1:A$2500,'Materiales unitario'!C$1:C$2500,,0,1)</f>
        <v>un</v>
      </c>
      <c r="E3664" s="197">
        <f>_xlfn.XLOOKUP(H3664,'Materiales unitario'!$A$1:$A$2500,'Materiales unitario'!D$1:D$2500,,0,1)</f>
        <v>280</v>
      </c>
      <c r="F3664" s="19">
        <v>3</v>
      </c>
      <c r="G3664" s="20">
        <f t="shared" si="102"/>
        <v>840</v>
      </c>
      <c r="H3664" s="211" t="s">
        <v>302</v>
      </c>
    </row>
    <row r="3665" spans="1:8">
      <c r="A3665" s="211" t="s">
        <v>491</v>
      </c>
      <c r="B3665" s="216" t="str">
        <f ca="1">_xlfn.CONCAT(B3656,A3665)</f>
        <v>1B56132A-H</v>
      </c>
      <c r="C3665" s="17" t="str">
        <f>_xlfn.XLOOKUP(H3665,'Materiales unitario'!$A$1:$A$2500,'Materiales unitario'!B$1:B$2500,,0,1)</f>
        <v xml:space="preserve">Caja galvanizada ref. 2400 + suplemento (Cal. 20) </v>
      </c>
      <c r="D3665" s="184" t="str">
        <f>_xlfn.XLOOKUP(H3665,'Materiales unitario'!A$1:A$2500,'Materiales unitario'!C$1:C$2500,,0,1)</f>
        <v>un</v>
      </c>
      <c r="E3665" s="197">
        <f>_xlfn.XLOOKUP(H3665,'Materiales unitario'!$A$1:$A$2500,'Materiales unitario'!D$1:D$2500,,0,1)</f>
        <v>4522</v>
      </c>
      <c r="F3665" s="19">
        <v>1</v>
      </c>
      <c r="G3665" s="20">
        <f t="shared" si="102"/>
        <v>4522</v>
      </c>
      <c r="H3665" s="211" t="s">
        <v>283</v>
      </c>
    </row>
    <row r="3666" spans="1:8">
      <c r="A3666" s="211" t="s">
        <v>492</v>
      </c>
      <c r="B3666" s="216" t="str">
        <f ca="1">_xlfn.CONCAT(B3656,A3666)</f>
        <v>1B56132A-I</v>
      </c>
      <c r="C3666" s="17" t="str">
        <f>_xlfn.XLOOKUP(H3666,'Materiales unitario'!$A$1:$A$2500,'Materiales unitario'!B$1:B$2500,,0,1)</f>
        <v>Marquillas para circuito</v>
      </c>
      <c r="D3666" s="184" t="str">
        <f>_xlfn.XLOOKUP(H3666,'Materiales unitario'!A$1:A$2500,'Materiales unitario'!C$1:C$2500,,0,1)</f>
        <v>un</v>
      </c>
      <c r="E3666" s="197">
        <f>_xlfn.XLOOKUP(H3666,'Materiales unitario'!$A$1:$A$2500,'Materiales unitario'!D$1:D$2500,,0,1)</f>
        <v>1000</v>
      </c>
      <c r="F3666" s="19">
        <v>3</v>
      </c>
      <c r="G3666" s="20">
        <f t="shared" si="102"/>
        <v>3000</v>
      </c>
      <c r="H3666" s="211" t="s">
        <v>339</v>
      </c>
    </row>
    <row r="3667" spans="1:8">
      <c r="A3667" s="211" t="s">
        <v>493</v>
      </c>
      <c r="B3667" s="216" t="str">
        <f ca="1">_xlfn.CONCAT(B3656,A3667)</f>
        <v>1B56132A-J</v>
      </c>
      <c r="C3667" s="17"/>
      <c r="D3667" s="184"/>
      <c r="E3667" s="197"/>
      <c r="F3667" s="19"/>
      <c r="G3667" s="20"/>
    </row>
    <row r="3668" spans="1:8">
      <c r="A3668" s="211" t="s">
        <v>494</v>
      </c>
      <c r="B3668" s="216" t="str">
        <f ca="1">_xlfn.CONCAT(B3656,A3668)</f>
        <v>1B56132A-K</v>
      </c>
      <c r="C3668" s="17"/>
      <c r="D3668" s="184"/>
      <c r="E3668" s="197"/>
      <c r="F3668" s="19"/>
      <c r="G3668" s="20"/>
    </row>
    <row r="3669" spans="1:8">
      <c r="A3669" s="211" t="s">
        <v>495</v>
      </c>
      <c r="B3669" s="216" t="str">
        <f ca="1">_xlfn.CONCAT(B3656,A3669)</f>
        <v>1B56132A-L</v>
      </c>
      <c r="C3669" s="17"/>
      <c r="D3669" s="184"/>
      <c r="E3669" s="197"/>
      <c r="F3669" s="19"/>
      <c r="G3669" s="20"/>
    </row>
    <row r="3670" spans="1:8">
      <c r="A3670" s="211" t="s">
        <v>496</v>
      </c>
      <c r="B3670" s="216" t="str">
        <f ca="1">_xlfn.CONCAT(B3656,A3670)</f>
        <v>1B56132A-M</v>
      </c>
      <c r="C3670" s="17"/>
      <c r="D3670" s="184"/>
      <c r="E3670" s="197"/>
      <c r="F3670" s="19"/>
      <c r="G3670" s="20"/>
    </row>
    <row r="3671" spans="1:8">
      <c r="A3671" s="211" t="s">
        <v>497</v>
      </c>
      <c r="B3671" s="216" t="str">
        <f ca="1">_xlfn.CONCAT(B3656,A3671)</f>
        <v>1B56132A-N</v>
      </c>
      <c r="C3671" s="17"/>
      <c r="D3671" s="184"/>
      <c r="E3671" s="197"/>
      <c r="F3671" s="19"/>
      <c r="G3671" s="20"/>
    </row>
    <row r="3672" spans="1:8">
      <c r="A3672" s="211" t="s">
        <v>498</v>
      </c>
      <c r="B3672" s="216" t="str">
        <f ca="1">_xlfn.CONCAT(B3656,A3672)</f>
        <v>1B56132A-O</v>
      </c>
      <c r="C3672" s="17"/>
      <c r="D3672" s="184"/>
      <c r="E3672" s="197"/>
      <c r="F3672" s="19"/>
      <c r="G3672" s="20"/>
    </row>
    <row r="3673" spans="1:8">
      <c r="A3673" s="211" t="s">
        <v>499</v>
      </c>
      <c r="B3673" s="216" t="str">
        <f ca="1">_xlfn.CONCAT(B3656,A3673)</f>
        <v>1B56132A-P</v>
      </c>
      <c r="C3673" s="17"/>
      <c r="D3673" s="184"/>
      <c r="E3673" s="197"/>
      <c r="F3673" s="19"/>
      <c r="G3673" s="20"/>
    </row>
    <row r="3674" spans="1:8">
      <c r="A3674" s="211" t="s">
        <v>500</v>
      </c>
      <c r="B3674" s="216" t="str">
        <f ca="1">_xlfn.CONCAT(B3656,A3674)</f>
        <v>1B56132A-Q</v>
      </c>
      <c r="C3674" s="17"/>
      <c r="D3674" s="184"/>
      <c r="E3674" s="197"/>
      <c r="F3674" s="19"/>
      <c r="G3674" s="20"/>
    </row>
    <row r="3675" spans="1:8">
      <c r="A3675" s="211" t="s">
        <v>501</v>
      </c>
      <c r="B3675" s="216" t="str">
        <f ca="1">_xlfn.CONCAT(B3656,A3675)</f>
        <v>1B56132A-R</v>
      </c>
      <c r="C3675" s="17"/>
      <c r="D3675" s="184"/>
      <c r="E3675" s="197"/>
      <c r="F3675" s="19"/>
      <c r="G3675" s="20"/>
    </row>
    <row r="3676" spans="1:8">
      <c r="A3676" s="211" t="s">
        <v>502</v>
      </c>
      <c r="B3676" s="216" t="str">
        <f ca="1">_xlfn.CONCAT(B3656,A3676)</f>
        <v>1B56132A-S</v>
      </c>
      <c r="C3676" s="17"/>
      <c r="D3676" s="184"/>
      <c r="E3676" s="197"/>
      <c r="F3676" s="19"/>
      <c r="G3676" s="20"/>
    </row>
    <row r="3677" spans="1:8">
      <c r="A3677" s="211" t="s">
        <v>503</v>
      </c>
      <c r="B3677" s="216" t="str">
        <f ca="1">_xlfn.CONCAT(B3656,A3677)</f>
        <v>1B56132A-T</v>
      </c>
      <c r="C3677" s="17"/>
      <c r="D3677" s="184"/>
      <c r="E3677" s="197"/>
      <c r="F3677" s="19"/>
      <c r="G3677" s="20"/>
    </row>
    <row r="3678" spans="1:8" ht="14.25" thickBot="1">
      <c r="A3678" s="211" t="s">
        <v>504</v>
      </c>
      <c r="B3678" s="216" t="str">
        <f ca="1">_xlfn.CONCAT(B3656,A3678)</f>
        <v>1B56132A-U</v>
      </c>
      <c r="C3678" s="17"/>
      <c r="D3678" s="184"/>
      <c r="E3678" s="197"/>
      <c r="F3678" s="19"/>
      <c r="G3678" s="20"/>
    </row>
    <row r="3679" spans="1:8" ht="14.25" thickBot="1">
      <c r="A3679" s="211" t="s">
        <v>505</v>
      </c>
      <c r="B3679" s="216" t="str">
        <f ca="1">_xlfn.CONCAT(B3656,A3679)</f>
        <v>1B56132A-V</v>
      </c>
      <c r="C3679" s="17" t="s">
        <v>17</v>
      </c>
      <c r="D3679" s="192" t="s">
        <v>17</v>
      </c>
      <c r="E3679" s="18"/>
      <c r="F3679" s="22" t="s">
        <v>18</v>
      </c>
      <c r="G3679" s="23">
        <f>SUM(G3658:G3678)</f>
        <v>117217.25</v>
      </c>
    </row>
    <row r="3680" spans="1:8" ht="15.75" thickBot="1">
      <c r="A3680" s="211" t="s">
        <v>506</v>
      </c>
      <c r="B3680" s="216" t="str">
        <f ca="1">_xlfn.CONCAT(B3656,A3680)</f>
        <v>1B56132A-W</v>
      </c>
      <c r="C3680" s="10" t="s">
        <v>19</v>
      </c>
      <c r="D3680" s="190"/>
      <c r="E3680" s="11"/>
      <c r="F3680" s="12"/>
      <c r="G3680" s="13"/>
    </row>
    <row r="3681" spans="1:8" ht="14.25" thickBot="1">
      <c r="A3681" s="211" t="s">
        <v>507</v>
      </c>
      <c r="B3681" s="216" t="str">
        <f ca="1">_xlfn.CONCAT(B3656,A3681)</f>
        <v>1B56132A-X</v>
      </c>
      <c r="C3681" s="14" t="s">
        <v>1</v>
      </c>
      <c r="D3681" s="15"/>
      <c r="E3681" s="15" t="s">
        <v>20</v>
      </c>
      <c r="F3681" s="16" t="s">
        <v>21</v>
      </c>
      <c r="G3681" s="15" t="s">
        <v>5</v>
      </c>
      <c r="H3681" s="215"/>
    </row>
    <row r="3682" spans="1:8">
      <c r="A3682" s="211" t="s">
        <v>508</v>
      </c>
      <c r="B3682" s="216" t="str">
        <f ca="1">_xlfn.CONCAT(B3656,A3682)</f>
        <v>1B56132A-Y</v>
      </c>
      <c r="C3682" s="24" t="s">
        <v>22</v>
      </c>
      <c r="D3682" s="184"/>
      <c r="E3682" s="25">
        <f>_xlfn.XLOOKUP(C3682,'H-MO'!B$7:B$30,'H-MO'!D$7:D$30,,0,1)</f>
        <v>2436.5624999999995</v>
      </c>
      <c r="F3682" s="19">
        <v>0.5</v>
      </c>
      <c r="G3682" s="33">
        <f t="shared" ref="G3682:G3687" si="103">+E3682*F3682</f>
        <v>1218.2812499999998</v>
      </c>
    </row>
    <row r="3683" spans="1:8">
      <c r="A3683" s="211" t="s">
        <v>509</v>
      </c>
      <c r="B3683" s="216" t="str">
        <f ca="1">_xlfn.CONCAT(B3656,A3683)</f>
        <v>1B56132A-Z</v>
      </c>
      <c r="C3683" s="24" t="s">
        <v>23</v>
      </c>
      <c r="D3683" s="184"/>
      <c r="E3683" s="25">
        <f>_xlfn.XLOOKUP(C3683,'H-MO'!B$7:B$30,'H-MO'!D$7:D$30,,0,1)</f>
        <v>1461.9374999999998</v>
      </c>
      <c r="F3683" s="19">
        <v>9.8000000000000004E-2</v>
      </c>
      <c r="G3683" s="33">
        <f t="shared" si="103"/>
        <v>143.26987499999998</v>
      </c>
    </row>
    <row r="3684" spans="1:8">
      <c r="A3684" s="211" t="s">
        <v>510</v>
      </c>
      <c r="B3684" s="216" t="str">
        <f ca="1">_xlfn.CONCAT(B3656,A3684)</f>
        <v>1B56132A-aa</v>
      </c>
      <c r="C3684" s="24" t="s">
        <v>24</v>
      </c>
      <c r="D3684" s="185"/>
      <c r="E3684" s="25">
        <f>_xlfn.XLOOKUP(C3684,'H-MO'!B$7:B$30,'H-MO'!D$7:D$30,,0,1)</f>
        <v>29238.749999999996</v>
      </c>
      <c r="F3684" s="28">
        <v>2E-3</v>
      </c>
      <c r="G3684" s="33">
        <f t="shared" si="103"/>
        <v>58.477499999999992</v>
      </c>
    </row>
    <row r="3685" spans="1:8">
      <c r="A3685" s="211" t="s">
        <v>511</v>
      </c>
      <c r="B3685" s="216" t="str">
        <f ca="1">_xlfn.CONCAT(B3656,A3685)</f>
        <v>1B56132A-ab</v>
      </c>
      <c r="C3685" s="24" t="s">
        <v>25</v>
      </c>
      <c r="D3685" s="185"/>
      <c r="E3685" s="25">
        <f>_xlfn.XLOOKUP(C3685,'H-MO'!B$7:B$30,'H-MO'!D$7:D$30,,0,1)</f>
        <v>2761.4374999999995</v>
      </c>
      <c r="F3685" s="28">
        <v>0.6</v>
      </c>
      <c r="G3685" s="33">
        <f t="shared" si="103"/>
        <v>1656.8624999999997</v>
      </c>
    </row>
    <row r="3686" spans="1:8">
      <c r="A3686" s="211" t="s">
        <v>512</v>
      </c>
      <c r="B3686" s="216" t="str">
        <f ca="1">_xlfn.CONCAT(B3656,A3686)</f>
        <v>1B56132A-ac</v>
      </c>
      <c r="C3686" s="24"/>
      <c r="D3686" s="185"/>
      <c r="E3686" s="29"/>
      <c r="F3686" s="28"/>
      <c r="G3686" s="33">
        <f t="shared" si="103"/>
        <v>0</v>
      </c>
    </row>
    <row r="3687" spans="1:8" ht="14.25" thickBot="1">
      <c r="A3687" s="211" t="s">
        <v>513</v>
      </c>
      <c r="B3687" s="216" t="str">
        <f ca="1">_xlfn.CONCAT(B3656,A3687)</f>
        <v>1B56132A-ad</v>
      </c>
      <c r="C3687" s="24"/>
      <c r="D3687" s="185"/>
      <c r="E3687" s="29"/>
      <c r="F3687" s="28"/>
      <c r="G3687" s="33">
        <f t="shared" si="103"/>
        <v>0</v>
      </c>
    </row>
    <row r="3688" spans="1:8" ht="14.25" thickBot="1">
      <c r="A3688" s="211" t="s">
        <v>514</v>
      </c>
      <c r="B3688" s="216" t="str">
        <f ca="1">_xlfn.CONCAT(B3656,A3688)</f>
        <v>1B56132A-ae</v>
      </c>
      <c r="C3688" s="17"/>
      <c r="D3688" s="192"/>
      <c r="E3688" s="18"/>
      <c r="F3688" s="22" t="s">
        <v>26</v>
      </c>
      <c r="G3688" s="23">
        <f>SUM(G3682:G3687)</f>
        <v>3076.8911249999992</v>
      </c>
    </row>
    <row r="3689" spans="1:8" ht="15.75" thickBot="1">
      <c r="A3689" s="211" t="s">
        <v>515</v>
      </c>
      <c r="B3689" s="216" t="str">
        <f ca="1">_xlfn.CONCAT(B3656,A3689)</f>
        <v>1B56132A-af</v>
      </c>
      <c r="C3689" s="10" t="s">
        <v>27</v>
      </c>
      <c r="D3689" s="190"/>
      <c r="E3689" s="11"/>
      <c r="F3689" s="12"/>
      <c r="G3689" s="13"/>
    </row>
    <row r="3690" spans="1:8" ht="14.25" thickBot="1">
      <c r="A3690" s="211" t="s">
        <v>516</v>
      </c>
      <c r="B3690" s="216" t="str">
        <f ca="1">_xlfn.CONCAT(B3656,A3690)</f>
        <v>1B56132A-ag</v>
      </c>
      <c r="C3690" s="14" t="s">
        <v>1</v>
      </c>
      <c r="D3690" s="15" t="s">
        <v>28</v>
      </c>
      <c r="E3690" s="15" t="s">
        <v>20</v>
      </c>
      <c r="F3690" s="16" t="s">
        <v>21</v>
      </c>
      <c r="G3690" s="15" t="s">
        <v>5</v>
      </c>
      <c r="H3690" s="215"/>
    </row>
    <row r="3691" spans="1:8">
      <c r="A3691" s="211" t="s">
        <v>517</v>
      </c>
      <c r="B3691" s="216" t="str">
        <f ca="1">_xlfn.CONCAT(B3656,A3691)</f>
        <v>1B56132A-ah</v>
      </c>
      <c r="C3691" s="30" t="s">
        <v>29</v>
      </c>
      <c r="D3691" s="186">
        <f>'H-MO'!$N$77</f>
        <v>725918.52892505517</v>
      </c>
      <c r="E3691" s="31">
        <f>+D3691/8</f>
        <v>90739.816115631897</v>
      </c>
      <c r="F3691" s="32">
        <v>0.5</v>
      </c>
      <c r="G3691" s="33">
        <f>+E3691*F3691</f>
        <v>45369.908057815948</v>
      </c>
    </row>
    <row r="3692" spans="1:8">
      <c r="A3692" s="211" t="s">
        <v>518</v>
      </c>
      <c r="B3692" s="216" t="str">
        <f ca="1">_xlfn.CONCAT(B3656,A3692)</f>
        <v>1B56132A-ai</v>
      </c>
      <c r="C3692" s="34" t="s">
        <v>30</v>
      </c>
      <c r="D3692" s="187">
        <f>'H-MO'!$N$86</f>
        <v>685561.39085756091</v>
      </c>
      <c r="E3692" s="29">
        <f>+D3692/8</f>
        <v>85695.173857195114</v>
      </c>
      <c r="F3692" s="28">
        <v>0</v>
      </c>
      <c r="G3692" s="33">
        <f>+E3692*F3692</f>
        <v>0</v>
      </c>
    </row>
    <row r="3693" spans="1:8" ht="14.25" thickBot="1">
      <c r="A3693" s="211" t="s">
        <v>519</v>
      </c>
      <c r="B3693" s="216" t="str">
        <f ca="1">_xlfn.CONCAT(B3656,A3693)</f>
        <v>1B56132A-aj</v>
      </c>
      <c r="C3693" s="34"/>
      <c r="D3693" s="187"/>
      <c r="E3693" s="29"/>
      <c r="F3693" s="28"/>
      <c r="G3693" s="33">
        <f>+E3693*F3693</f>
        <v>0</v>
      </c>
    </row>
    <row r="3694" spans="1:8" ht="14.25" thickBot="1">
      <c r="A3694" s="211" t="s">
        <v>520</v>
      </c>
      <c r="B3694" s="216" t="str">
        <f ca="1">_xlfn.CONCAT(B3656,A3694)</f>
        <v>1B56132A-ak</v>
      </c>
      <c r="C3694" s="34"/>
      <c r="D3694" s="185"/>
      <c r="E3694" s="26"/>
      <c r="F3694" s="36" t="s">
        <v>31</v>
      </c>
      <c r="G3694" s="23">
        <f>SUM(G3691:G3693)</f>
        <v>45369.908057815948</v>
      </c>
    </row>
    <row r="3695" spans="1:8" ht="14.25" thickBot="1">
      <c r="A3695" s="211" t="s">
        <v>521</v>
      </c>
      <c r="B3695" s="216" t="str">
        <f ca="1">_xlfn.CONCAT(B3656,A3695)</f>
        <v>1B56132A-al</v>
      </c>
      <c r="C3695" s="37"/>
      <c r="E3695" s="38"/>
      <c r="F3695" s="22"/>
      <c r="G3695" s="39"/>
    </row>
    <row r="3696" spans="1:8" ht="16.5" thickBot="1">
      <c r="A3696" s="211" t="s">
        <v>522</v>
      </c>
      <c r="B3696" s="216" t="str">
        <f ca="1">_xlfn.CONCAT(B3656,A3696)</f>
        <v>1B56132A-am</v>
      </c>
      <c r="C3696" s="40"/>
      <c r="D3696" s="193"/>
      <c r="E3696" s="41"/>
      <c r="F3696" s="42"/>
      <c r="G3696" s="43">
        <f>+G3679+G3688+G3694</f>
        <v>165664.04918281594</v>
      </c>
    </row>
    <row r="3697" spans="1:8" ht="21.75" thickBot="1">
      <c r="B3697" s="212" t="s">
        <v>550</v>
      </c>
      <c r="C3697" s="2"/>
      <c r="D3697" s="183"/>
      <c r="F3697" s="4"/>
      <c r="G3697" s="5"/>
    </row>
    <row r="3698" spans="1:8" s="45" customFormat="1" ht="34.5" customHeight="1">
      <c r="A3698" s="213"/>
      <c r="B3698" s="214">
        <v>85</v>
      </c>
      <c r="C3698" s="242" t="str">
        <f ca="1">_xlfn.XLOOKUP(B3698,Cantidades!$A$10:$A$314,Cantidades!$C$10:$C$314,,0,1)</f>
        <v>Suministro e instalación de salida para Lámpara emergencia. Incliye tubería EMT, accesorios, caja de conexiones, cableado, señalización y demás elementos para su puesta en servicio.</v>
      </c>
      <c r="D3698" s="243"/>
      <c r="E3698" s="243"/>
      <c r="F3698" s="243"/>
      <c r="G3698" s="244"/>
      <c r="H3698" s="213"/>
    </row>
    <row r="3699" spans="1:8" ht="19.5" thickBot="1">
      <c r="A3699" s="215"/>
      <c r="B3699" s="216" t="s">
        <v>550</v>
      </c>
      <c r="C3699" s="177"/>
      <c r="D3699" s="189"/>
      <c r="E3699" s="178"/>
      <c r="F3699" s="179" t="s">
        <v>636</v>
      </c>
      <c r="G3699" s="209" t="str">
        <f ca="1">B3700</f>
        <v>184F8D74-</v>
      </c>
      <c r="H3699" s="215"/>
    </row>
    <row r="3700" spans="1:8" ht="15.75" thickBot="1">
      <c r="B3700" s="212" t="str">
        <f ca="1">_xlfn.XLOOKUP(C3698,Cantidades!$C$1:$C$314,Cantidades!$B$1:$B$314,"",0,1)</f>
        <v>184F8D74-</v>
      </c>
      <c r="C3700" s="10" t="s">
        <v>0</v>
      </c>
      <c r="D3700" s="190"/>
      <c r="E3700" s="11"/>
      <c r="F3700" s="12"/>
      <c r="G3700" s="13"/>
    </row>
    <row r="3701" spans="1:8" ht="14.25" thickBot="1">
      <c r="A3701" s="215"/>
      <c r="B3701" s="216" t="s">
        <v>550</v>
      </c>
      <c r="C3701" s="14" t="s">
        <v>1</v>
      </c>
      <c r="D3701" s="15" t="s">
        <v>2</v>
      </c>
      <c r="E3701" s="15" t="s">
        <v>3</v>
      </c>
      <c r="F3701" s="16" t="s">
        <v>4</v>
      </c>
      <c r="G3701" s="15" t="s">
        <v>5</v>
      </c>
      <c r="H3701" s="215"/>
    </row>
    <row r="3702" spans="1:8">
      <c r="A3702" s="211" t="s">
        <v>484</v>
      </c>
      <c r="B3702" s="216" t="str">
        <f ca="1">_xlfn.CONCAT(B3700,A3702)</f>
        <v>184F8D74-A</v>
      </c>
      <c r="C3702" s="17" t="str">
        <f>_xlfn.XLOOKUP(H3702,'Materiales unitario'!$A$1:$A$2500,'Materiales unitario'!B$1:B$2500,,0,1)</f>
        <v>Tubo metálico ø3/4" EMT</v>
      </c>
      <c r="D3702" s="184" t="str">
        <f>_xlfn.XLOOKUP(H3702,'Materiales unitario'!A$1:A$2500,'Materiales unitario'!C$1:C$2500,,0,1)</f>
        <v>ml</v>
      </c>
      <c r="E3702" s="197">
        <f>_xlfn.XLOOKUP(H3702,'Materiales unitario'!$A$1:$A$2500,'Materiales unitario'!D$1:D$2500,,0,1)</f>
        <v>11733</v>
      </c>
      <c r="F3702" s="19">
        <v>8</v>
      </c>
      <c r="G3702" s="20">
        <f t="shared" ref="G3702:G3710" si="104">+E3702*F3702</f>
        <v>93864</v>
      </c>
      <c r="H3702" s="211" t="s">
        <v>388</v>
      </c>
    </row>
    <row r="3703" spans="1:8">
      <c r="A3703" s="211" t="s">
        <v>485</v>
      </c>
      <c r="B3703" s="216" t="str">
        <f ca="1">_xlfn.CONCAT(B3700,A3703)</f>
        <v>184F8D74-B</v>
      </c>
      <c r="C3703" s="17" t="str">
        <f>_xlfn.XLOOKUP(H3703,'Materiales unitario'!$A$1:$A$2500,'Materiales unitario'!B$1:B$2500,,0,1)</f>
        <v>Unión metálica ø3/4" EMT</v>
      </c>
      <c r="D3703" s="184" t="str">
        <f>_xlfn.XLOOKUP(H3703,'Materiales unitario'!A$1:A$2500,'Materiales unitario'!C$1:C$2500,,0,1)</f>
        <v>un</v>
      </c>
      <c r="E3703" s="197">
        <f>_xlfn.XLOOKUP(H3703,'Materiales unitario'!$A$1:$A$2500,'Materiales unitario'!D$1:D$2500,,0,1)</f>
        <v>1800</v>
      </c>
      <c r="F3703" s="19">
        <v>3</v>
      </c>
      <c r="G3703" s="20">
        <f t="shared" si="104"/>
        <v>5400</v>
      </c>
      <c r="H3703" s="211" t="s">
        <v>392</v>
      </c>
    </row>
    <row r="3704" spans="1:8">
      <c r="A3704" s="211" t="s">
        <v>486</v>
      </c>
      <c r="B3704" s="216" t="str">
        <f ca="1">_xlfn.CONCAT(B3700,A3704)</f>
        <v>184F8D74-C</v>
      </c>
      <c r="C3704" s="17" t="str">
        <f>_xlfn.XLOOKUP(H3704,'Materiales unitario'!$A$1:$A$2500,'Materiales unitario'!B$1:B$2500,,0,1)</f>
        <v xml:space="preserve">Terminal metálico ø3/4" EMT </v>
      </c>
      <c r="D3704" s="184" t="str">
        <f>_xlfn.XLOOKUP(H3704,'Materiales unitario'!A$1:A$2500,'Materiales unitario'!C$1:C$2500,,0,1)</f>
        <v>un</v>
      </c>
      <c r="E3704" s="197">
        <f>_xlfn.XLOOKUP(H3704,'Materiales unitario'!$A$1:$A$2500,'Materiales unitario'!D$1:D$2500,,0,1)</f>
        <v>2200</v>
      </c>
      <c r="F3704" s="19">
        <v>2</v>
      </c>
      <c r="G3704" s="20">
        <f t="shared" si="104"/>
        <v>4400</v>
      </c>
      <c r="H3704" s="211" t="s">
        <v>371</v>
      </c>
    </row>
    <row r="3705" spans="1:8">
      <c r="A3705" s="211" t="s">
        <v>487</v>
      </c>
      <c r="B3705" s="216" t="str">
        <f ca="1">_xlfn.CONCAT(B3700,A3705)</f>
        <v>184F8D74-D</v>
      </c>
      <c r="C3705" s="17" t="str">
        <f>_xlfn.XLOOKUP(H3705,'Materiales unitario'!$A$1:$A$2500,'Materiales unitario'!B$1:B$2500,,0,1)</f>
        <v xml:space="preserve">Soporte Metálico Uniestruc Tubería ø3/4" </v>
      </c>
      <c r="D3705" s="184" t="str">
        <f>_xlfn.XLOOKUP(H3705,'Materiales unitario'!A$1:A$2500,'Materiales unitario'!C$1:C$2500,,0,1)</f>
        <v>un</v>
      </c>
      <c r="E3705" s="197">
        <f>_xlfn.XLOOKUP(H3705,'Materiales unitario'!$A$1:$A$2500,'Materiales unitario'!D$1:D$2500,,0,1)</f>
        <v>630</v>
      </c>
      <c r="F3705" s="19">
        <v>3</v>
      </c>
      <c r="G3705" s="20">
        <f t="shared" si="104"/>
        <v>1890</v>
      </c>
      <c r="H3705" s="211" t="s">
        <v>356</v>
      </c>
    </row>
    <row r="3706" spans="1:8">
      <c r="A3706" s="211" t="s">
        <v>488</v>
      </c>
      <c r="B3706" s="216" t="str">
        <f ca="1">_xlfn.CONCAT(B3700,A3706)</f>
        <v>184F8D74-E</v>
      </c>
      <c r="C3706" s="17" t="str">
        <f>_xlfn.XLOOKUP(H3706,'Materiales unitario'!$A$1:$A$2500,'Materiales unitario'!B$1:B$2500,,0,1)</f>
        <v>Alambre de cobre desnudo #12 AWG-ED</v>
      </c>
      <c r="D3706" s="184" t="str">
        <f>_xlfn.XLOOKUP(H3706,'Materiales unitario'!A$1:A$2500,'Materiales unitario'!C$1:C$2500,,0,1)</f>
        <v>ml</v>
      </c>
      <c r="E3706" s="197">
        <f>_xlfn.XLOOKUP(H3706,'Materiales unitario'!$A$1:$A$2500,'Materiales unitario'!D$1:D$2500,,0,1)</f>
        <v>2558.5</v>
      </c>
      <c r="F3706" s="19">
        <v>9</v>
      </c>
      <c r="G3706" s="20">
        <f t="shared" si="104"/>
        <v>23026.5</v>
      </c>
      <c r="H3706" s="211" t="s">
        <v>227</v>
      </c>
    </row>
    <row r="3707" spans="1:8">
      <c r="A3707" s="211" t="s">
        <v>489</v>
      </c>
      <c r="B3707" s="216" t="str">
        <f ca="1">_xlfn.CONCAT(B3700,A3707)</f>
        <v>184F8D74-F</v>
      </c>
      <c r="C3707" s="17" t="str">
        <f>_xlfn.XLOOKUP(H3707,'Materiales unitario'!$A$1:$A$2500,'Materiales unitario'!B$1:B$2500,,0,1)</f>
        <v>Alambre de cobre aislado #12 AWG-THHN/THWN Color negro</v>
      </c>
      <c r="D3707" s="184" t="str">
        <f>_xlfn.XLOOKUP(H3707,'Materiales unitario'!A$1:A$2500,'Materiales unitario'!C$1:C$2500,,0,1)</f>
        <v>ml</v>
      </c>
      <c r="E3707" s="197">
        <f>_xlfn.XLOOKUP(H3707,'Materiales unitario'!$A$1:$A$2500,'Materiales unitario'!D$1:D$2500,,0,1)</f>
        <v>2975</v>
      </c>
      <c r="F3707" s="19">
        <v>18</v>
      </c>
      <c r="G3707" s="20">
        <f t="shared" si="104"/>
        <v>53550</v>
      </c>
      <c r="H3707" s="211" t="s">
        <v>524</v>
      </c>
    </row>
    <row r="3708" spans="1:8">
      <c r="A3708" s="211" t="s">
        <v>490</v>
      </c>
      <c r="B3708" s="216" t="str">
        <f ca="1">_xlfn.CONCAT(B3700,A3708)</f>
        <v>184F8D74-G</v>
      </c>
      <c r="C3708" s="17" t="str">
        <f>_xlfn.XLOOKUP(H3708,'Materiales unitario'!$A$1:$A$2500,'Materiales unitario'!B$1:B$2500,,0,1)</f>
        <v>Conector de resorte rojo "R" 18-10 AWG</v>
      </c>
      <c r="D3708" s="184" t="str">
        <f>_xlfn.XLOOKUP(H3708,'Materiales unitario'!A$1:A$2500,'Materiales unitario'!C$1:C$2500,,0,1)</f>
        <v>un</v>
      </c>
      <c r="E3708" s="197">
        <f>_xlfn.XLOOKUP(H3708,'Materiales unitario'!$A$1:$A$2500,'Materiales unitario'!D$1:D$2500,,0,1)</f>
        <v>280</v>
      </c>
      <c r="F3708" s="19">
        <v>3</v>
      </c>
      <c r="G3708" s="20">
        <f t="shared" si="104"/>
        <v>840</v>
      </c>
      <c r="H3708" s="211" t="s">
        <v>302</v>
      </c>
    </row>
    <row r="3709" spans="1:8">
      <c r="A3709" s="211" t="s">
        <v>491</v>
      </c>
      <c r="B3709" s="216" t="str">
        <f ca="1">_xlfn.CONCAT(B3700,A3709)</f>
        <v>184F8D74-H</v>
      </c>
      <c r="C3709" s="17" t="str">
        <f>_xlfn.XLOOKUP(H3709,'Materiales unitario'!$A$1:$A$2500,'Materiales unitario'!B$1:B$2500,,0,1)</f>
        <v xml:space="preserve">Caja galvanizada ref. 2400 + suplemento (Cal. 20) </v>
      </c>
      <c r="D3709" s="184" t="str">
        <f>_xlfn.XLOOKUP(H3709,'Materiales unitario'!A$1:A$2500,'Materiales unitario'!C$1:C$2500,,0,1)</f>
        <v>un</v>
      </c>
      <c r="E3709" s="197">
        <f>_xlfn.XLOOKUP(H3709,'Materiales unitario'!$A$1:$A$2500,'Materiales unitario'!D$1:D$2500,,0,1)</f>
        <v>4522</v>
      </c>
      <c r="F3709" s="19">
        <v>1</v>
      </c>
      <c r="G3709" s="20">
        <f t="shared" si="104"/>
        <v>4522</v>
      </c>
      <c r="H3709" s="211" t="s">
        <v>283</v>
      </c>
    </row>
    <row r="3710" spans="1:8">
      <c r="A3710" s="211" t="s">
        <v>492</v>
      </c>
      <c r="B3710" s="216" t="str">
        <f ca="1">_xlfn.CONCAT(B3700,A3710)</f>
        <v>184F8D74-I</v>
      </c>
      <c r="C3710" s="17" t="str">
        <f>_xlfn.XLOOKUP(H3710,'Materiales unitario'!$A$1:$A$2500,'Materiales unitario'!B$1:B$2500,,0,1)</f>
        <v>Marquillas para circuito</v>
      </c>
      <c r="D3710" s="184" t="str">
        <f>_xlfn.XLOOKUP(H3710,'Materiales unitario'!A$1:A$2500,'Materiales unitario'!C$1:C$2500,,0,1)</f>
        <v>un</v>
      </c>
      <c r="E3710" s="197">
        <f>_xlfn.XLOOKUP(H3710,'Materiales unitario'!$A$1:$A$2500,'Materiales unitario'!D$1:D$2500,,0,1)</f>
        <v>1000</v>
      </c>
      <c r="F3710" s="19">
        <v>3</v>
      </c>
      <c r="G3710" s="20">
        <f t="shared" si="104"/>
        <v>3000</v>
      </c>
      <c r="H3710" s="211" t="s">
        <v>339</v>
      </c>
    </row>
    <row r="3711" spans="1:8">
      <c r="A3711" s="211" t="s">
        <v>493</v>
      </c>
      <c r="B3711" s="216" t="str">
        <f ca="1">_xlfn.CONCAT(B3700,A3711)</f>
        <v>184F8D74-J</v>
      </c>
      <c r="C3711" s="17"/>
      <c r="D3711" s="184"/>
      <c r="E3711" s="197"/>
      <c r="F3711" s="19"/>
      <c r="G3711" s="20"/>
    </row>
    <row r="3712" spans="1:8">
      <c r="A3712" s="211" t="s">
        <v>494</v>
      </c>
      <c r="B3712" s="216" t="str">
        <f ca="1">_xlfn.CONCAT(B3700,A3712)</f>
        <v>184F8D74-K</v>
      </c>
      <c r="C3712" s="17"/>
      <c r="D3712" s="184"/>
      <c r="E3712" s="197"/>
      <c r="F3712" s="19"/>
      <c r="G3712" s="20"/>
    </row>
    <row r="3713" spans="1:8">
      <c r="A3713" s="211" t="s">
        <v>495</v>
      </c>
      <c r="B3713" s="216" t="str">
        <f ca="1">_xlfn.CONCAT(B3700,A3713)</f>
        <v>184F8D74-L</v>
      </c>
      <c r="C3713" s="17"/>
      <c r="D3713" s="184"/>
      <c r="E3713" s="197"/>
      <c r="F3713" s="19"/>
      <c r="G3713" s="20"/>
    </row>
    <row r="3714" spans="1:8">
      <c r="A3714" s="211" t="s">
        <v>496</v>
      </c>
      <c r="B3714" s="216" t="str">
        <f ca="1">_xlfn.CONCAT(B3700,A3714)</f>
        <v>184F8D74-M</v>
      </c>
      <c r="C3714" s="17"/>
      <c r="D3714" s="184"/>
      <c r="E3714" s="197"/>
      <c r="F3714" s="19"/>
      <c r="G3714" s="20"/>
    </row>
    <row r="3715" spans="1:8">
      <c r="A3715" s="211" t="s">
        <v>497</v>
      </c>
      <c r="B3715" s="216" t="str">
        <f ca="1">_xlfn.CONCAT(B3700,A3715)</f>
        <v>184F8D74-N</v>
      </c>
      <c r="C3715" s="17"/>
      <c r="D3715" s="184"/>
      <c r="E3715" s="197"/>
      <c r="F3715" s="19"/>
      <c r="G3715" s="20"/>
    </row>
    <row r="3716" spans="1:8">
      <c r="A3716" s="211" t="s">
        <v>498</v>
      </c>
      <c r="B3716" s="216" t="str">
        <f ca="1">_xlfn.CONCAT(B3700,A3716)</f>
        <v>184F8D74-O</v>
      </c>
      <c r="C3716" s="17"/>
      <c r="D3716" s="184"/>
      <c r="E3716" s="197"/>
      <c r="F3716" s="19"/>
      <c r="G3716" s="20"/>
    </row>
    <row r="3717" spans="1:8">
      <c r="A3717" s="211" t="s">
        <v>499</v>
      </c>
      <c r="B3717" s="216" t="str">
        <f ca="1">_xlfn.CONCAT(B3700,A3717)</f>
        <v>184F8D74-P</v>
      </c>
      <c r="C3717" s="17"/>
      <c r="D3717" s="184"/>
      <c r="E3717" s="197"/>
      <c r="F3717" s="19"/>
      <c r="G3717" s="20"/>
    </row>
    <row r="3718" spans="1:8">
      <c r="A3718" s="211" t="s">
        <v>500</v>
      </c>
      <c r="B3718" s="216" t="str">
        <f ca="1">_xlfn.CONCAT(B3700,A3718)</f>
        <v>184F8D74-Q</v>
      </c>
      <c r="C3718" s="17"/>
      <c r="D3718" s="184"/>
      <c r="E3718" s="197"/>
      <c r="F3718" s="19"/>
      <c r="G3718" s="20"/>
    </row>
    <row r="3719" spans="1:8">
      <c r="A3719" s="211" t="s">
        <v>501</v>
      </c>
      <c r="B3719" s="216" t="str">
        <f ca="1">_xlfn.CONCAT(B3700,A3719)</f>
        <v>184F8D74-R</v>
      </c>
      <c r="C3719" s="17"/>
      <c r="D3719" s="184"/>
      <c r="E3719" s="197"/>
      <c r="F3719" s="19"/>
      <c r="G3719" s="20"/>
    </row>
    <row r="3720" spans="1:8">
      <c r="A3720" s="211" t="s">
        <v>502</v>
      </c>
      <c r="B3720" s="216" t="str">
        <f ca="1">_xlfn.CONCAT(B3700,A3720)</f>
        <v>184F8D74-S</v>
      </c>
      <c r="C3720" s="17"/>
      <c r="D3720" s="184"/>
      <c r="E3720" s="197"/>
      <c r="F3720" s="19"/>
      <c r="G3720" s="20"/>
    </row>
    <row r="3721" spans="1:8">
      <c r="A3721" s="211" t="s">
        <v>503</v>
      </c>
      <c r="B3721" s="216" t="str">
        <f ca="1">_xlfn.CONCAT(B3700,A3721)</f>
        <v>184F8D74-T</v>
      </c>
      <c r="C3721" s="17"/>
      <c r="D3721" s="184"/>
      <c r="E3721" s="197"/>
      <c r="F3721" s="19"/>
      <c r="G3721" s="20"/>
    </row>
    <row r="3722" spans="1:8" ht="14.25" thickBot="1">
      <c r="A3722" s="211" t="s">
        <v>504</v>
      </c>
      <c r="B3722" s="216" t="str">
        <f ca="1">_xlfn.CONCAT(B3700,A3722)</f>
        <v>184F8D74-U</v>
      </c>
      <c r="C3722" s="17"/>
      <c r="D3722" s="184"/>
      <c r="E3722" s="197"/>
      <c r="F3722" s="19"/>
      <c r="G3722" s="20"/>
    </row>
    <row r="3723" spans="1:8" ht="14.25" thickBot="1">
      <c r="A3723" s="211" t="s">
        <v>505</v>
      </c>
      <c r="B3723" s="216" t="str">
        <f ca="1">_xlfn.CONCAT(B3700,A3723)</f>
        <v>184F8D74-V</v>
      </c>
      <c r="C3723" s="17" t="s">
        <v>17</v>
      </c>
      <c r="D3723" s="192" t="s">
        <v>17</v>
      </c>
      <c r="E3723" s="18"/>
      <c r="F3723" s="22" t="s">
        <v>18</v>
      </c>
      <c r="G3723" s="23">
        <f>SUM(G3702:G3722)</f>
        <v>190492.5</v>
      </c>
    </row>
    <row r="3724" spans="1:8" ht="15.75" thickBot="1">
      <c r="A3724" s="211" t="s">
        <v>506</v>
      </c>
      <c r="B3724" s="216" t="str">
        <f ca="1">_xlfn.CONCAT(B3700,A3724)</f>
        <v>184F8D74-W</v>
      </c>
      <c r="C3724" s="10" t="s">
        <v>19</v>
      </c>
      <c r="D3724" s="190"/>
      <c r="E3724" s="11"/>
      <c r="F3724" s="12"/>
      <c r="G3724" s="13"/>
    </row>
    <row r="3725" spans="1:8" ht="14.25" thickBot="1">
      <c r="A3725" s="211" t="s">
        <v>507</v>
      </c>
      <c r="B3725" s="216" t="str">
        <f ca="1">_xlfn.CONCAT(B3700,A3725)</f>
        <v>184F8D74-X</v>
      </c>
      <c r="C3725" s="14" t="s">
        <v>1</v>
      </c>
      <c r="D3725" s="15"/>
      <c r="E3725" s="15" t="s">
        <v>20</v>
      </c>
      <c r="F3725" s="16" t="s">
        <v>21</v>
      </c>
      <c r="G3725" s="15" t="s">
        <v>5</v>
      </c>
      <c r="H3725" s="215"/>
    </row>
    <row r="3726" spans="1:8">
      <c r="A3726" s="211" t="s">
        <v>508</v>
      </c>
      <c r="B3726" s="216" t="str">
        <f ca="1">_xlfn.CONCAT(B3700,A3726)</f>
        <v>184F8D74-Y</v>
      </c>
      <c r="C3726" s="24" t="s">
        <v>22</v>
      </c>
      <c r="D3726" s="184"/>
      <c r="E3726" s="25">
        <f>_xlfn.XLOOKUP(C3726,'H-MO'!B$7:B$30,'H-MO'!D$7:D$30,,0,1)</f>
        <v>2436.5624999999995</v>
      </c>
      <c r="F3726" s="19">
        <v>0.53</v>
      </c>
      <c r="G3726" s="33">
        <f t="shared" ref="G3726:G3731" si="105">+E3726*F3726</f>
        <v>1291.3781249999997</v>
      </c>
    </row>
    <row r="3727" spans="1:8">
      <c r="A3727" s="211" t="s">
        <v>509</v>
      </c>
      <c r="B3727" s="216" t="str">
        <f ca="1">_xlfn.CONCAT(B3700,A3727)</f>
        <v>184F8D74-Z</v>
      </c>
      <c r="C3727" s="24" t="s">
        <v>23</v>
      </c>
      <c r="D3727" s="184"/>
      <c r="E3727" s="25">
        <f>_xlfn.XLOOKUP(C3727,'H-MO'!B$7:B$30,'H-MO'!D$7:D$30,,0,1)</f>
        <v>1461.9374999999998</v>
      </c>
      <c r="F3727" s="19">
        <v>9.8000000000000004E-2</v>
      </c>
      <c r="G3727" s="33">
        <f t="shared" si="105"/>
        <v>143.26987499999998</v>
      </c>
    </row>
    <row r="3728" spans="1:8">
      <c r="A3728" s="211" t="s">
        <v>510</v>
      </c>
      <c r="B3728" s="216" t="str">
        <f ca="1">_xlfn.CONCAT(B3700,A3728)</f>
        <v>184F8D74-aa</v>
      </c>
      <c r="C3728" s="24" t="s">
        <v>24</v>
      </c>
      <c r="D3728" s="185"/>
      <c r="E3728" s="25">
        <f>_xlfn.XLOOKUP(C3728,'H-MO'!B$7:B$30,'H-MO'!D$7:D$30,,0,1)</f>
        <v>29238.749999999996</v>
      </c>
      <c r="F3728" s="28">
        <v>2E-3</v>
      </c>
      <c r="G3728" s="33">
        <f t="shared" si="105"/>
        <v>58.477499999999992</v>
      </c>
    </row>
    <row r="3729" spans="1:8">
      <c r="A3729" s="211" t="s">
        <v>511</v>
      </c>
      <c r="B3729" s="216" t="str">
        <f ca="1">_xlfn.CONCAT(B3700,A3729)</f>
        <v>184F8D74-ab</v>
      </c>
      <c r="C3729" s="24" t="s">
        <v>25</v>
      </c>
      <c r="D3729" s="185"/>
      <c r="E3729" s="25">
        <f>_xlfn.XLOOKUP(C3729,'H-MO'!B$7:B$30,'H-MO'!D$7:D$30,,0,1)</f>
        <v>2761.4374999999995</v>
      </c>
      <c r="F3729" s="28">
        <v>0.6</v>
      </c>
      <c r="G3729" s="33">
        <f t="shared" si="105"/>
        <v>1656.8624999999997</v>
      </c>
    </row>
    <row r="3730" spans="1:8">
      <c r="A3730" s="211" t="s">
        <v>512</v>
      </c>
      <c r="B3730" s="216" t="str">
        <f ca="1">_xlfn.CONCAT(B3700,A3730)</f>
        <v>184F8D74-ac</v>
      </c>
      <c r="C3730" s="24"/>
      <c r="D3730" s="185"/>
      <c r="E3730" s="29"/>
      <c r="F3730" s="28"/>
      <c r="G3730" s="33">
        <f t="shared" si="105"/>
        <v>0</v>
      </c>
    </row>
    <row r="3731" spans="1:8" ht="14.25" thickBot="1">
      <c r="A3731" s="211" t="s">
        <v>513</v>
      </c>
      <c r="B3731" s="216" t="str">
        <f ca="1">_xlfn.CONCAT(B3700,A3731)</f>
        <v>184F8D74-ad</v>
      </c>
      <c r="C3731" s="24"/>
      <c r="D3731" s="185"/>
      <c r="E3731" s="29"/>
      <c r="F3731" s="28"/>
      <c r="G3731" s="33">
        <f t="shared" si="105"/>
        <v>0</v>
      </c>
    </row>
    <row r="3732" spans="1:8" ht="14.25" thickBot="1">
      <c r="A3732" s="211" t="s">
        <v>514</v>
      </c>
      <c r="B3732" s="216" t="str">
        <f ca="1">_xlfn.CONCAT(B3700,A3732)</f>
        <v>184F8D74-ae</v>
      </c>
      <c r="C3732" s="17"/>
      <c r="D3732" s="192"/>
      <c r="E3732" s="18"/>
      <c r="F3732" s="22" t="s">
        <v>26</v>
      </c>
      <c r="G3732" s="23">
        <f>SUM(G3726:G3731)</f>
        <v>3149.9879999999994</v>
      </c>
    </row>
    <row r="3733" spans="1:8" ht="15.75" thickBot="1">
      <c r="A3733" s="211" t="s">
        <v>515</v>
      </c>
      <c r="B3733" s="216" t="str">
        <f ca="1">_xlfn.CONCAT(B3700,A3733)</f>
        <v>184F8D74-af</v>
      </c>
      <c r="C3733" s="10" t="s">
        <v>27</v>
      </c>
      <c r="D3733" s="190"/>
      <c r="E3733" s="11"/>
      <c r="F3733" s="12"/>
      <c r="G3733" s="13"/>
    </row>
    <row r="3734" spans="1:8" ht="14.25" thickBot="1">
      <c r="A3734" s="211" t="s">
        <v>516</v>
      </c>
      <c r="B3734" s="216" t="str">
        <f ca="1">_xlfn.CONCAT(B3700,A3734)</f>
        <v>184F8D74-ag</v>
      </c>
      <c r="C3734" s="14" t="s">
        <v>1</v>
      </c>
      <c r="D3734" s="15" t="s">
        <v>28</v>
      </c>
      <c r="E3734" s="15" t="s">
        <v>20</v>
      </c>
      <c r="F3734" s="16" t="s">
        <v>21</v>
      </c>
      <c r="G3734" s="15" t="s">
        <v>5</v>
      </c>
      <c r="H3734" s="215"/>
    </row>
    <row r="3735" spans="1:8">
      <c r="A3735" s="211" t="s">
        <v>517</v>
      </c>
      <c r="B3735" s="216" t="str">
        <f ca="1">_xlfn.CONCAT(B3700,A3735)</f>
        <v>184F8D74-ah</v>
      </c>
      <c r="C3735" s="30" t="s">
        <v>29</v>
      </c>
      <c r="D3735" s="186">
        <f>'H-MO'!$N$77</f>
        <v>725918.52892505517</v>
      </c>
      <c r="E3735" s="31">
        <f>+D3735/8</f>
        <v>90739.816115631897</v>
      </c>
      <c r="F3735" s="32">
        <v>0.53</v>
      </c>
      <c r="G3735" s="33">
        <f>+E3735*F3735</f>
        <v>48092.102541284905</v>
      </c>
    </row>
    <row r="3736" spans="1:8">
      <c r="A3736" s="211" t="s">
        <v>518</v>
      </c>
      <c r="B3736" s="216" t="str">
        <f ca="1">_xlfn.CONCAT(B3700,A3736)</f>
        <v>184F8D74-ai</v>
      </c>
      <c r="C3736" s="34" t="s">
        <v>30</v>
      </c>
      <c r="D3736" s="187">
        <f>'H-MO'!$N$86</f>
        <v>685561.39085756091</v>
      </c>
      <c r="E3736" s="29">
        <f>+D3736/8</f>
        <v>85695.173857195114</v>
      </c>
      <c r="F3736" s="28">
        <v>0</v>
      </c>
      <c r="G3736" s="33">
        <f>+E3736*F3736</f>
        <v>0</v>
      </c>
    </row>
    <row r="3737" spans="1:8" ht="14.25" thickBot="1">
      <c r="A3737" s="211" t="s">
        <v>519</v>
      </c>
      <c r="B3737" s="216" t="str">
        <f ca="1">_xlfn.CONCAT(B3700,A3737)</f>
        <v>184F8D74-aj</v>
      </c>
      <c r="C3737" s="34"/>
      <c r="D3737" s="187"/>
      <c r="E3737" s="29"/>
      <c r="F3737" s="28"/>
      <c r="G3737" s="33">
        <f>+E3737*F3737</f>
        <v>0</v>
      </c>
    </row>
    <row r="3738" spans="1:8" ht="14.25" thickBot="1">
      <c r="A3738" s="211" t="s">
        <v>520</v>
      </c>
      <c r="B3738" s="216" t="str">
        <f ca="1">_xlfn.CONCAT(B3700,A3738)</f>
        <v>184F8D74-ak</v>
      </c>
      <c r="C3738" s="34"/>
      <c r="D3738" s="185"/>
      <c r="E3738" s="26"/>
      <c r="F3738" s="36" t="s">
        <v>31</v>
      </c>
      <c r="G3738" s="23">
        <f>SUM(G3735:G3737)</f>
        <v>48092.102541284905</v>
      </c>
    </row>
    <row r="3739" spans="1:8" ht="14.25" thickBot="1">
      <c r="A3739" s="211" t="s">
        <v>521</v>
      </c>
      <c r="B3739" s="216" t="str">
        <f ca="1">_xlfn.CONCAT(B3700,A3739)</f>
        <v>184F8D74-al</v>
      </c>
      <c r="C3739" s="37"/>
      <c r="E3739" s="38"/>
      <c r="F3739" s="22"/>
      <c r="G3739" s="39"/>
    </row>
    <row r="3740" spans="1:8" ht="16.5" thickBot="1">
      <c r="A3740" s="211" t="s">
        <v>522</v>
      </c>
      <c r="B3740" s="216" t="str">
        <f ca="1">_xlfn.CONCAT(B3700,A3740)</f>
        <v>184F8D74-am</v>
      </c>
      <c r="C3740" s="40"/>
      <c r="D3740" s="193"/>
      <c r="E3740" s="41"/>
      <c r="F3740" s="42"/>
      <c r="G3740" s="43">
        <f>+G3723+G3732+G3738</f>
        <v>241734.59054128491</v>
      </c>
    </row>
    <row r="3741" spans="1:8" ht="21.75" thickBot="1">
      <c r="B3741" s="212" t="s">
        <v>550</v>
      </c>
      <c r="C3741" s="2"/>
      <c r="D3741" s="183"/>
      <c r="F3741" s="4"/>
      <c r="G3741" s="5"/>
    </row>
    <row r="3742" spans="1:8" s="45" customFormat="1" ht="34.5" customHeight="1">
      <c r="A3742" s="213"/>
      <c r="B3742" s="214">
        <v>86</v>
      </c>
      <c r="C3742" s="242" t="str">
        <f ca="1">_xlfn.XLOOKUP(B3742,Cantidades!$A$10:$A$314,Cantidades!$C$10:$C$314,,0,1)</f>
        <v>Suministro e instalación de salida para Tomacorriente doble monofásica. Incliye tubería EMT, accesorios, caja de conexiones, cableado, señalización y demás elementos para su puesta en servicio.</v>
      </c>
      <c r="D3742" s="243"/>
      <c r="E3742" s="243"/>
      <c r="F3742" s="243"/>
      <c r="G3742" s="244"/>
      <c r="H3742" s="213"/>
    </row>
    <row r="3743" spans="1:8" ht="19.5" thickBot="1">
      <c r="A3743" s="215"/>
      <c r="B3743" s="216" t="s">
        <v>550</v>
      </c>
      <c r="C3743" s="177"/>
      <c r="D3743" s="189"/>
      <c r="E3743" s="178"/>
      <c r="F3743" s="179" t="s">
        <v>636</v>
      </c>
      <c r="G3743" s="209" t="str">
        <f ca="1">B3744</f>
        <v>1ABE22FC-</v>
      </c>
      <c r="H3743" s="215"/>
    </row>
    <row r="3744" spans="1:8" ht="15.75" thickBot="1">
      <c r="B3744" s="212" t="str">
        <f ca="1">_xlfn.XLOOKUP(C3742,Cantidades!$C$1:$C$314,Cantidades!$B$1:$B$314,"",0,1)</f>
        <v>1ABE22FC-</v>
      </c>
      <c r="C3744" s="10" t="s">
        <v>0</v>
      </c>
      <c r="D3744" s="190"/>
      <c r="E3744" s="11"/>
      <c r="F3744" s="12"/>
      <c r="G3744" s="13"/>
    </row>
    <row r="3745" spans="1:8" ht="14.25" thickBot="1">
      <c r="A3745" s="215"/>
      <c r="B3745" s="216" t="s">
        <v>550</v>
      </c>
      <c r="C3745" s="14" t="s">
        <v>1</v>
      </c>
      <c r="D3745" s="15" t="s">
        <v>2</v>
      </c>
      <c r="E3745" s="15" t="s">
        <v>3</v>
      </c>
      <c r="F3745" s="16" t="s">
        <v>4</v>
      </c>
      <c r="G3745" s="15" t="s">
        <v>5</v>
      </c>
      <c r="H3745" s="215"/>
    </row>
    <row r="3746" spans="1:8">
      <c r="A3746" s="211" t="s">
        <v>484</v>
      </c>
      <c r="B3746" s="216" t="str">
        <f ca="1">_xlfn.CONCAT(B3744,A3746)</f>
        <v>1ABE22FC-A</v>
      </c>
      <c r="C3746" s="17" t="str">
        <f>_xlfn.XLOOKUP(H3746,'Materiales unitario'!$A$1:$A$2500,'Materiales unitario'!B$1:B$2500,,0,1)</f>
        <v>Tubo metálico ø3/4" EMT</v>
      </c>
      <c r="D3746" s="184" t="str">
        <f>_xlfn.XLOOKUP(H3746,'Materiales unitario'!A$1:A$2500,'Materiales unitario'!C$1:C$2500,,0,1)</f>
        <v>ml</v>
      </c>
      <c r="E3746" s="197">
        <f>_xlfn.XLOOKUP(H3746,'Materiales unitario'!$A$1:$A$2500,'Materiales unitario'!D$1:D$2500,,0,1)</f>
        <v>11733</v>
      </c>
      <c r="F3746" s="19">
        <v>5</v>
      </c>
      <c r="G3746" s="20">
        <f t="shared" ref="G3746:G3755" si="106">+E3746*F3746</f>
        <v>58665</v>
      </c>
      <c r="H3746" s="211" t="s">
        <v>388</v>
      </c>
    </row>
    <row r="3747" spans="1:8">
      <c r="A3747" s="211" t="s">
        <v>485</v>
      </c>
      <c r="B3747" s="216" t="str">
        <f ca="1">_xlfn.CONCAT(B3744,A3747)</f>
        <v>1ABE22FC-B</v>
      </c>
      <c r="C3747" s="17" t="str">
        <f>_xlfn.XLOOKUP(H3747,'Materiales unitario'!$A$1:$A$2500,'Materiales unitario'!B$1:B$2500,,0,1)</f>
        <v>Unión metálica ø3/4" EMT</v>
      </c>
      <c r="D3747" s="184" t="str">
        <f>_xlfn.XLOOKUP(H3747,'Materiales unitario'!A$1:A$2500,'Materiales unitario'!C$1:C$2500,,0,1)</f>
        <v>un</v>
      </c>
      <c r="E3747" s="197">
        <f>_xlfn.XLOOKUP(H3747,'Materiales unitario'!$A$1:$A$2500,'Materiales unitario'!D$1:D$2500,,0,1)</f>
        <v>1800</v>
      </c>
      <c r="F3747" s="19">
        <v>2</v>
      </c>
      <c r="G3747" s="20">
        <f t="shared" si="106"/>
        <v>3600</v>
      </c>
      <c r="H3747" s="211" t="s">
        <v>392</v>
      </c>
    </row>
    <row r="3748" spans="1:8">
      <c r="A3748" s="211" t="s">
        <v>486</v>
      </c>
      <c r="B3748" s="216" t="str">
        <f ca="1">_xlfn.CONCAT(B3744,A3748)</f>
        <v>1ABE22FC-C</v>
      </c>
      <c r="C3748" s="17" t="str">
        <f>_xlfn.XLOOKUP(H3748,'Materiales unitario'!$A$1:$A$2500,'Materiales unitario'!B$1:B$2500,,0,1)</f>
        <v xml:space="preserve">Terminal metálico ø3/4" EMT </v>
      </c>
      <c r="D3748" s="184" t="str">
        <f>_xlfn.XLOOKUP(H3748,'Materiales unitario'!A$1:A$2500,'Materiales unitario'!C$1:C$2500,,0,1)</f>
        <v>un</v>
      </c>
      <c r="E3748" s="197">
        <f>_xlfn.XLOOKUP(H3748,'Materiales unitario'!$A$1:$A$2500,'Materiales unitario'!D$1:D$2500,,0,1)</f>
        <v>2200</v>
      </c>
      <c r="F3748" s="19">
        <v>2</v>
      </c>
      <c r="G3748" s="20">
        <f t="shared" si="106"/>
        <v>4400</v>
      </c>
      <c r="H3748" s="211" t="s">
        <v>371</v>
      </c>
    </row>
    <row r="3749" spans="1:8">
      <c r="A3749" s="211" t="s">
        <v>487</v>
      </c>
      <c r="B3749" s="216" t="str">
        <f ca="1">_xlfn.CONCAT(B3744,A3749)</f>
        <v>1ABE22FC-D</v>
      </c>
      <c r="C3749" s="17" t="str">
        <f>_xlfn.XLOOKUP(H3749,'Materiales unitario'!$A$1:$A$2500,'Materiales unitario'!B$1:B$2500,,0,1)</f>
        <v xml:space="preserve">Soporte Metálico Uniestruc Tubería ø3/4" </v>
      </c>
      <c r="D3749" s="184" t="str">
        <f>_xlfn.XLOOKUP(H3749,'Materiales unitario'!A$1:A$2500,'Materiales unitario'!C$1:C$2500,,0,1)</f>
        <v>un</v>
      </c>
      <c r="E3749" s="197">
        <f>_xlfn.XLOOKUP(H3749,'Materiales unitario'!$A$1:$A$2500,'Materiales unitario'!D$1:D$2500,,0,1)</f>
        <v>630</v>
      </c>
      <c r="F3749" s="19">
        <v>3</v>
      </c>
      <c r="G3749" s="20">
        <f t="shared" si="106"/>
        <v>1890</v>
      </c>
      <c r="H3749" s="211" t="s">
        <v>356</v>
      </c>
    </row>
    <row r="3750" spans="1:8">
      <c r="A3750" s="211" t="s">
        <v>488</v>
      </c>
      <c r="B3750" s="216" t="str">
        <f ca="1">_xlfn.CONCAT(B3744,A3750)</f>
        <v>1ABE22FC-E</v>
      </c>
      <c r="C3750" s="17" t="str">
        <f>_xlfn.XLOOKUP(H3750,'Materiales unitario'!$A$1:$A$2500,'Materiales unitario'!B$1:B$2500,,0,1)</f>
        <v>Alambre de cobre desnudo #12 AWG-ED</v>
      </c>
      <c r="D3750" s="184" t="str">
        <f>_xlfn.XLOOKUP(H3750,'Materiales unitario'!A$1:A$2500,'Materiales unitario'!C$1:C$2500,,0,1)</f>
        <v>ml</v>
      </c>
      <c r="E3750" s="197">
        <f>_xlfn.XLOOKUP(H3750,'Materiales unitario'!$A$1:$A$2500,'Materiales unitario'!D$1:D$2500,,0,1)</f>
        <v>2558.5</v>
      </c>
      <c r="F3750" s="19">
        <v>6</v>
      </c>
      <c r="G3750" s="20">
        <f t="shared" si="106"/>
        <v>15351</v>
      </c>
      <c r="H3750" s="211" t="s">
        <v>227</v>
      </c>
    </row>
    <row r="3751" spans="1:8">
      <c r="A3751" s="211" t="s">
        <v>489</v>
      </c>
      <c r="B3751" s="216" t="str">
        <f ca="1">_xlfn.CONCAT(B3744,A3751)</f>
        <v>1ABE22FC-F</v>
      </c>
      <c r="C3751" s="17" t="str">
        <f>_xlfn.XLOOKUP(H3751,'Materiales unitario'!$A$1:$A$2500,'Materiales unitario'!B$1:B$2500,,0,1)</f>
        <v>Alambre de cobre aislado #12 AWG-THHN/THWN Color negro</v>
      </c>
      <c r="D3751" s="184" t="str">
        <f>_xlfn.XLOOKUP(H3751,'Materiales unitario'!A$1:A$2500,'Materiales unitario'!C$1:C$2500,,0,1)</f>
        <v>ml</v>
      </c>
      <c r="E3751" s="197">
        <f>_xlfn.XLOOKUP(H3751,'Materiales unitario'!$A$1:$A$2500,'Materiales unitario'!D$1:D$2500,,0,1)</f>
        <v>2975</v>
      </c>
      <c r="F3751" s="19">
        <v>12</v>
      </c>
      <c r="G3751" s="20">
        <f t="shared" si="106"/>
        <v>35700</v>
      </c>
      <c r="H3751" s="211" t="s">
        <v>524</v>
      </c>
    </row>
    <row r="3752" spans="1:8">
      <c r="A3752" s="211" t="s">
        <v>490</v>
      </c>
      <c r="B3752" s="216" t="str">
        <f ca="1">_xlfn.CONCAT(B3744,A3752)</f>
        <v>1ABE22FC-G</v>
      </c>
      <c r="C3752" s="17" t="str">
        <f>_xlfn.XLOOKUP(H3752,'Materiales unitario'!$A$1:$A$2500,'Materiales unitario'!B$1:B$2500,,0,1)</f>
        <v>Conector de resorte rojo "R" 18-10 AWG</v>
      </c>
      <c r="D3752" s="184" t="str">
        <f>_xlfn.XLOOKUP(H3752,'Materiales unitario'!A$1:A$2500,'Materiales unitario'!C$1:C$2500,,0,1)</f>
        <v>un</v>
      </c>
      <c r="E3752" s="197">
        <f>_xlfn.XLOOKUP(H3752,'Materiales unitario'!$A$1:$A$2500,'Materiales unitario'!D$1:D$2500,,0,1)</f>
        <v>280</v>
      </c>
      <c r="F3752" s="19">
        <v>3</v>
      </c>
      <c r="G3752" s="20">
        <f t="shared" si="106"/>
        <v>840</v>
      </c>
      <c r="H3752" s="211" t="s">
        <v>302</v>
      </c>
    </row>
    <row r="3753" spans="1:8">
      <c r="A3753" s="211" t="s">
        <v>491</v>
      </c>
      <c r="B3753" s="216" t="str">
        <f ca="1">_xlfn.CONCAT(B3744,A3753)</f>
        <v>1ABE22FC-H</v>
      </c>
      <c r="C3753" s="17" t="str">
        <f>_xlfn.XLOOKUP(H3753,'Materiales unitario'!$A$1:$A$2500,'Materiales unitario'!B$1:B$2500,,0,1)</f>
        <v>Toma doble 15A polo a tierra Genesis</v>
      </c>
      <c r="D3753" s="184" t="str">
        <f>_xlfn.XLOOKUP(H3753,'Materiales unitario'!A$1:A$2500,'Materiales unitario'!C$1:C$2500,,0,1)</f>
        <v>un</v>
      </c>
      <c r="E3753" s="197">
        <f>_xlfn.XLOOKUP(H3753,'Materiales unitario'!$A$1:$A$2500,'Materiales unitario'!D$1:D$2500,,0,1)</f>
        <v>8100</v>
      </c>
      <c r="F3753" s="19">
        <v>1</v>
      </c>
      <c r="G3753" s="20">
        <f t="shared" si="106"/>
        <v>8100</v>
      </c>
      <c r="H3753" s="211" t="s">
        <v>374</v>
      </c>
    </row>
    <row r="3754" spans="1:8">
      <c r="A3754" s="211" t="s">
        <v>492</v>
      </c>
      <c r="B3754" s="216" t="str">
        <f ca="1">_xlfn.CONCAT(B3744,A3754)</f>
        <v>1ABE22FC-I</v>
      </c>
      <c r="C3754" s="17" t="str">
        <f>_xlfn.XLOOKUP(H3754,'Materiales unitario'!$A$1:$A$2500,'Materiales unitario'!B$1:B$2500,,0,1)</f>
        <v xml:space="preserve">Caja galvanizada ref. 2400 + suplemento (Cal. 20) </v>
      </c>
      <c r="D3754" s="184" t="str">
        <f>_xlfn.XLOOKUP(H3754,'Materiales unitario'!A$1:A$2500,'Materiales unitario'!C$1:C$2500,,0,1)</f>
        <v>un</v>
      </c>
      <c r="E3754" s="197">
        <f>_xlfn.XLOOKUP(H3754,'Materiales unitario'!$A$1:$A$2500,'Materiales unitario'!D$1:D$2500,,0,1)</f>
        <v>4522</v>
      </c>
      <c r="F3754" s="19">
        <v>1</v>
      </c>
      <c r="G3754" s="20">
        <f t="shared" si="106"/>
        <v>4522</v>
      </c>
      <c r="H3754" s="211" t="s">
        <v>283</v>
      </c>
    </row>
    <row r="3755" spans="1:8">
      <c r="A3755" s="211" t="s">
        <v>493</v>
      </c>
      <c r="B3755" s="216" t="str">
        <f ca="1">_xlfn.CONCAT(B3744,A3755)</f>
        <v>1ABE22FC-J</v>
      </c>
      <c r="C3755" s="17" t="str">
        <f>_xlfn.XLOOKUP(H3755,'Materiales unitario'!$A$1:$A$2500,'Materiales unitario'!B$1:B$2500,,0,1)</f>
        <v>Marquillas para circuito</v>
      </c>
      <c r="D3755" s="184" t="str">
        <f>_xlfn.XLOOKUP(H3755,'Materiales unitario'!A$1:A$2500,'Materiales unitario'!C$1:C$2500,,0,1)</f>
        <v>un</v>
      </c>
      <c r="E3755" s="197">
        <f>_xlfn.XLOOKUP(H3755,'Materiales unitario'!$A$1:$A$2500,'Materiales unitario'!D$1:D$2500,,0,1)</f>
        <v>1000</v>
      </c>
      <c r="F3755" s="19">
        <v>3</v>
      </c>
      <c r="G3755" s="20">
        <f t="shared" si="106"/>
        <v>3000</v>
      </c>
      <c r="H3755" s="211" t="s">
        <v>339</v>
      </c>
    </row>
    <row r="3756" spans="1:8">
      <c r="A3756" s="211" t="s">
        <v>494</v>
      </c>
      <c r="B3756" s="216" t="str">
        <f ca="1">_xlfn.CONCAT(B3744,A3756)</f>
        <v>1ABE22FC-K</v>
      </c>
      <c r="C3756" s="17"/>
      <c r="D3756" s="184"/>
      <c r="E3756" s="197"/>
      <c r="F3756" s="19"/>
      <c r="G3756" s="20"/>
    </row>
    <row r="3757" spans="1:8">
      <c r="A3757" s="211" t="s">
        <v>495</v>
      </c>
      <c r="B3757" s="216" t="str">
        <f ca="1">_xlfn.CONCAT(B3744,A3757)</f>
        <v>1ABE22FC-L</v>
      </c>
      <c r="C3757" s="17"/>
      <c r="D3757" s="184"/>
      <c r="E3757" s="197"/>
      <c r="F3757" s="19"/>
      <c r="G3757" s="20"/>
    </row>
    <row r="3758" spans="1:8">
      <c r="A3758" s="211" t="s">
        <v>496</v>
      </c>
      <c r="B3758" s="216" t="str">
        <f ca="1">_xlfn.CONCAT(B3744,A3758)</f>
        <v>1ABE22FC-M</v>
      </c>
      <c r="C3758" s="17"/>
      <c r="D3758" s="184"/>
      <c r="E3758" s="197"/>
      <c r="F3758" s="19"/>
      <c r="G3758" s="20"/>
    </row>
    <row r="3759" spans="1:8">
      <c r="A3759" s="211" t="s">
        <v>497</v>
      </c>
      <c r="B3759" s="216" t="str">
        <f ca="1">_xlfn.CONCAT(B3744,A3759)</f>
        <v>1ABE22FC-N</v>
      </c>
      <c r="C3759" s="17"/>
      <c r="D3759" s="184"/>
      <c r="E3759" s="197"/>
      <c r="F3759" s="19"/>
      <c r="G3759" s="20"/>
    </row>
    <row r="3760" spans="1:8">
      <c r="A3760" s="211" t="s">
        <v>498</v>
      </c>
      <c r="B3760" s="216" t="str">
        <f ca="1">_xlfn.CONCAT(B3744,A3760)</f>
        <v>1ABE22FC-O</v>
      </c>
      <c r="C3760" s="17"/>
      <c r="D3760" s="184"/>
      <c r="E3760" s="197"/>
      <c r="F3760" s="19"/>
      <c r="G3760" s="20"/>
    </row>
    <row r="3761" spans="1:8">
      <c r="A3761" s="211" t="s">
        <v>499</v>
      </c>
      <c r="B3761" s="216" t="str">
        <f ca="1">_xlfn.CONCAT(B3744,A3761)</f>
        <v>1ABE22FC-P</v>
      </c>
      <c r="C3761" s="17"/>
      <c r="D3761" s="184"/>
      <c r="E3761" s="197"/>
      <c r="F3761" s="19"/>
      <c r="G3761" s="20"/>
    </row>
    <row r="3762" spans="1:8">
      <c r="A3762" s="211" t="s">
        <v>500</v>
      </c>
      <c r="B3762" s="216" t="str">
        <f ca="1">_xlfn.CONCAT(B3744,A3762)</f>
        <v>1ABE22FC-Q</v>
      </c>
      <c r="C3762" s="17"/>
      <c r="D3762" s="184"/>
      <c r="E3762" s="197"/>
      <c r="F3762" s="19"/>
      <c r="G3762" s="20"/>
    </row>
    <row r="3763" spans="1:8">
      <c r="A3763" s="211" t="s">
        <v>501</v>
      </c>
      <c r="B3763" s="216" t="str">
        <f ca="1">_xlfn.CONCAT(B3744,A3763)</f>
        <v>1ABE22FC-R</v>
      </c>
      <c r="C3763" s="17"/>
      <c r="D3763" s="184"/>
      <c r="E3763" s="197"/>
      <c r="F3763" s="19"/>
      <c r="G3763" s="20"/>
    </row>
    <row r="3764" spans="1:8">
      <c r="A3764" s="211" t="s">
        <v>502</v>
      </c>
      <c r="B3764" s="216" t="str">
        <f ca="1">_xlfn.CONCAT(B3744,A3764)</f>
        <v>1ABE22FC-S</v>
      </c>
      <c r="C3764" s="17"/>
      <c r="D3764" s="184"/>
      <c r="E3764" s="197"/>
      <c r="F3764" s="19"/>
      <c r="G3764" s="20"/>
    </row>
    <row r="3765" spans="1:8">
      <c r="A3765" s="211" t="s">
        <v>503</v>
      </c>
      <c r="B3765" s="216" t="str">
        <f ca="1">_xlfn.CONCAT(B3744,A3765)</f>
        <v>1ABE22FC-T</v>
      </c>
      <c r="C3765" s="17"/>
      <c r="D3765" s="184"/>
      <c r="E3765" s="197"/>
      <c r="F3765" s="19"/>
      <c r="G3765" s="20"/>
    </row>
    <row r="3766" spans="1:8" ht="14.25" thickBot="1">
      <c r="A3766" s="211" t="s">
        <v>504</v>
      </c>
      <c r="B3766" s="216" t="str">
        <f ca="1">_xlfn.CONCAT(B3744,A3766)</f>
        <v>1ABE22FC-U</v>
      </c>
      <c r="C3766" s="17"/>
      <c r="D3766" s="184"/>
      <c r="E3766" s="197"/>
      <c r="F3766" s="19"/>
      <c r="G3766" s="20"/>
    </row>
    <row r="3767" spans="1:8" ht="14.25" thickBot="1">
      <c r="A3767" s="211" t="s">
        <v>505</v>
      </c>
      <c r="B3767" s="216" t="str">
        <f ca="1">_xlfn.CONCAT(B3744,A3767)</f>
        <v>1ABE22FC-V</v>
      </c>
      <c r="C3767" s="17" t="s">
        <v>17</v>
      </c>
      <c r="D3767" s="192" t="s">
        <v>17</v>
      </c>
      <c r="E3767" s="18"/>
      <c r="F3767" s="22" t="s">
        <v>18</v>
      </c>
      <c r="G3767" s="23">
        <f>SUM(G3746:G3766)</f>
        <v>136068</v>
      </c>
    </row>
    <row r="3768" spans="1:8" ht="15.75" thickBot="1">
      <c r="A3768" s="211" t="s">
        <v>506</v>
      </c>
      <c r="B3768" s="216" t="str">
        <f ca="1">_xlfn.CONCAT(B3744,A3768)</f>
        <v>1ABE22FC-W</v>
      </c>
      <c r="C3768" s="10" t="s">
        <v>19</v>
      </c>
      <c r="D3768" s="190"/>
      <c r="E3768" s="11"/>
      <c r="F3768" s="12"/>
      <c r="G3768" s="13"/>
    </row>
    <row r="3769" spans="1:8" ht="14.25" thickBot="1">
      <c r="A3769" s="211" t="s">
        <v>507</v>
      </c>
      <c r="B3769" s="216" t="str">
        <f ca="1">_xlfn.CONCAT(B3744,A3769)</f>
        <v>1ABE22FC-X</v>
      </c>
      <c r="C3769" s="14" t="s">
        <v>1</v>
      </c>
      <c r="D3769" s="15"/>
      <c r="E3769" s="15" t="s">
        <v>20</v>
      </c>
      <c r="F3769" s="16" t="s">
        <v>21</v>
      </c>
      <c r="G3769" s="15" t="s">
        <v>5</v>
      </c>
      <c r="H3769" s="215"/>
    </row>
    <row r="3770" spans="1:8">
      <c r="A3770" s="211" t="s">
        <v>508</v>
      </c>
      <c r="B3770" s="216" t="str">
        <f ca="1">_xlfn.CONCAT(B3744,A3770)</f>
        <v>1ABE22FC-Y</v>
      </c>
      <c r="C3770" s="24" t="s">
        <v>22</v>
      </c>
      <c r="D3770" s="184"/>
      <c r="E3770" s="25">
        <f>_xlfn.XLOOKUP(C3770,'H-MO'!B$7:B$30,'H-MO'!D$7:D$30,,0,1)</f>
        <v>2436.5624999999995</v>
      </c>
      <c r="F3770" s="19">
        <v>0.45</v>
      </c>
      <c r="G3770" s="33">
        <f t="shared" ref="G3770:G3775" si="107">+E3770*F3770</f>
        <v>1096.4531249999998</v>
      </c>
    </row>
    <row r="3771" spans="1:8">
      <c r="A3771" s="211" t="s">
        <v>509</v>
      </c>
      <c r="B3771" s="216" t="str">
        <f ca="1">_xlfn.CONCAT(B3744,A3771)</f>
        <v>1ABE22FC-Z</v>
      </c>
      <c r="C3771" s="24" t="s">
        <v>23</v>
      </c>
      <c r="D3771" s="184"/>
      <c r="E3771" s="25">
        <f>_xlfn.XLOOKUP(C3771,'H-MO'!B$7:B$30,'H-MO'!D$7:D$30,,0,1)</f>
        <v>1461.9374999999998</v>
      </c>
      <c r="F3771" s="19">
        <v>9.7711304347826086E-2</v>
      </c>
      <c r="G3771" s="33">
        <f t="shared" si="107"/>
        <v>142.84781999999998</v>
      </c>
    </row>
    <row r="3772" spans="1:8">
      <c r="A3772" s="211" t="s">
        <v>510</v>
      </c>
      <c r="B3772" s="216" t="str">
        <f ca="1">_xlfn.CONCAT(B3744,A3772)</f>
        <v>1ABE22FC-aa</v>
      </c>
      <c r="C3772" s="24" t="s">
        <v>24</v>
      </c>
      <c r="D3772" s="185"/>
      <c r="E3772" s="25">
        <f>_xlfn.XLOOKUP(C3772,'H-MO'!B$7:B$30,'H-MO'!D$7:D$30,,0,1)</f>
        <v>29238.749999999996</v>
      </c>
      <c r="F3772" s="28">
        <v>1.6285217391304348E-3</v>
      </c>
      <c r="G3772" s="33">
        <f t="shared" si="107"/>
        <v>47.615939999999995</v>
      </c>
    </row>
    <row r="3773" spans="1:8">
      <c r="A3773" s="211" t="s">
        <v>511</v>
      </c>
      <c r="B3773" s="216" t="str">
        <f ca="1">_xlfn.CONCAT(B3744,A3773)</f>
        <v>1ABE22FC-ab</v>
      </c>
      <c r="C3773" s="24" t="s">
        <v>25</v>
      </c>
      <c r="D3773" s="185"/>
      <c r="E3773" s="25">
        <f>_xlfn.XLOOKUP(C3773,'H-MO'!B$7:B$30,'H-MO'!D$7:D$30,,0,1)</f>
        <v>2761.4374999999995</v>
      </c>
      <c r="F3773" s="28">
        <v>0.6</v>
      </c>
      <c r="G3773" s="33">
        <f t="shared" si="107"/>
        <v>1656.8624999999997</v>
      </c>
    </row>
    <row r="3774" spans="1:8">
      <c r="A3774" s="211" t="s">
        <v>512</v>
      </c>
      <c r="B3774" s="216" t="str">
        <f ca="1">_xlfn.CONCAT(B3744,A3774)</f>
        <v>1ABE22FC-ac</v>
      </c>
      <c r="C3774" s="24"/>
      <c r="D3774" s="185"/>
      <c r="E3774" s="29"/>
      <c r="F3774" s="28"/>
      <c r="G3774" s="33">
        <f t="shared" si="107"/>
        <v>0</v>
      </c>
    </row>
    <row r="3775" spans="1:8" ht="14.25" thickBot="1">
      <c r="A3775" s="211" t="s">
        <v>513</v>
      </c>
      <c r="B3775" s="216" t="str">
        <f ca="1">_xlfn.CONCAT(B3744,A3775)</f>
        <v>1ABE22FC-ad</v>
      </c>
      <c r="C3775" s="24"/>
      <c r="D3775" s="185"/>
      <c r="E3775" s="29"/>
      <c r="F3775" s="28"/>
      <c r="G3775" s="33">
        <f t="shared" si="107"/>
        <v>0</v>
      </c>
    </row>
    <row r="3776" spans="1:8" ht="14.25" thickBot="1">
      <c r="A3776" s="211" t="s">
        <v>514</v>
      </c>
      <c r="B3776" s="216" t="str">
        <f ca="1">_xlfn.CONCAT(B3744,A3776)</f>
        <v>1ABE22FC-ae</v>
      </c>
      <c r="C3776" s="17"/>
      <c r="D3776" s="192"/>
      <c r="E3776" s="18"/>
      <c r="F3776" s="22" t="s">
        <v>26</v>
      </c>
      <c r="G3776" s="23">
        <f>SUM(G3770:G3775)</f>
        <v>2943.7793849999994</v>
      </c>
    </row>
    <row r="3777" spans="1:8" ht="15.75" thickBot="1">
      <c r="A3777" s="211" t="s">
        <v>515</v>
      </c>
      <c r="B3777" s="216" t="str">
        <f ca="1">_xlfn.CONCAT(B3744,A3777)</f>
        <v>1ABE22FC-af</v>
      </c>
      <c r="C3777" s="10" t="s">
        <v>27</v>
      </c>
      <c r="D3777" s="190"/>
      <c r="E3777" s="11"/>
      <c r="F3777" s="12"/>
      <c r="G3777" s="13"/>
    </row>
    <row r="3778" spans="1:8" ht="14.25" thickBot="1">
      <c r="A3778" s="211" t="s">
        <v>516</v>
      </c>
      <c r="B3778" s="216" t="str">
        <f ca="1">_xlfn.CONCAT(B3744,A3778)</f>
        <v>1ABE22FC-ag</v>
      </c>
      <c r="C3778" s="14" t="s">
        <v>1</v>
      </c>
      <c r="D3778" s="15" t="s">
        <v>28</v>
      </c>
      <c r="E3778" s="15" t="s">
        <v>20</v>
      </c>
      <c r="F3778" s="16" t="s">
        <v>21</v>
      </c>
      <c r="G3778" s="15" t="s">
        <v>5</v>
      </c>
      <c r="H3778" s="215"/>
    </row>
    <row r="3779" spans="1:8">
      <c r="A3779" s="211" t="s">
        <v>517</v>
      </c>
      <c r="B3779" s="216" t="str">
        <f ca="1">_xlfn.CONCAT(B3744,A3779)</f>
        <v>1ABE22FC-ah</v>
      </c>
      <c r="C3779" s="30" t="s">
        <v>29</v>
      </c>
      <c r="D3779" s="186">
        <f>'H-MO'!$N$77</f>
        <v>725918.52892505517</v>
      </c>
      <c r="E3779" s="31">
        <f>+D3779/8</f>
        <v>90739.816115631897</v>
      </c>
      <c r="F3779" s="32">
        <v>0.45</v>
      </c>
      <c r="G3779" s="33">
        <f>+E3779*F3779</f>
        <v>40832.917252034356</v>
      </c>
    </row>
    <row r="3780" spans="1:8">
      <c r="A3780" s="211" t="s">
        <v>518</v>
      </c>
      <c r="B3780" s="216" t="str">
        <f ca="1">_xlfn.CONCAT(B3744,A3780)</f>
        <v>1ABE22FC-ai</v>
      </c>
      <c r="C3780" s="34" t="s">
        <v>30</v>
      </c>
      <c r="D3780" s="187">
        <f>'H-MO'!$N$86</f>
        <v>685561.39085756091</v>
      </c>
      <c r="E3780" s="29">
        <f>+D3780/8</f>
        <v>85695.173857195114</v>
      </c>
      <c r="F3780" s="28">
        <v>0</v>
      </c>
      <c r="G3780" s="33">
        <f>+E3780*F3780</f>
        <v>0</v>
      </c>
    </row>
    <row r="3781" spans="1:8" ht="14.25" thickBot="1">
      <c r="A3781" s="211" t="s">
        <v>519</v>
      </c>
      <c r="B3781" s="216" t="str">
        <f ca="1">_xlfn.CONCAT(B3744,A3781)</f>
        <v>1ABE22FC-aj</v>
      </c>
      <c r="C3781" s="34"/>
      <c r="D3781" s="187"/>
      <c r="E3781" s="29"/>
      <c r="F3781" s="28"/>
      <c r="G3781" s="33">
        <f>+E3781*F3781</f>
        <v>0</v>
      </c>
    </row>
    <row r="3782" spans="1:8" ht="14.25" thickBot="1">
      <c r="A3782" s="211" t="s">
        <v>520</v>
      </c>
      <c r="B3782" s="216" t="str">
        <f ca="1">_xlfn.CONCAT(B3744,A3782)</f>
        <v>1ABE22FC-ak</v>
      </c>
      <c r="C3782" s="34"/>
      <c r="D3782" s="185"/>
      <c r="E3782" s="26"/>
      <c r="F3782" s="36" t="s">
        <v>31</v>
      </c>
      <c r="G3782" s="23">
        <f>SUM(G3779:G3781)</f>
        <v>40832.917252034356</v>
      </c>
    </row>
    <row r="3783" spans="1:8" ht="14.25" thickBot="1">
      <c r="A3783" s="211" t="s">
        <v>521</v>
      </c>
      <c r="B3783" s="216" t="str">
        <f ca="1">_xlfn.CONCAT(B3744,A3783)</f>
        <v>1ABE22FC-al</v>
      </c>
      <c r="C3783" s="37"/>
      <c r="E3783" s="38"/>
      <c r="F3783" s="22"/>
      <c r="G3783" s="39"/>
    </row>
    <row r="3784" spans="1:8" ht="16.5" thickBot="1">
      <c r="A3784" s="211" t="s">
        <v>522</v>
      </c>
      <c r="B3784" s="216" t="str">
        <f ca="1">_xlfn.CONCAT(B3744,A3784)</f>
        <v>1ABE22FC-am</v>
      </c>
      <c r="C3784" s="40"/>
      <c r="D3784" s="193"/>
      <c r="E3784" s="41"/>
      <c r="F3784" s="42"/>
      <c r="G3784" s="43">
        <f>+G3767+G3776+G3782</f>
        <v>179844.69663703436</v>
      </c>
    </row>
    <row r="3785" spans="1:8" ht="21.75" thickBot="1">
      <c r="B3785" s="212" t="s">
        <v>550</v>
      </c>
      <c r="C3785" s="2"/>
      <c r="D3785" s="183"/>
      <c r="F3785" s="4"/>
      <c r="G3785" s="5"/>
    </row>
    <row r="3786" spans="1:8" s="45" customFormat="1" ht="34.5" customHeight="1">
      <c r="A3786" s="213"/>
      <c r="B3786" s="214">
        <v>87</v>
      </c>
      <c r="C3786" s="242" t="str">
        <f ca="1">_xlfn.XLOOKUP(B3786,Cantidades!$A$10:$A$314,Cantidades!$C$10:$C$314,,0,1)</f>
        <v>Suministro e instalación de salida para Tomacorriente GFCI. Incliye tubería EMT, accesorios, caja de conexiones, cableado, señalización y demás elementos para su puesta en servicio.</v>
      </c>
      <c r="D3786" s="243"/>
      <c r="E3786" s="243"/>
      <c r="F3786" s="243"/>
      <c r="G3786" s="244"/>
      <c r="H3786" s="213"/>
    </row>
    <row r="3787" spans="1:8" ht="19.5" thickBot="1">
      <c r="A3787" s="215"/>
      <c r="B3787" s="216" t="s">
        <v>550</v>
      </c>
      <c r="C3787" s="177"/>
      <c r="D3787" s="189"/>
      <c r="E3787" s="178"/>
      <c r="F3787" s="179" t="s">
        <v>636</v>
      </c>
      <c r="G3787" s="209" t="str">
        <f ca="1">B3788</f>
        <v>3889CEFB-</v>
      </c>
      <c r="H3787" s="215"/>
    </row>
    <row r="3788" spans="1:8" ht="15.75" thickBot="1">
      <c r="B3788" s="212" t="str">
        <f ca="1">_xlfn.XLOOKUP(C3786,Cantidades!$C$1:$C$314,Cantidades!$B$1:$B$314,"",0,1)</f>
        <v>3889CEFB-</v>
      </c>
      <c r="C3788" s="10" t="s">
        <v>0</v>
      </c>
      <c r="D3788" s="190"/>
      <c r="E3788" s="11"/>
      <c r="F3788" s="12"/>
      <c r="G3788" s="13"/>
    </row>
    <row r="3789" spans="1:8" ht="14.25" thickBot="1">
      <c r="A3789" s="215"/>
      <c r="B3789" s="216" t="s">
        <v>550</v>
      </c>
      <c r="C3789" s="14" t="s">
        <v>1</v>
      </c>
      <c r="D3789" s="15" t="s">
        <v>2</v>
      </c>
      <c r="E3789" s="15" t="s">
        <v>3</v>
      </c>
      <c r="F3789" s="16" t="s">
        <v>4</v>
      </c>
      <c r="G3789" s="15" t="s">
        <v>5</v>
      </c>
      <c r="H3789" s="215"/>
    </row>
    <row r="3790" spans="1:8">
      <c r="A3790" s="211" t="s">
        <v>484</v>
      </c>
      <c r="B3790" s="216" t="str">
        <f ca="1">_xlfn.CONCAT(B3788,A3790)</f>
        <v>3889CEFB-A</v>
      </c>
      <c r="C3790" s="17" t="str">
        <f>_xlfn.XLOOKUP(H3790,'Materiales unitario'!$A$1:$A$2500,'Materiales unitario'!B$1:B$2500,,0,1)</f>
        <v>Tubo metálico ø3/4" EMT</v>
      </c>
      <c r="D3790" s="184" t="str">
        <f>_xlfn.XLOOKUP(H3790,'Materiales unitario'!A$1:A$2500,'Materiales unitario'!C$1:C$2500,,0,1)</f>
        <v>ml</v>
      </c>
      <c r="E3790" s="197">
        <f>_xlfn.XLOOKUP(H3790,'Materiales unitario'!$A$1:$A$2500,'Materiales unitario'!D$1:D$2500,,0,1)</f>
        <v>11733</v>
      </c>
      <c r="F3790" s="19">
        <v>5</v>
      </c>
      <c r="G3790" s="20">
        <f t="shared" ref="G3790:G3799" si="108">+E3790*F3790</f>
        <v>58665</v>
      </c>
      <c r="H3790" s="211" t="s">
        <v>388</v>
      </c>
    </row>
    <row r="3791" spans="1:8">
      <c r="A3791" s="211" t="s">
        <v>485</v>
      </c>
      <c r="B3791" s="216" t="str">
        <f ca="1">_xlfn.CONCAT(B3788,A3791)</f>
        <v>3889CEFB-B</v>
      </c>
      <c r="C3791" s="17" t="str">
        <f>_xlfn.XLOOKUP(H3791,'Materiales unitario'!$A$1:$A$2500,'Materiales unitario'!B$1:B$2500,,0,1)</f>
        <v>Unión metálica ø3/4" EMT</v>
      </c>
      <c r="D3791" s="184" t="str">
        <f>_xlfn.XLOOKUP(H3791,'Materiales unitario'!A$1:A$2500,'Materiales unitario'!C$1:C$2500,,0,1)</f>
        <v>un</v>
      </c>
      <c r="E3791" s="197">
        <f>_xlfn.XLOOKUP(H3791,'Materiales unitario'!$A$1:$A$2500,'Materiales unitario'!D$1:D$2500,,0,1)</f>
        <v>1800</v>
      </c>
      <c r="F3791" s="19">
        <v>2</v>
      </c>
      <c r="G3791" s="20">
        <f t="shared" si="108"/>
        <v>3600</v>
      </c>
      <c r="H3791" s="211" t="s">
        <v>392</v>
      </c>
    </row>
    <row r="3792" spans="1:8">
      <c r="A3792" s="211" t="s">
        <v>486</v>
      </c>
      <c r="B3792" s="216" t="str">
        <f ca="1">_xlfn.CONCAT(B3788,A3792)</f>
        <v>3889CEFB-C</v>
      </c>
      <c r="C3792" s="17" t="str">
        <f>_xlfn.XLOOKUP(H3792,'Materiales unitario'!$A$1:$A$2500,'Materiales unitario'!B$1:B$2500,,0,1)</f>
        <v xml:space="preserve">Terminal metálico ø3/4" EMT </v>
      </c>
      <c r="D3792" s="184" t="str">
        <f>_xlfn.XLOOKUP(H3792,'Materiales unitario'!A$1:A$2500,'Materiales unitario'!C$1:C$2500,,0,1)</f>
        <v>un</v>
      </c>
      <c r="E3792" s="197">
        <f>_xlfn.XLOOKUP(H3792,'Materiales unitario'!$A$1:$A$2500,'Materiales unitario'!D$1:D$2500,,0,1)</f>
        <v>2200</v>
      </c>
      <c r="F3792" s="19">
        <v>2</v>
      </c>
      <c r="G3792" s="20">
        <f t="shared" si="108"/>
        <v>4400</v>
      </c>
      <c r="H3792" s="211" t="s">
        <v>371</v>
      </c>
    </row>
    <row r="3793" spans="1:8">
      <c r="A3793" s="211" t="s">
        <v>487</v>
      </c>
      <c r="B3793" s="216" t="str">
        <f ca="1">_xlfn.CONCAT(B3788,A3793)</f>
        <v>3889CEFB-D</v>
      </c>
      <c r="C3793" s="17" t="str">
        <f>_xlfn.XLOOKUP(H3793,'Materiales unitario'!$A$1:$A$2500,'Materiales unitario'!B$1:B$2500,,0,1)</f>
        <v xml:space="preserve">Soporte Metálico Uniestruc Tubería ø3/4" </v>
      </c>
      <c r="D3793" s="184" t="str">
        <f>_xlfn.XLOOKUP(H3793,'Materiales unitario'!A$1:A$2500,'Materiales unitario'!C$1:C$2500,,0,1)</f>
        <v>un</v>
      </c>
      <c r="E3793" s="197">
        <f>_xlfn.XLOOKUP(H3793,'Materiales unitario'!$A$1:$A$2500,'Materiales unitario'!D$1:D$2500,,0,1)</f>
        <v>630</v>
      </c>
      <c r="F3793" s="19">
        <v>3</v>
      </c>
      <c r="G3793" s="20">
        <f t="shared" si="108"/>
        <v>1890</v>
      </c>
      <c r="H3793" s="211" t="s">
        <v>356</v>
      </c>
    </row>
    <row r="3794" spans="1:8">
      <c r="A3794" s="211" t="s">
        <v>488</v>
      </c>
      <c r="B3794" s="216" t="str">
        <f ca="1">_xlfn.CONCAT(B3788,A3794)</f>
        <v>3889CEFB-E</v>
      </c>
      <c r="C3794" s="17" t="str">
        <f>_xlfn.XLOOKUP(H3794,'Materiales unitario'!$A$1:$A$2500,'Materiales unitario'!B$1:B$2500,,0,1)</f>
        <v>Alambre de cobre desnudo #12 AWG-ED</v>
      </c>
      <c r="D3794" s="184" t="str">
        <f>_xlfn.XLOOKUP(H3794,'Materiales unitario'!A$1:A$2500,'Materiales unitario'!C$1:C$2500,,0,1)</f>
        <v>ml</v>
      </c>
      <c r="E3794" s="197">
        <f>_xlfn.XLOOKUP(H3794,'Materiales unitario'!$A$1:$A$2500,'Materiales unitario'!D$1:D$2500,,0,1)</f>
        <v>2558.5</v>
      </c>
      <c r="F3794" s="19">
        <v>6</v>
      </c>
      <c r="G3794" s="20">
        <f t="shared" si="108"/>
        <v>15351</v>
      </c>
      <c r="H3794" s="211" t="s">
        <v>227</v>
      </c>
    </row>
    <row r="3795" spans="1:8">
      <c r="A3795" s="211" t="s">
        <v>489</v>
      </c>
      <c r="B3795" s="216" t="str">
        <f ca="1">_xlfn.CONCAT(B3788,A3795)</f>
        <v>3889CEFB-F</v>
      </c>
      <c r="C3795" s="17" t="str">
        <f>_xlfn.XLOOKUP(H3795,'Materiales unitario'!$A$1:$A$2500,'Materiales unitario'!B$1:B$2500,,0,1)</f>
        <v>Alambre de cobre aislado #12 AWG-THHN/THWN Color negro</v>
      </c>
      <c r="D3795" s="184" t="str">
        <f>_xlfn.XLOOKUP(H3795,'Materiales unitario'!A$1:A$2500,'Materiales unitario'!C$1:C$2500,,0,1)</f>
        <v>ml</v>
      </c>
      <c r="E3795" s="197">
        <f>_xlfn.XLOOKUP(H3795,'Materiales unitario'!$A$1:$A$2500,'Materiales unitario'!D$1:D$2500,,0,1)</f>
        <v>2975</v>
      </c>
      <c r="F3795" s="19">
        <v>12</v>
      </c>
      <c r="G3795" s="20">
        <f t="shared" si="108"/>
        <v>35700</v>
      </c>
      <c r="H3795" s="211" t="s">
        <v>524</v>
      </c>
    </row>
    <row r="3796" spans="1:8">
      <c r="A3796" s="211" t="s">
        <v>490</v>
      </c>
      <c r="B3796" s="216" t="str">
        <f ca="1">_xlfn.CONCAT(B3788,A3796)</f>
        <v>3889CEFB-G</v>
      </c>
      <c r="C3796" s="17" t="str">
        <f>_xlfn.XLOOKUP(H3796,'Materiales unitario'!$A$1:$A$2500,'Materiales unitario'!B$1:B$2500,,0,1)</f>
        <v>Conector de resorte rojo "R" 18-10 AWG</v>
      </c>
      <c r="D3796" s="184" t="str">
        <f>_xlfn.XLOOKUP(H3796,'Materiales unitario'!A$1:A$2500,'Materiales unitario'!C$1:C$2500,,0,1)</f>
        <v>un</v>
      </c>
      <c r="E3796" s="197">
        <f>_xlfn.XLOOKUP(H3796,'Materiales unitario'!$A$1:$A$2500,'Materiales unitario'!D$1:D$2500,,0,1)</f>
        <v>280</v>
      </c>
      <c r="F3796" s="19">
        <v>3</v>
      </c>
      <c r="G3796" s="20">
        <f t="shared" si="108"/>
        <v>840</v>
      </c>
      <c r="H3796" s="211" t="s">
        <v>302</v>
      </c>
    </row>
    <row r="3797" spans="1:8">
      <c r="A3797" s="211" t="s">
        <v>491</v>
      </c>
      <c r="B3797" s="216" t="str">
        <f ca="1">_xlfn.CONCAT(B3788,A3797)</f>
        <v>3889CEFB-H</v>
      </c>
      <c r="C3797" s="17" t="str">
        <f>_xlfn.XLOOKUP(H3797,'Materiales unitario'!$A$1:$A$2500,'Materiales unitario'!B$1:B$2500,,0,1)</f>
        <v>Toma doble Genesis GFCI</v>
      </c>
      <c r="D3797" s="184" t="str">
        <f>_xlfn.XLOOKUP(H3797,'Materiales unitario'!A$1:A$2500,'Materiales unitario'!C$1:C$2500,,0,1)</f>
        <v>un</v>
      </c>
      <c r="E3797" s="197">
        <f>_xlfn.XLOOKUP(H3797,'Materiales unitario'!$A$1:$A$2500,'Materiales unitario'!D$1:D$2500,,0,1)</f>
        <v>58000</v>
      </c>
      <c r="F3797" s="19">
        <v>1</v>
      </c>
      <c r="G3797" s="20">
        <f t="shared" si="108"/>
        <v>58000</v>
      </c>
      <c r="H3797" s="211" t="s">
        <v>665</v>
      </c>
    </row>
    <row r="3798" spans="1:8">
      <c r="A3798" s="211" t="s">
        <v>492</v>
      </c>
      <c r="B3798" s="216" t="str">
        <f ca="1">_xlfn.CONCAT(B3788,A3798)</f>
        <v>3889CEFB-I</v>
      </c>
      <c r="C3798" s="17" t="str">
        <f>_xlfn.XLOOKUP(H3798,'Materiales unitario'!$A$1:$A$2500,'Materiales unitario'!B$1:B$2500,,0,1)</f>
        <v xml:space="preserve">Caja galvanizada ref. 2400 + suplemento (Cal. 20) </v>
      </c>
      <c r="D3798" s="184" t="str">
        <f>_xlfn.XLOOKUP(H3798,'Materiales unitario'!A$1:A$2500,'Materiales unitario'!C$1:C$2500,,0,1)</f>
        <v>un</v>
      </c>
      <c r="E3798" s="197">
        <f>_xlfn.XLOOKUP(H3798,'Materiales unitario'!$A$1:$A$2500,'Materiales unitario'!D$1:D$2500,,0,1)</f>
        <v>4522</v>
      </c>
      <c r="F3798" s="19">
        <v>1</v>
      </c>
      <c r="G3798" s="20">
        <f t="shared" si="108"/>
        <v>4522</v>
      </c>
      <c r="H3798" s="211" t="s">
        <v>283</v>
      </c>
    </row>
    <row r="3799" spans="1:8">
      <c r="A3799" s="211" t="s">
        <v>493</v>
      </c>
      <c r="B3799" s="216" t="str">
        <f ca="1">_xlfn.CONCAT(B3788,A3799)</f>
        <v>3889CEFB-J</v>
      </c>
      <c r="C3799" s="17" t="str">
        <f>_xlfn.XLOOKUP(H3799,'Materiales unitario'!$A$1:$A$2500,'Materiales unitario'!B$1:B$2500,,0,1)</f>
        <v>Marquillas para circuito</v>
      </c>
      <c r="D3799" s="184" t="str">
        <f>_xlfn.XLOOKUP(H3799,'Materiales unitario'!A$1:A$2500,'Materiales unitario'!C$1:C$2500,,0,1)</f>
        <v>un</v>
      </c>
      <c r="E3799" s="197">
        <f>_xlfn.XLOOKUP(H3799,'Materiales unitario'!$A$1:$A$2500,'Materiales unitario'!D$1:D$2500,,0,1)</f>
        <v>1000</v>
      </c>
      <c r="F3799" s="19">
        <v>3</v>
      </c>
      <c r="G3799" s="20">
        <f t="shared" si="108"/>
        <v>3000</v>
      </c>
      <c r="H3799" s="211" t="s">
        <v>339</v>
      </c>
    </row>
    <row r="3800" spans="1:8">
      <c r="A3800" s="211" t="s">
        <v>494</v>
      </c>
      <c r="B3800" s="216" t="str">
        <f ca="1">_xlfn.CONCAT(B3788,A3800)</f>
        <v>3889CEFB-K</v>
      </c>
      <c r="C3800" s="17"/>
      <c r="D3800" s="184"/>
      <c r="E3800" s="197"/>
      <c r="F3800" s="19"/>
      <c r="G3800" s="20"/>
    </row>
    <row r="3801" spans="1:8">
      <c r="A3801" s="211" t="s">
        <v>495</v>
      </c>
      <c r="B3801" s="216" t="str">
        <f ca="1">_xlfn.CONCAT(B3788,A3801)</f>
        <v>3889CEFB-L</v>
      </c>
      <c r="C3801" s="17"/>
      <c r="D3801" s="184"/>
      <c r="E3801" s="197"/>
      <c r="F3801" s="19"/>
      <c r="G3801" s="20"/>
    </row>
    <row r="3802" spans="1:8">
      <c r="A3802" s="211" t="s">
        <v>496</v>
      </c>
      <c r="B3802" s="216" t="str">
        <f ca="1">_xlfn.CONCAT(B3788,A3802)</f>
        <v>3889CEFB-M</v>
      </c>
      <c r="C3802" s="17"/>
      <c r="D3802" s="184"/>
      <c r="E3802" s="197"/>
      <c r="F3802" s="19"/>
      <c r="G3802" s="20"/>
    </row>
    <row r="3803" spans="1:8">
      <c r="A3803" s="211" t="s">
        <v>497</v>
      </c>
      <c r="B3803" s="216" t="str">
        <f ca="1">_xlfn.CONCAT(B3788,A3803)</f>
        <v>3889CEFB-N</v>
      </c>
      <c r="C3803" s="17"/>
      <c r="D3803" s="184"/>
      <c r="E3803" s="197"/>
      <c r="F3803" s="19"/>
      <c r="G3803" s="20"/>
    </row>
    <row r="3804" spans="1:8">
      <c r="A3804" s="211" t="s">
        <v>498</v>
      </c>
      <c r="B3804" s="216" t="str">
        <f ca="1">_xlfn.CONCAT(B3788,A3804)</f>
        <v>3889CEFB-O</v>
      </c>
      <c r="C3804" s="17"/>
      <c r="D3804" s="184"/>
      <c r="E3804" s="197"/>
      <c r="F3804" s="19"/>
      <c r="G3804" s="20"/>
    </row>
    <row r="3805" spans="1:8">
      <c r="A3805" s="211" t="s">
        <v>499</v>
      </c>
      <c r="B3805" s="216" t="str">
        <f ca="1">_xlfn.CONCAT(B3788,A3805)</f>
        <v>3889CEFB-P</v>
      </c>
      <c r="C3805" s="17"/>
      <c r="D3805" s="184"/>
      <c r="E3805" s="197"/>
      <c r="F3805" s="19"/>
      <c r="G3805" s="20"/>
    </row>
    <row r="3806" spans="1:8">
      <c r="A3806" s="211" t="s">
        <v>500</v>
      </c>
      <c r="B3806" s="216" t="str">
        <f ca="1">_xlfn.CONCAT(B3788,A3806)</f>
        <v>3889CEFB-Q</v>
      </c>
      <c r="C3806" s="17"/>
      <c r="D3806" s="184"/>
      <c r="E3806" s="197"/>
      <c r="F3806" s="19"/>
      <c r="G3806" s="20"/>
    </row>
    <row r="3807" spans="1:8">
      <c r="A3807" s="211" t="s">
        <v>501</v>
      </c>
      <c r="B3807" s="216" t="str">
        <f ca="1">_xlfn.CONCAT(B3788,A3807)</f>
        <v>3889CEFB-R</v>
      </c>
      <c r="C3807" s="17"/>
      <c r="D3807" s="184"/>
      <c r="E3807" s="197"/>
      <c r="F3807" s="19"/>
      <c r="G3807" s="20"/>
    </row>
    <row r="3808" spans="1:8">
      <c r="A3808" s="211" t="s">
        <v>502</v>
      </c>
      <c r="B3808" s="216" t="str">
        <f ca="1">_xlfn.CONCAT(B3788,A3808)</f>
        <v>3889CEFB-S</v>
      </c>
      <c r="C3808" s="17"/>
      <c r="D3808" s="184"/>
      <c r="E3808" s="197"/>
      <c r="F3808" s="19"/>
      <c r="G3808" s="20"/>
    </row>
    <row r="3809" spans="1:8">
      <c r="A3809" s="211" t="s">
        <v>503</v>
      </c>
      <c r="B3809" s="216" t="str">
        <f ca="1">_xlfn.CONCAT(B3788,A3809)</f>
        <v>3889CEFB-T</v>
      </c>
      <c r="C3809" s="17"/>
      <c r="D3809" s="184"/>
      <c r="E3809" s="197"/>
      <c r="F3809" s="19"/>
      <c r="G3809" s="20"/>
    </row>
    <row r="3810" spans="1:8" ht="14.25" thickBot="1">
      <c r="A3810" s="211" t="s">
        <v>504</v>
      </c>
      <c r="B3810" s="216" t="str">
        <f ca="1">_xlfn.CONCAT(B3788,A3810)</f>
        <v>3889CEFB-U</v>
      </c>
      <c r="C3810" s="17"/>
      <c r="D3810" s="184"/>
      <c r="E3810" s="197"/>
      <c r="F3810" s="19"/>
      <c r="G3810" s="20"/>
    </row>
    <row r="3811" spans="1:8" ht="14.25" thickBot="1">
      <c r="A3811" s="211" t="s">
        <v>505</v>
      </c>
      <c r="B3811" s="216" t="str">
        <f ca="1">_xlfn.CONCAT(B3788,A3811)</f>
        <v>3889CEFB-V</v>
      </c>
      <c r="C3811" s="17" t="s">
        <v>17</v>
      </c>
      <c r="D3811" s="192" t="s">
        <v>17</v>
      </c>
      <c r="E3811" s="18"/>
      <c r="F3811" s="22" t="s">
        <v>18</v>
      </c>
      <c r="G3811" s="23">
        <f>SUM(G3790:G3810)</f>
        <v>185968</v>
      </c>
    </row>
    <row r="3812" spans="1:8" ht="15.75" thickBot="1">
      <c r="A3812" s="211" t="s">
        <v>506</v>
      </c>
      <c r="B3812" s="216" t="str">
        <f ca="1">_xlfn.CONCAT(B3788,A3812)</f>
        <v>3889CEFB-W</v>
      </c>
      <c r="C3812" s="10" t="s">
        <v>19</v>
      </c>
      <c r="D3812" s="190"/>
      <c r="E3812" s="11"/>
      <c r="F3812" s="12"/>
      <c r="G3812" s="13"/>
    </row>
    <row r="3813" spans="1:8" ht="14.25" thickBot="1">
      <c r="A3813" s="211" t="s">
        <v>507</v>
      </c>
      <c r="B3813" s="216" t="str">
        <f ca="1">_xlfn.CONCAT(B3788,A3813)</f>
        <v>3889CEFB-X</v>
      </c>
      <c r="C3813" s="14" t="s">
        <v>1</v>
      </c>
      <c r="D3813" s="15"/>
      <c r="E3813" s="15" t="s">
        <v>20</v>
      </c>
      <c r="F3813" s="16" t="s">
        <v>21</v>
      </c>
      <c r="G3813" s="15" t="s">
        <v>5</v>
      </c>
      <c r="H3813" s="215"/>
    </row>
    <row r="3814" spans="1:8">
      <c r="A3814" s="211" t="s">
        <v>508</v>
      </c>
      <c r="B3814" s="216" t="str">
        <f ca="1">_xlfn.CONCAT(B3788,A3814)</f>
        <v>3889CEFB-Y</v>
      </c>
      <c r="C3814" s="24" t="s">
        <v>22</v>
      </c>
      <c r="D3814" s="184"/>
      <c r="E3814" s="25">
        <f>_xlfn.XLOOKUP(C3814,'H-MO'!B$7:B$30,'H-MO'!D$7:D$30,,0,1)</f>
        <v>2436.5624999999995</v>
      </c>
      <c r="F3814" s="19">
        <v>0.45</v>
      </c>
      <c r="G3814" s="33">
        <f t="shared" ref="G3814:G3819" si="109">+E3814*F3814</f>
        <v>1096.4531249999998</v>
      </c>
    </row>
    <row r="3815" spans="1:8">
      <c r="A3815" s="211" t="s">
        <v>509</v>
      </c>
      <c r="B3815" s="216" t="str">
        <f ca="1">_xlfn.CONCAT(B3788,A3815)</f>
        <v>3889CEFB-Z</v>
      </c>
      <c r="C3815" s="24" t="s">
        <v>23</v>
      </c>
      <c r="D3815" s="184"/>
      <c r="E3815" s="25">
        <f>_xlfn.XLOOKUP(C3815,'H-MO'!B$7:B$30,'H-MO'!D$7:D$30,,0,1)</f>
        <v>1461.9374999999998</v>
      </c>
      <c r="F3815" s="19">
        <v>9.7711304347826086E-2</v>
      </c>
      <c r="G3815" s="33">
        <f t="shared" si="109"/>
        <v>142.84781999999998</v>
      </c>
    </row>
    <row r="3816" spans="1:8">
      <c r="A3816" s="211" t="s">
        <v>510</v>
      </c>
      <c r="B3816" s="216" t="str">
        <f ca="1">_xlfn.CONCAT(B3788,A3816)</f>
        <v>3889CEFB-aa</v>
      </c>
      <c r="C3816" s="24" t="s">
        <v>24</v>
      </c>
      <c r="D3816" s="185"/>
      <c r="E3816" s="25">
        <f>_xlfn.XLOOKUP(C3816,'H-MO'!B$7:B$30,'H-MO'!D$7:D$30,,0,1)</f>
        <v>29238.749999999996</v>
      </c>
      <c r="F3816" s="28">
        <v>1.6285217391304348E-3</v>
      </c>
      <c r="G3816" s="33">
        <f t="shared" si="109"/>
        <v>47.615939999999995</v>
      </c>
    </row>
    <row r="3817" spans="1:8">
      <c r="A3817" s="211" t="s">
        <v>511</v>
      </c>
      <c r="B3817" s="216" t="str">
        <f ca="1">_xlfn.CONCAT(B3788,A3817)</f>
        <v>3889CEFB-ab</v>
      </c>
      <c r="C3817" s="24" t="s">
        <v>25</v>
      </c>
      <c r="D3817" s="185"/>
      <c r="E3817" s="25">
        <f>_xlfn.XLOOKUP(C3817,'H-MO'!B$7:B$30,'H-MO'!D$7:D$30,,0,1)</f>
        <v>2761.4374999999995</v>
      </c>
      <c r="F3817" s="28">
        <v>0.6</v>
      </c>
      <c r="G3817" s="33">
        <f t="shared" si="109"/>
        <v>1656.8624999999997</v>
      </c>
    </row>
    <row r="3818" spans="1:8">
      <c r="A3818" s="211" t="s">
        <v>512</v>
      </c>
      <c r="B3818" s="216" t="str">
        <f ca="1">_xlfn.CONCAT(B3788,A3818)</f>
        <v>3889CEFB-ac</v>
      </c>
      <c r="C3818" s="24"/>
      <c r="D3818" s="185"/>
      <c r="E3818" s="29"/>
      <c r="F3818" s="28"/>
      <c r="G3818" s="33">
        <f t="shared" si="109"/>
        <v>0</v>
      </c>
    </row>
    <row r="3819" spans="1:8" ht="14.25" thickBot="1">
      <c r="A3819" s="211" t="s">
        <v>513</v>
      </c>
      <c r="B3819" s="216" t="str">
        <f ca="1">_xlfn.CONCAT(B3788,A3819)</f>
        <v>3889CEFB-ad</v>
      </c>
      <c r="C3819" s="24"/>
      <c r="D3819" s="185"/>
      <c r="E3819" s="29"/>
      <c r="F3819" s="28"/>
      <c r="G3819" s="33">
        <f t="shared" si="109"/>
        <v>0</v>
      </c>
    </row>
    <row r="3820" spans="1:8" ht="14.25" thickBot="1">
      <c r="A3820" s="211" t="s">
        <v>514</v>
      </c>
      <c r="B3820" s="216" t="str">
        <f ca="1">_xlfn.CONCAT(B3788,A3820)</f>
        <v>3889CEFB-ae</v>
      </c>
      <c r="C3820" s="17"/>
      <c r="D3820" s="192"/>
      <c r="E3820" s="18"/>
      <c r="F3820" s="22" t="s">
        <v>26</v>
      </c>
      <c r="G3820" s="23">
        <f>SUM(G3814:G3819)</f>
        <v>2943.7793849999994</v>
      </c>
    </row>
    <row r="3821" spans="1:8" ht="15.75" thickBot="1">
      <c r="A3821" s="211" t="s">
        <v>515</v>
      </c>
      <c r="B3821" s="216" t="str">
        <f ca="1">_xlfn.CONCAT(B3788,A3821)</f>
        <v>3889CEFB-af</v>
      </c>
      <c r="C3821" s="10" t="s">
        <v>27</v>
      </c>
      <c r="D3821" s="190"/>
      <c r="E3821" s="11"/>
      <c r="F3821" s="12"/>
      <c r="G3821" s="13"/>
    </row>
    <row r="3822" spans="1:8" ht="14.25" thickBot="1">
      <c r="A3822" s="211" t="s">
        <v>516</v>
      </c>
      <c r="B3822" s="216" t="str">
        <f ca="1">_xlfn.CONCAT(B3788,A3822)</f>
        <v>3889CEFB-ag</v>
      </c>
      <c r="C3822" s="14" t="s">
        <v>1</v>
      </c>
      <c r="D3822" s="15" t="s">
        <v>28</v>
      </c>
      <c r="E3822" s="15" t="s">
        <v>20</v>
      </c>
      <c r="F3822" s="16" t="s">
        <v>21</v>
      </c>
      <c r="G3822" s="15" t="s">
        <v>5</v>
      </c>
      <c r="H3822" s="215"/>
    </row>
    <row r="3823" spans="1:8">
      <c r="A3823" s="211" t="s">
        <v>517</v>
      </c>
      <c r="B3823" s="216" t="str">
        <f ca="1">_xlfn.CONCAT(B3788,A3823)</f>
        <v>3889CEFB-ah</v>
      </c>
      <c r="C3823" s="30" t="s">
        <v>29</v>
      </c>
      <c r="D3823" s="186">
        <f>'H-MO'!$N$77</f>
        <v>725918.52892505517</v>
      </c>
      <c r="E3823" s="31">
        <f>+D3823/8</f>
        <v>90739.816115631897</v>
      </c>
      <c r="F3823" s="32">
        <v>0.45</v>
      </c>
      <c r="G3823" s="33">
        <f>+E3823*F3823</f>
        <v>40832.917252034356</v>
      </c>
    </row>
    <row r="3824" spans="1:8">
      <c r="A3824" s="211" t="s">
        <v>518</v>
      </c>
      <c r="B3824" s="216" t="str">
        <f ca="1">_xlfn.CONCAT(B3788,A3824)</f>
        <v>3889CEFB-ai</v>
      </c>
      <c r="C3824" s="34" t="s">
        <v>30</v>
      </c>
      <c r="D3824" s="187">
        <f>'H-MO'!$N$86</f>
        <v>685561.39085756091</v>
      </c>
      <c r="E3824" s="29">
        <f>+D3824/8</f>
        <v>85695.173857195114</v>
      </c>
      <c r="F3824" s="28">
        <v>0</v>
      </c>
      <c r="G3824" s="33">
        <f>+E3824*F3824</f>
        <v>0</v>
      </c>
    </row>
    <row r="3825" spans="1:8" ht="14.25" thickBot="1">
      <c r="A3825" s="211" t="s">
        <v>519</v>
      </c>
      <c r="B3825" s="216" t="str">
        <f ca="1">_xlfn.CONCAT(B3788,A3825)</f>
        <v>3889CEFB-aj</v>
      </c>
      <c r="C3825" s="34"/>
      <c r="D3825" s="187"/>
      <c r="E3825" s="29"/>
      <c r="F3825" s="28"/>
      <c r="G3825" s="33">
        <f>+E3825*F3825</f>
        <v>0</v>
      </c>
    </row>
    <row r="3826" spans="1:8" ht="14.25" thickBot="1">
      <c r="A3826" s="211" t="s">
        <v>520</v>
      </c>
      <c r="B3826" s="216" t="str">
        <f ca="1">_xlfn.CONCAT(B3788,A3826)</f>
        <v>3889CEFB-ak</v>
      </c>
      <c r="C3826" s="34"/>
      <c r="D3826" s="185"/>
      <c r="E3826" s="26"/>
      <c r="F3826" s="36" t="s">
        <v>31</v>
      </c>
      <c r="G3826" s="23">
        <f>SUM(G3823:G3825)</f>
        <v>40832.917252034356</v>
      </c>
    </row>
    <row r="3827" spans="1:8" ht="14.25" thickBot="1">
      <c r="A3827" s="211" t="s">
        <v>521</v>
      </c>
      <c r="B3827" s="216" t="str">
        <f ca="1">_xlfn.CONCAT(B3788,A3827)</f>
        <v>3889CEFB-al</v>
      </c>
      <c r="C3827" s="37"/>
      <c r="E3827" s="38"/>
      <c r="F3827" s="22"/>
      <c r="G3827" s="39"/>
    </row>
    <row r="3828" spans="1:8" ht="16.5" thickBot="1">
      <c r="A3828" s="211" t="s">
        <v>522</v>
      </c>
      <c r="B3828" s="216" t="str">
        <f ca="1">_xlfn.CONCAT(B3788,A3828)</f>
        <v>3889CEFB-am</v>
      </c>
      <c r="C3828" s="40"/>
      <c r="D3828" s="193"/>
      <c r="E3828" s="41"/>
      <c r="F3828" s="42"/>
      <c r="G3828" s="43">
        <f>+G3811+G3820+G3826</f>
        <v>229744.69663703436</v>
      </c>
    </row>
    <row r="3829" spans="1:8" ht="21.75" thickBot="1">
      <c r="B3829" s="212" t="s">
        <v>550</v>
      </c>
      <c r="C3829" s="2"/>
      <c r="D3829" s="183"/>
      <c r="F3829" s="4"/>
      <c r="G3829" s="5"/>
    </row>
    <row r="3830" spans="1:8" s="45" customFormat="1" ht="34.5" customHeight="1">
      <c r="A3830" s="213"/>
      <c r="B3830" s="214">
        <v>88</v>
      </c>
      <c r="C3830" s="242" t="str">
        <f ca="1">_xlfn.XLOOKUP(B3830,Cantidades!$A$10:$A$314,Cantidades!$C$10:$C$314,,0,1)</f>
        <v>Suministro e instalación de salida para Toma bifásica. Incliye tubería EMT, accesorios, caja de conexiones, cableado, señalización y demás elementos para su puesta en servicio.</v>
      </c>
      <c r="D3830" s="243"/>
      <c r="E3830" s="243"/>
      <c r="F3830" s="243"/>
      <c r="G3830" s="244"/>
      <c r="H3830" s="213"/>
    </row>
    <row r="3831" spans="1:8" ht="19.5" thickBot="1">
      <c r="A3831" s="215"/>
      <c r="B3831" s="216" t="s">
        <v>550</v>
      </c>
      <c r="C3831" s="177"/>
      <c r="D3831" s="189"/>
      <c r="E3831" s="178"/>
      <c r="F3831" s="179" t="s">
        <v>636</v>
      </c>
      <c r="G3831" s="209" t="str">
        <f ca="1">B3832</f>
        <v>1F3CEE8-</v>
      </c>
      <c r="H3831" s="215"/>
    </row>
    <row r="3832" spans="1:8" ht="15.75" thickBot="1">
      <c r="B3832" s="212" t="str">
        <f ca="1">_xlfn.XLOOKUP(C3830,Cantidades!$C$1:$C$314,Cantidades!$B$1:$B$314,"",0,1)</f>
        <v>1F3CEE8-</v>
      </c>
      <c r="C3832" s="10" t="s">
        <v>0</v>
      </c>
      <c r="D3832" s="190"/>
      <c r="E3832" s="11"/>
      <c r="F3832" s="12"/>
      <c r="G3832" s="13"/>
    </row>
    <row r="3833" spans="1:8" ht="14.25" thickBot="1">
      <c r="A3833" s="215"/>
      <c r="B3833" s="216" t="s">
        <v>550</v>
      </c>
      <c r="C3833" s="14" t="s">
        <v>1</v>
      </c>
      <c r="D3833" s="15" t="s">
        <v>2</v>
      </c>
      <c r="E3833" s="15" t="s">
        <v>3</v>
      </c>
      <c r="F3833" s="16" t="s">
        <v>4</v>
      </c>
      <c r="G3833" s="15" t="s">
        <v>5</v>
      </c>
      <c r="H3833" s="215"/>
    </row>
    <row r="3834" spans="1:8">
      <c r="A3834" s="211" t="s">
        <v>484</v>
      </c>
      <c r="B3834" s="216" t="str">
        <f ca="1">_xlfn.CONCAT(B3832,A3834)</f>
        <v>1F3CEE8-A</v>
      </c>
      <c r="C3834" s="17" t="str">
        <f>_xlfn.XLOOKUP(H3834,'Materiales unitario'!$A$1:$A$2500,'Materiales unitario'!B$1:B$2500,,0,1)</f>
        <v>Tubo metálico ø3/4" EMT</v>
      </c>
      <c r="D3834" s="184" t="str">
        <f>_xlfn.XLOOKUP(H3834,'Materiales unitario'!A$1:A$2500,'Materiales unitario'!C$1:C$2500,,0,1)</f>
        <v>ml</v>
      </c>
      <c r="E3834" s="197">
        <f>_xlfn.XLOOKUP(H3834,'Materiales unitario'!$A$1:$A$2500,'Materiales unitario'!D$1:D$2500,,0,1)</f>
        <v>11733</v>
      </c>
      <c r="F3834" s="19">
        <v>8</v>
      </c>
      <c r="G3834" s="20">
        <f t="shared" ref="G3834:G3843" si="110">+E3834*F3834</f>
        <v>93864</v>
      </c>
      <c r="H3834" s="211" t="s">
        <v>388</v>
      </c>
    </row>
    <row r="3835" spans="1:8">
      <c r="A3835" s="211" t="s">
        <v>485</v>
      </c>
      <c r="B3835" s="216" t="str">
        <f ca="1">_xlfn.CONCAT(B3832,A3835)</f>
        <v>1F3CEE8-B</v>
      </c>
      <c r="C3835" s="17" t="str">
        <f>_xlfn.XLOOKUP(H3835,'Materiales unitario'!$A$1:$A$2500,'Materiales unitario'!B$1:B$2500,,0,1)</f>
        <v>Unión metálica ø3/4" EMT</v>
      </c>
      <c r="D3835" s="184" t="str">
        <f>_xlfn.XLOOKUP(H3835,'Materiales unitario'!A$1:A$2500,'Materiales unitario'!C$1:C$2500,,0,1)</f>
        <v>un</v>
      </c>
      <c r="E3835" s="197">
        <f>_xlfn.XLOOKUP(H3835,'Materiales unitario'!$A$1:$A$2500,'Materiales unitario'!D$1:D$2500,,0,1)</f>
        <v>1800</v>
      </c>
      <c r="F3835" s="19">
        <v>2</v>
      </c>
      <c r="G3835" s="20">
        <f t="shared" si="110"/>
        <v>3600</v>
      </c>
      <c r="H3835" s="211" t="s">
        <v>392</v>
      </c>
    </row>
    <row r="3836" spans="1:8">
      <c r="A3836" s="211" t="s">
        <v>486</v>
      </c>
      <c r="B3836" s="216" t="str">
        <f ca="1">_xlfn.CONCAT(B3832,A3836)</f>
        <v>1F3CEE8-C</v>
      </c>
      <c r="C3836" s="17" t="str">
        <f>_xlfn.XLOOKUP(H3836,'Materiales unitario'!$A$1:$A$2500,'Materiales unitario'!B$1:B$2500,,0,1)</f>
        <v xml:space="preserve">Terminal metálico ø3/4" EMT </v>
      </c>
      <c r="D3836" s="184" t="str">
        <f>_xlfn.XLOOKUP(H3836,'Materiales unitario'!A$1:A$2500,'Materiales unitario'!C$1:C$2500,,0,1)</f>
        <v>un</v>
      </c>
      <c r="E3836" s="197">
        <f>_xlfn.XLOOKUP(H3836,'Materiales unitario'!$A$1:$A$2500,'Materiales unitario'!D$1:D$2500,,0,1)</f>
        <v>2200</v>
      </c>
      <c r="F3836" s="19">
        <v>2</v>
      </c>
      <c r="G3836" s="20">
        <f t="shared" si="110"/>
        <v>4400</v>
      </c>
      <c r="H3836" s="211" t="s">
        <v>371</v>
      </c>
    </row>
    <row r="3837" spans="1:8">
      <c r="A3837" s="211" t="s">
        <v>487</v>
      </c>
      <c r="B3837" s="216" t="str">
        <f ca="1">_xlfn.CONCAT(B3832,A3837)</f>
        <v>1F3CEE8-D</v>
      </c>
      <c r="C3837" s="17" t="str">
        <f>_xlfn.XLOOKUP(H3837,'Materiales unitario'!$A$1:$A$2500,'Materiales unitario'!B$1:B$2500,,0,1)</f>
        <v xml:space="preserve">Soporte Metálico Uniestruc Tubería ø3/4" </v>
      </c>
      <c r="D3837" s="184" t="str">
        <f>_xlfn.XLOOKUP(H3837,'Materiales unitario'!A$1:A$2500,'Materiales unitario'!C$1:C$2500,,0,1)</f>
        <v>un</v>
      </c>
      <c r="E3837" s="197">
        <f>_xlfn.XLOOKUP(H3837,'Materiales unitario'!$A$1:$A$2500,'Materiales unitario'!D$1:D$2500,,0,1)</f>
        <v>630</v>
      </c>
      <c r="F3837" s="19">
        <v>2</v>
      </c>
      <c r="G3837" s="20">
        <f t="shared" si="110"/>
        <v>1260</v>
      </c>
      <c r="H3837" s="211" t="s">
        <v>356</v>
      </c>
    </row>
    <row r="3838" spans="1:8">
      <c r="A3838" s="211" t="s">
        <v>488</v>
      </c>
      <c r="B3838" s="216" t="str">
        <f ca="1">_xlfn.CONCAT(B3832,A3838)</f>
        <v>1F3CEE8-E</v>
      </c>
      <c r="C3838" s="17" t="str">
        <f>_xlfn.XLOOKUP(H3838,'Materiales unitario'!$A$1:$A$2500,'Materiales unitario'!B$1:B$2500,,0,1)</f>
        <v>Alambre de cobre desnudo #12 AWG-ED</v>
      </c>
      <c r="D3838" s="184" t="str">
        <f>_xlfn.XLOOKUP(H3838,'Materiales unitario'!A$1:A$2500,'Materiales unitario'!C$1:C$2500,,0,1)</f>
        <v>ml</v>
      </c>
      <c r="E3838" s="197">
        <f>_xlfn.XLOOKUP(H3838,'Materiales unitario'!$A$1:$A$2500,'Materiales unitario'!D$1:D$2500,,0,1)</f>
        <v>2558.5</v>
      </c>
      <c r="F3838" s="19">
        <v>9</v>
      </c>
      <c r="G3838" s="20">
        <f t="shared" si="110"/>
        <v>23026.5</v>
      </c>
      <c r="H3838" s="211" t="s">
        <v>227</v>
      </c>
    </row>
    <row r="3839" spans="1:8">
      <c r="A3839" s="211" t="s">
        <v>489</v>
      </c>
      <c r="B3839" s="216" t="str">
        <f ca="1">_xlfn.CONCAT(B3832,A3839)</f>
        <v>1F3CEE8-F</v>
      </c>
      <c r="C3839" s="17" t="str">
        <f>_xlfn.XLOOKUP(H3839,'Materiales unitario'!$A$1:$A$2500,'Materiales unitario'!B$1:B$2500,,0,1)</f>
        <v>Alambre de cobre aislado #12 AWG-THHN/THWN Color negro</v>
      </c>
      <c r="D3839" s="184" t="str">
        <f>_xlfn.XLOOKUP(H3839,'Materiales unitario'!A$1:A$2500,'Materiales unitario'!C$1:C$2500,,0,1)</f>
        <v>ml</v>
      </c>
      <c r="E3839" s="197">
        <f>_xlfn.XLOOKUP(H3839,'Materiales unitario'!$A$1:$A$2500,'Materiales unitario'!D$1:D$2500,,0,1)</f>
        <v>2975</v>
      </c>
      <c r="F3839" s="19">
        <v>18</v>
      </c>
      <c r="G3839" s="20">
        <f t="shared" si="110"/>
        <v>53550</v>
      </c>
      <c r="H3839" s="211" t="s">
        <v>524</v>
      </c>
    </row>
    <row r="3840" spans="1:8">
      <c r="A3840" s="211" t="s">
        <v>490</v>
      </c>
      <c r="B3840" s="216" t="str">
        <f ca="1">_xlfn.CONCAT(B3832,A3840)</f>
        <v>1F3CEE8-G</v>
      </c>
      <c r="C3840" s="17" t="str">
        <f>_xlfn.XLOOKUP(H3840,'Materiales unitario'!$A$1:$A$2500,'Materiales unitario'!B$1:B$2500,,0,1)</f>
        <v>Conector de resorte rojo "R" 18-10 AWG</v>
      </c>
      <c r="D3840" s="184" t="str">
        <f>_xlfn.XLOOKUP(H3840,'Materiales unitario'!A$1:A$2500,'Materiales unitario'!C$1:C$2500,,0,1)</f>
        <v>un</v>
      </c>
      <c r="E3840" s="197">
        <f>_xlfn.XLOOKUP(H3840,'Materiales unitario'!$A$1:$A$2500,'Materiales unitario'!D$1:D$2500,,0,1)</f>
        <v>280</v>
      </c>
      <c r="F3840" s="19">
        <v>3</v>
      </c>
      <c r="G3840" s="20">
        <f t="shared" si="110"/>
        <v>840</v>
      </c>
      <c r="H3840" s="211" t="s">
        <v>302</v>
      </c>
    </row>
    <row r="3841" spans="1:8">
      <c r="A3841" s="211" t="s">
        <v>491</v>
      </c>
      <c r="B3841" s="216" t="str">
        <f ca="1">_xlfn.CONCAT(B3832,A3841)</f>
        <v>1F3CEE8-H</v>
      </c>
      <c r="C3841" s="17" t="str">
        <f>_xlfn.XLOOKUP(H3841,'Materiales unitario'!$A$1:$A$2500,'Materiales unitario'!B$1:B$2500,,0,1)</f>
        <v xml:space="preserve">Caja galvanizada ref. 2400 + suplemento (Cal. 20) </v>
      </c>
      <c r="D3841" s="184" t="str">
        <f>_xlfn.XLOOKUP(H3841,'Materiales unitario'!A$1:A$2500,'Materiales unitario'!C$1:C$2500,,0,1)</f>
        <v>un</v>
      </c>
      <c r="E3841" s="197">
        <f>_xlfn.XLOOKUP(H3841,'Materiales unitario'!$A$1:$A$2500,'Materiales unitario'!D$1:D$2500,,0,1)</f>
        <v>4522</v>
      </c>
      <c r="F3841" s="19">
        <v>1</v>
      </c>
      <c r="G3841" s="20">
        <f t="shared" si="110"/>
        <v>4522</v>
      </c>
      <c r="H3841" s="211" t="s">
        <v>283</v>
      </c>
    </row>
    <row r="3842" spans="1:8">
      <c r="A3842" s="211" t="s">
        <v>492</v>
      </c>
      <c r="B3842" s="216" t="str">
        <f ca="1">_xlfn.CONCAT(B3832,A3842)</f>
        <v>1F3CEE8-I</v>
      </c>
      <c r="C3842" s="17" t="str">
        <f>_xlfn.XLOOKUP(H3842,'Materiales unitario'!$A$1:$A$2500,'Materiales unitario'!B$1:B$2500,,0,1)</f>
        <v>Marquillas para circuito</v>
      </c>
      <c r="D3842" s="184" t="str">
        <f>_xlfn.XLOOKUP(H3842,'Materiales unitario'!A$1:A$2500,'Materiales unitario'!C$1:C$2500,,0,1)</f>
        <v>un</v>
      </c>
      <c r="E3842" s="197">
        <f>_xlfn.XLOOKUP(H3842,'Materiales unitario'!$A$1:$A$2500,'Materiales unitario'!D$1:D$2500,,0,1)</f>
        <v>1000</v>
      </c>
      <c r="F3842" s="19">
        <v>3</v>
      </c>
      <c r="G3842" s="20">
        <f t="shared" si="110"/>
        <v>3000</v>
      </c>
      <c r="H3842" s="211" t="s">
        <v>339</v>
      </c>
    </row>
    <row r="3843" spans="1:8">
      <c r="A3843" s="211" t="s">
        <v>493</v>
      </c>
      <c r="B3843" s="216" t="str">
        <f ca="1">_xlfn.CONCAT(B3832,A3843)</f>
        <v>1F3CEE8-J</v>
      </c>
      <c r="C3843" s="17" t="str">
        <f>_xlfn.XLOOKUP(H3843,'Materiales unitario'!$A$1:$A$2500,'Materiales unitario'!B$1:B$2500,,0,1)</f>
        <v>Toma Incrustar bifásica 2 x 20A - 250V.</v>
      </c>
      <c r="D3843" s="184" t="str">
        <f>_xlfn.XLOOKUP(H3843,'Materiales unitario'!A$1:A$2500,'Materiales unitario'!C$1:C$2500,,0,1)</f>
        <v>un</v>
      </c>
      <c r="E3843" s="197">
        <f>_xlfn.XLOOKUP(H3843,'Materiales unitario'!$A$1:$A$2500,'Materiales unitario'!D$1:D$2500,,0,1)</f>
        <v>11900</v>
      </c>
      <c r="F3843" s="19">
        <v>1</v>
      </c>
      <c r="G3843" s="20">
        <f t="shared" si="110"/>
        <v>11900</v>
      </c>
      <c r="H3843" s="211" t="s">
        <v>378</v>
      </c>
    </row>
    <row r="3844" spans="1:8">
      <c r="A3844" s="211" t="s">
        <v>494</v>
      </c>
      <c r="B3844" s="216" t="str">
        <f ca="1">_xlfn.CONCAT(B3832,A3844)</f>
        <v>1F3CEE8-K</v>
      </c>
      <c r="C3844" s="17"/>
      <c r="D3844" s="184"/>
      <c r="E3844" s="197"/>
      <c r="F3844" s="19"/>
      <c r="G3844" s="20"/>
    </row>
    <row r="3845" spans="1:8">
      <c r="A3845" s="211" t="s">
        <v>495</v>
      </c>
      <c r="B3845" s="216" t="str">
        <f ca="1">_xlfn.CONCAT(B3832,A3845)</f>
        <v>1F3CEE8-L</v>
      </c>
      <c r="C3845" s="17"/>
      <c r="D3845" s="184"/>
      <c r="E3845" s="197"/>
      <c r="F3845" s="19"/>
      <c r="G3845" s="20"/>
    </row>
    <row r="3846" spans="1:8">
      <c r="A3846" s="211" t="s">
        <v>496</v>
      </c>
      <c r="B3846" s="216" t="str">
        <f ca="1">_xlfn.CONCAT(B3832,A3846)</f>
        <v>1F3CEE8-M</v>
      </c>
      <c r="C3846" s="17"/>
      <c r="D3846" s="184"/>
      <c r="E3846" s="197"/>
      <c r="F3846" s="19"/>
      <c r="G3846" s="20"/>
    </row>
    <row r="3847" spans="1:8">
      <c r="A3847" s="211" t="s">
        <v>497</v>
      </c>
      <c r="B3847" s="216" t="str">
        <f ca="1">_xlfn.CONCAT(B3832,A3847)</f>
        <v>1F3CEE8-N</v>
      </c>
      <c r="C3847" s="17"/>
      <c r="D3847" s="184"/>
      <c r="E3847" s="197"/>
      <c r="F3847" s="19"/>
      <c r="G3847" s="20"/>
    </row>
    <row r="3848" spans="1:8">
      <c r="A3848" s="211" t="s">
        <v>498</v>
      </c>
      <c r="B3848" s="216" t="str">
        <f ca="1">_xlfn.CONCAT(B3832,A3848)</f>
        <v>1F3CEE8-O</v>
      </c>
      <c r="C3848" s="17"/>
      <c r="D3848" s="184"/>
      <c r="E3848" s="197"/>
      <c r="F3848" s="19"/>
      <c r="G3848" s="20"/>
    </row>
    <row r="3849" spans="1:8">
      <c r="A3849" s="211" t="s">
        <v>499</v>
      </c>
      <c r="B3849" s="216" t="str">
        <f ca="1">_xlfn.CONCAT(B3832,A3849)</f>
        <v>1F3CEE8-P</v>
      </c>
      <c r="C3849" s="17"/>
      <c r="D3849" s="184"/>
      <c r="E3849" s="197"/>
      <c r="F3849" s="19"/>
      <c r="G3849" s="20"/>
    </row>
    <row r="3850" spans="1:8">
      <c r="A3850" s="211" t="s">
        <v>500</v>
      </c>
      <c r="B3850" s="216" t="str">
        <f ca="1">_xlfn.CONCAT(B3832,A3850)</f>
        <v>1F3CEE8-Q</v>
      </c>
      <c r="C3850" s="17"/>
      <c r="D3850" s="184"/>
      <c r="E3850" s="197"/>
      <c r="F3850" s="19"/>
      <c r="G3850" s="20"/>
    </row>
    <row r="3851" spans="1:8">
      <c r="A3851" s="211" t="s">
        <v>501</v>
      </c>
      <c r="B3851" s="216" t="str">
        <f ca="1">_xlfn.CONCAT(B3832,A3851)</f>
        <v>1F3CEE8-R</v>
      </c>
      <c r="C3851" s="17"/>
      <c r="D3851" s="184"/>
      <c r="E3851" s="197"/>
      <c r="F3851" s="19"/>
      <c r="G3851" s="20"/>
    </row>
    <row r="3852" spans="1:8">
      <c r="A3852" s="211" t="s">
        <v>502</v>
      </c>
      <c r="B3852" s="216" t="str">
        <f ca="1">_xlfn.CONCAT(B3832,A3852)</f>
        <v>1F3CEE8-S</v>
      </c>
      <c r="C3852" s="17"/>
      <c r="D3852" s="184"/>
      <c r="E3852" s="197"/>
      <c r="F3852" s="19"/>
      <c r="G3852" s="20"/>
    </row>
    <row r="3853" spans="1:8">
      <c r="A3853" s="211" t="s">
        <v>503</v>
      </c>
      <c r="B3853" s="216" t="str">
        <f ca="1">_xlfn.CONCAT(B3832,A3853)</f>
        <v>1F3CEE8-T</v>
      </c>
      <c r="C3853" s="17"/>
      <c r="D3853" s="184"/>
      <c r="E3853" s="197"/>
      <c r="F3853" s="19"/>
      <c r="G3853" s="20"/>
    </row>
    <row r="3854" spans="1:8" ht="14.25" thickBot="1">
      <c r="A3854" s="211" t="s">
        <v>504</v>
      </c>
      <c r="B3854" s="216" t="str">
        <f ca="1">_xlfn.CONCAT(B3832,A3854)</f>
        <v>1F3CEE8-U</v>
      </c>
      <c r="C3854" s="17"/>
      <c r="D3854" s="184"/>
      <c r="E3854" s="197"/>
      <c r="F3854" s="19"/>
      <c r="G3854" s="20"/>
    </row>
    <row r="3855" spans="1:8" ht="14.25" thickBot="1">
      <c r="A3855" s="211" t="s">
        <v>505</v>
      </c>
      <c r="B3855" s="216" t="str">
        <f ca="1">_xlfn.CONCAT(B3832,A3855)</f>
        <v>1F3CEE8-V</v>
      </c>
      <c r="C3855" s="17" t="s">
        <v>17</v>
      </c>
      <c r="D3855" s="192" t="s">
        <v>17</v>
      </c>
      <c r="E3855" s="18"/>
      <c r="F3855" s="22" t="s">
        <v>18</v>
      </c>
      <c r="G3855" s="23">
        <f>SUM(G3834:G3854)</f>
        <v>199962.5</v>
      </c>
    </row>
    <row r="3856" spans="1:8" ht="15.75" thickBot="1">
      <c r="A3856" s="211" t="s">
        <v>506</v>
      </c>
      <c r="B3856" s="216" t="str">
        <f ca="1">_xlfn.CONCAT(B3832,A3856)</f>
        <v>1F3CEE8-W</v>
      </c>
      <c r="C3856" s="10" t="s">
        <v>19</v>
      </c>
      <c r="D3856" s="190"/>
      <c r="E3856" s="11"/>
      <c r="F3856" s="12"/>
      <c r="G3856" s="13"/>
    </row>
    <row r="3857" spans="1:8" ht="14.25" thickBot="1">
      <c r="A3857" s="211" t="s">
        <v>507</v>
      </c>
      <c r="B3857" s="216" t="str">
        <f ca="1">_xlfn.CONCAT(B3832,A3857)</f>
        <v>1F3CEE8-X</v>
      </c>
      <c r="C3857" s="14" t="s">
        <v>1</v>
      </c>
      <c r="D3857" s="15"/>
      <c r="E3857" s="15" t="s">
        <v>20</v>
      </c>
      <c r="F3857" s="16" t="s">
        <v>21</v>
      </c>
      <c r="G3857" s="15" t="s">
        <v>5</v>
      </c>
      <c r="H3857" s="215"/>
    </row>
    <row r="3858" spans="1:8">
      <c r="A3858" s="211" t="s">
        <v>508</v>
      </c>
      <c r="B3858" s="216" t="str">
        <f ca="1">_xlfn.CONCAT(B3832,A3858)</f>
        <v>1F3CEE8-Y</v>
      </c>
      <c r="C3858" s="24" t="s">
        <v>22</v>
      </c>
      <c r="D3858" s="184"/>
      <c r="E3858" s="25">
        <f>_xlfn.XLOOKUP(C3858,'H-MO'!B$7:B$30,'H-MO'!D$7:D$30,,0,1)</f>
        <v>2436.5624999999995</v>
      </c>
      <c r="F3858" s="19">
        <v>0.5</v>
      </c>
      <c r="G3858" s="33">
        <f t="shared" ref="G3858:G3863" si="111">+E3858*F3858</f>
        <v>1218.2812499999998</v>
      </c>
    </row>
    <row r="3859" spans="1:8">
      <c r="A3859" s="211" t="s">
        <v>509</v>
      </c>
      <c r="B3859" s="216" t="str">
        <f ca="1">_xlfn.CONCAT(B3832,A3859)</f>
        <v>1F3CEE8-Z</v>
      </c>
      <c r="C3859" s="24" t="s">
        <v>23</v>
      </c>
      <c r="D3859" s="184"/>
      <c r="E3859" s="25">
        <f>_xlfn.XLOOKUP(C3859,'H-MO'!B$7:B$30,'H-MO'!D$7:D$30,,0,1)</f>
        <v>1461.9374999999998</v>
      </c>
      <c r="F3859" s="19">
        <v>9.8000000000000004E-2</v>
      </c>
      <c r="G3859" s="33">
        <f t="shared" si="111"/>
        <v>143.26987499999998</v>
      </c>
    </row>
    <row r="3860" spans="1:8">
      <c r="A3860" s="211" t="s">
        <v>510</v>
      </c>
      <c r="B3860" s="216" t="str">
        <f ca="1">_xlfn.CONCAT(B3832,A3860)</f>
        <v>1F3CEE8-aa</v>
      </c>
      <c r="C3860" s="24" t="s">
        <v>24</v>
      </c>
      <c r="D3860" s="185"/>
      <c r="E3860" s="25">
        <f>_xlfn.XLOOKUP(C3860,'H-MO'!B$7:B$30,'H-MO'!D$7:D$30,,0,1)</f>
        <v>29238.749999999996</v>
      </c>
      <c r="F3860" s="28">
        <v>2E-3</v>
      </c>
      <c r="G3860" s="33">
        <f t="shared" si="111"/>
        <v>58.477499999999992</v>
      </c>
    </row>
    <row r="3861" spans="1:8">
      <c r="A3861" s="211" t="s">
        <v>511</v>
      </c>
      <c r="B3861" s="216" t="str">
        <f ca="1">_xlfn.CONCAT(B3832,A3861)</f>
        <v>1F3CEE8-ab</v>
      </c>
      <c r="C3861" s="24" t="s">
        <v>25</v>
      </c>
      <c r="D3861" s="185"/>
      <c r="E3861" s="25">
        <f>_xlfn.XLOOKUP(C3861,'H-MO'!B$7:B$30,'H-MO'!D$7:D$30,,0,1)</f>
        <v>2761.4374999999995</v>
      </c>
      <c r="F3861" s="28">
        <v>0.6</v>
      </c>
      <c r="G3861" s="33">
        <f t="shared" si="111"/>
        <v>1656.8624999999997</v>
      </c>
    </row>
    <row r="3862" spans="1:8">
      <c r="A3862" s="211" t="s">
        <v>512</v>
      </c>
      <c r="B3862" s="216" t="str">
        <f ca="1">_xlfn.CONCAT(B3832,A3862)</f>
        <v>1F3CEE8-ac</v>
      </c>
      <c r="C3862" s="24"/>
      <c r="D3862" s="185"/>
      <c r="E3862" s="29"/>
      <c r="F3862" s="28"/>
      <c r="G3862" s="33">
        <f t="shared" si="111"/>
        <v>0</v>
      </c>
    </row>
    <row r="3863" spans="1:8" ht="14.25" thickBot="1">
      <c r="A3863" s="211" t="s">
        <v>513</v>
      </c>
      <c r="B3863" s="216" t="str">
        <f ca="1">_xlfn.CONCAT(B3832,A3863)</f>
        <v>1F3CEE8-ad</v>
      </c>
      <c r="C3863" s="24"/>
      <c r="D3863" s="185"/>
      <c r="E3863" s="29"/>
      <c r="F3863" s="28"/>
      <c r="G3863" s="33">
        <f t="shared" si="111"/>
        <v>0</v>
      </c>
    </row>
    <row r="3864" spans="1:8" ht="14.25" thickBot="1">
      <c r="A3864" s="211" t="s">
        <v>514</v>
      </c>
      <c r="B3864" s="216" t="str">
        <f ca="1">_xlfn.CONCAT(B3832,A3864)</f>
        <v>1F3CEE8-ae</v>
      </c>
      <c r="C3864" s="17"/>
      <c r="D3864" s="192"/>
      <c r="E3864" s="18"/>
      <c r="F3864" s="22" t="s">
        <v>26</v>
      </c>
      <c r="G3864" s="23">
        <f>SUM(G3858:G3863)</f>
        <v>3076.8911249999992</v>
      </c>
    </row>
    <row r="3865" spans="1:8" ht="15.75" thickBot="1">
      <c r="A3865" s="211" t="s">
        <v>515</v>
      </c>
      <c r="B3865" s="216" t="str">
        <f ca="1">_xlfn.CONCAT(B3832,A3865)</f>
        <v>1F3CEE8-af</v>
      </c>
      <c r="C3865" s="10" t="s">
        <v>27</v>
      </c>
      <c r="D3865" s="190"/>
      <c r="E3865" s="11"/>
      <c r="F3865" s="12"/>
      <c r="G3865" s="13"/>
    </row>
    <row r="3866" spans="1:8" ht="14.25" thickBot="1">
      <c r="A3866" s="211" t="s">
        <v>516</v>
      </c>
      <c r="B3866" s="216" t="str">
        <f ca="1">_xlfn.CONCAT(B3832,A3866)</f>
        <v>1F3CEE8-ag</v>
      </c>
      <c r="C3866" s="14" t="s">
        <v>1</v>
      </c>
      <c r="D3866" s="15" t="s">
        <v>28</v>
      </c>
      <c r="E3866" s="15" t="s">
        <v>20</v>
      </c>
      <c r="F3866" s="16" t="s">
        <v>21</v>
      </c>
      <c r="G3866" s="15" t="s">
        <v>5</v>
      </c>
      <c r="H3866" s="215"/>
    </row>
    <row r="3867" spans="1:8">
      <c r="A3867" s="211" t="s">
        <v>517</v>
      </c>
      <c r="B3867" s="216" t="str">
        <f ca="1">_xlfn.CONCAT(B3832,A3867)</f>
        <v>1F3CEE8-ah</v>
      </c>
      <c r="C3867" s="30" t="s">
        <v>29</v>
      </c>
      <c r="D3867" s="186">
        <f>'H-MO'!$N$77</f>
        <v>725918.52892505517</v>
      </c>
      <c r="E3867" s="31">
        <f>+D3867/8</f>
        <v>90739.816115631897</v>
      </c>
      <c r="F3867" s="32">
        <v>0.5</v>
      </c>
      <c r="G3867" s="33">
        <f>+E3867*F3867</f>
        <v>45369.908057815948</v>
      </c>
    </row>
    <row r="3868" spans="1:8">
      <c r="A3868" s="211" t="s">
        <v>518</v>
      </c>
      <c r="B3868" s="216" t="str">
        <f ca="1">_xlfn.CONCAT(B3832,A3868)</f>
        <v>1F3CEE8-ai</v>
      </c>
      <c r="C3868" s="34" t="s">
        <v>30</v>
      </c>
      <c r="D3868" s="187">
        <f>'H-MO'!$N$86</f>
        <v>685561.39085756091</v>
      </c>
      <c r="E3868" s="29">
        <f>+D3868/8</f>
        <v>85695.173857195114</v>
      </c>
      <c r="F3868" s="28">
        <v>0</v>
      </c>
      <c r="G3868" s="33">
        <f>+E3868*F3868</f>
        <v>0</v>
      </c>
    </row>
    <row r="3869" spans="1:8" ht="14.25" thickBot="1">
      <c r="A3869" s="211" t="s">
        <v>519</v>
      </c>
      <c r="B3869" s="216" t="str">
        <f ca="1">_xlfn.CONCAT(B3832,A3869)</f>
        <v>1F3CEE8-aj</v>
      </c>
      <c r="C3869" s="34"/>
      <c r="D3869" s="187"/>
      <c r="E3869" s="29"/>
      <c r="F3869" s="28"/>
      <c r="G3869" s="33">
        <f>+E3869*F3869</f>
        <v>0</v>
      </c>
    </row>
    <row r="3870" spans="1:8" ht="14.25" thickBot="1">
      <c r="A3870" s="211" t="s">
        <v>520</v>
      </c>
      <c r="B3870" s="216" t="str">
        <f ca="1">_xlfn.CONCAT(B3832,A3870)</f>
        <v>1F3CEE8-ak</v>
      </c>
      <c r="C3870" s="34"/>
      <c r="D3870" s="185"/>
      <c r="E3870" s="26"/>
      <c r="F3870" s="36" t="s">
        <v>31</v>
      </c>
      <c r="G3870" s="23">
        <f>SUM(G3867:G3869)</f>
        <v>45369.908057815948</v>
      </c>
    </row>
    <row r="3871" spans="1:8" ht="14.25" thickBot="1">
      <c r="A3871" s="211" t="s">
        <v>521</v>
      </c>
      <c r="B3871" s="216" t="str">
        <f ca="1">_xlfn.CONCAT(B3832,A3871)</f>
        <v>1F3CEE8-al</v>
      </c>
      <c r="C3871" s="37"/>
      <c r="E3871" s="38"/>
      <c r="F3871" s="22"/>
      <c r="G3871" s="39"/>
    </row>
    <row r="3872" spans="1:8" ht="16.5" thickBot="1">
      <c r="A3872" s="211" t="s">
        <v>522</v>
      </c>
      <c r="B3872" s="216" t="str">
        <f ca="1">_xlfn.CONCAT(B3832,A3872)</f>
        <v>1F3CEE8-am</v>
      </c>
      <c r="C3872" s="40"/>
      <c r="D3872" s="193"/>
      <c r="E3872" s="41"/>
      <c r="F3872" s="42"/>
      <c r="G3872" s="43">
        <f>+G3855+G3864+G3870</f>
        <v>248409.29918281594</v>
      </c>
    </row>
    <row r="3873" spans="1:8" ht="21.75" thickBot="1">
      <c r="B3873" s="212" t="s">
        <v>550</v>
      </c>
      <c r="C3873" s="2"/>
      <c r="D3873" s="183"/>
      <c r="F3873" s="4"/>
      <c r="G3873" s="5"/>
    </row>
    <row r="3874" spans="1:8" ht="18.75">
      <c r="A3874" s="213"/>
      <c r="B3874" s="214">
        <v>89</v>
      </c>
      <c r="C3874" s="242" t="str">
        <f ca="1">_xlfn.XLOOKUP(B3874,Cantidades!$A$10:$A$314,Cantidades!$C$10:$C$314,,0,1)</f>
        <v>Suministro e instalación de salida para Toma trifásica. Incliye tubería EMT, accesorios, caja de conexiones, cableado, señalización y demás elementos para su puesta en servicio.</v>
      </c>
      <c r="D3874" s="243"/>
      <c r="E3874" s="243"/>
      <c r="F3874" s="243"/>
      <c r="G3874" s="244"/>
      <c r="H3874" s="213"/>
    </row>
    <row r="3875" spans="1:8" ht="19.5" thickBot="1">
      <c r="A3875" s="215"/>
      <c r="B3875" s="216" t="s">
        <v>550</v>
      </c>
      <c r="C3875" s="177"/>
      <c r="D3875" s="189"/>
      <c r="E3875" s="178"/>
      <c r="F3875" s="179" t="s">
        <v>636</v>
      </c>
      <c r="G3875" s="209" t="str">
        <f ca="1">B3876</f>
        <v>5DB0FA8-</v>
      </c>
      <c r="H3875" s="215"/>
    </row>
    <row r="3876" spans="1:8" ht="15.75" thickBot="1">
      <c r="B3876" s="212" t="str">
        <f ca="1">_xlfn.XLOOKUP(C3874,Cantidades!$C$1:$C$314,Cantidades!$B$1:$B$314,"",0,1)</f>
        <v>5DB0FA8-</v>
      </c>
      <c r="C3876" s="10" t="s">
        <v>0</v>
      </c>
      <c r="D3876" s="190"/>
      <c r="E3876" s="11"/>
      <c r="F3876" s="12"/>
      <c r="G3876" s="13"/>
    </row>
    <row r="3877" spans="1:8" ht="14.25" thickBot="1">
      <c r="A3877" s="215"/>
      <c r="B3877" s="216" t="s">
        <v>550</v>
      </c>
      <c r="C3877" s="14" t="s">
        <v>1</v>
      </c>
      <c r="D3877" s="15" t="s">
        <v>2</v>
      </c>
      <c r="E3877" s="15" t="s">
        <v>3</v>
      </c>
      <c r="F3877" s="16" t="s">
        <v>4</v>
      </c>
      <c r="G3877" s="15" t="s">
        <v>5</v>
      </c>
      <c r="H3877" s="215"/>
    </row>
    <row r="3878" spans="1:8">
      <c r="A3878" s="211" t="s">
        <v>484</v>
      </c>
      <c r="B3878" s="216" t="str">
        <f ca="1">_xlfn.CONCAT(B3876,A3878)</f>
        <v>5DB0FA8-A</v>
      </c>
      <c r="C3878" s="17" t="str">
        <f>_xlfn.XLOOKUP(H3878,'Materiales unitario'!$A$1:$A$2500,'Materiales unitario'!B$1:B$2500,,0,1)</f>
        <v>Tubo metálico ø3/4" EMT</v>
      </c>
      <c r="D3878" s="184" t="str">
        <f>_xlfn.XLOOKUP(H3878,'Materiales unitario'!A$1:A$2500,'Materiales unitario'!C$1:C$2500,,0,1)</f>
        <v>ml</v>
      </c>
      <c r="E3878" s="197">
        <f>_xlfn.XLOOKUP(H3878,'Materiales unitario'!$A$1:$A$2500,'Materiales unitario'!D$1:D$2500,,0,1)</f>
        <v>11733</v>
      </c>
      <c r="F3878" s="19">
        <v>8</v>
      </c>
      <c r="G3878" s="20">
        <f t="shared" ref="G3878:G3887" si="112">+E3878*F3878</f>
        <v>93864</v>
      </c>
      <c r="H3878" s="211" t="s">
        <v>388</v>
      </c>
    </row>
    <row r="3879" spans="1:8">
      <c r="A3879" s="211" t="s">
        <v>485</v>
      </c>
      <c r="B3879" s="216" t="str">
        <f ca="1">_xlfn.CONCAT(B3876,A3879)</f>
        <v>5DB0FA8-B</v>
      </c>
      <c r="C3879" s="17" t="str">
        <f>_xlfn.XLOOKUP(H3879,'Materiales unitario'!$A$1:$A$2500,'Materiales unitario'!B$1:B$2500,,0,1)</f>
        <v>Unión metálica ø3/4" EMT</v>
      </c>
      <c r="D3879" s="184" t="str">
        <f>_xlfn.XLOOKUP(H3879,'Materiales unitario'!A$1:A$2500,'Materiales unitario'!C$1:C$2500,,0,1)</f>
        <v>un</v>
      </c>
      <c r="E3879" s="197">
        <f>_xlfn.XLOOKUP(H3879,'Materiales unitario'!$A$1:$A$2500,'Materiales unitario'!D$1:D$2500,,0,1)</f>
        <v>1800</v>
      </c>
      <c r="F3879" s="19">
        <v>2</v>
      </c>
      <c r="G3879" s="20">
        <f t="shared" si="112"/>
        <v>3600</v>
      </c>
      <c r="H3879" s="211" t="s">
        <v>392</v>
      </c>
    </row>
    <row r="3880" spans="1:8">
      <c r="A3880" s="211" t="s">
        <v>486</v>
      </c>
      <c r="B3880" s="216" t="str">
        <f ca="1">_xlfn.CONCAT(B3876,A3880)</f>
        <v>5DB0FA8-C</v>
      </c>
      <c r="C3880" s="17" t="str">
        <f>_xlfn.XLOOKUP(H3880,'Materiales unitario'!$A$1:$A$2500,'Materiales unitario'!B$1:B$2500,,0,1)</f>
        <v xml:space="preserve">Terminal metálico ø3/4" EMT </v>
      </c>
      <c r="D3880" s="184" t="str">
        <f>_xlfn.XLOOKUP(H3880,'Materiales unitario'!A$1:A$2500,'Materiales unitario'!C$1:C$2500,,0,1)</f>
        <v>un</v>
      </c>
      <c r="E3880" s="197">
        <f>_xlfn.XLOOKUP(H3880,'Materiales unitario'!$A$1:$A$2500,'Materiales unitario'!D$1:D$2500,,0,1)</f>
        <v>2200</v>
      </c>
      <c r="F3880" s="19">
        <v>2</v>
      </c>
      <c r="G3880" s="20">
        <f t="shared" si="112"/>
        <v>4400</v>
      </c>
      <c r="H3880" s="211" t="s">
        <v>371</v>
      </c>
    </row>
    <row r="3881" spans="1:8">
      <c r="A3881" s="211" t="s">
        <v>487</v>
      </c>
      <c r="B3881" s="216" t="str">
        <f ca="1">_xlfn.CONCAT(B3876,A3881)</f>
        <v>5DB0FA8-D</v>
      </c>
      <c r="C3881" s="17" t="str">
        <f>_xlfn.XLOOKUP(H3881,'Materiales unitario'!$A$1:$A$2500,'Materiales unitario'!B$1:B$2500,,0,1)</f>
        <v xml:space="preserve">Soporte Metálico Uniestruc Tubería ø3/4" </v>
      </c>
      <c r="D3881" s="184" t="str">
        <f>_xlfn.XLOOKUP(H3881,'Materiales unitario'!A$1:A$2500,'Materiales unitario'!C$1:C$2500,,0,1)</f>
        <v>un</v>
      </c>
      <c r="E3881" s="197">
        <f>_xlfn.XLOOKUP(H3881,'Materiales unitario'!$A$1:$A$2500,'Materiales unitario'!D$1:D$2500,,0,1)</f>
        <v>630</v>
      </c>
      <c r="F3881" s="19">
        <v>2</v>
      </c>
      <c r="G3881" s="20">
        <f t="shared" si="112"/>
        <v>1260</v>
      </c>
      <c r="H3881" s="211" t="s">
        <v>356</v>
      </c>
    </row>
    <row r="3882" spans="1:8">
      <c r="A3882" s="211" t="s">
        <v>488</v>
      </c>
      <c r="B3882" s="216" t="str">
        <f ca="1">_xlfn.CONCAT(B3876,A3882)</f>
        <v>5DB0FA8-E</v>
      </c>
      <c r="C3882" s="17" t="str">
        <f>_xlfn.XLOOKUP(H3882,'Materiales unitario'!$A$1:$A$2500,'Materiales unitario'!B$1:B$2500,,0,1)</f>
        <v>Alambre de cobre desnudo #12 AWG-ED</v>
      </c>
      <c r="D3882" s="184" t="str">
        <f>_xlfn.XLOOKUP(H3882,'Materiales unitario'!A$1:A$2500,'Materiales unitario'!C$1:C$2500,,0,1)</f>
        <v>ml</v>
      </c>
      <c r="E3882" s="197">
        <f>_xlfn.XLOOKUP(H3882,'Materiales unitario'!$A$1:$A$2500,'Materiales unitario'!D$1:D$2500,,0,1)</f>
        <v>2558.5</v>
      </c>
      <c r="F3882" s="19">
        <v>9</v>
      </c>
      <c r="G3882" s="20">
        <f t="shared" si="112"/>
        <v>23026.5</v>
      </c>
      <c r="H3882" s="211" t="s">
        <v>227</v>
      </c>
    </row>
    <row r="3883" spans="1:8">
      <c r="A3883" s="211" t="s">
        <v>489</v>
      </c>
      <c r="B3883" s="216" t="str">
        <f ca="1">_xlfn.CONCAT(B3876,A3883)</f>
        <v>5DB0FA8-F</v>
      </c>
      <c r="C3883" s="17" t="str">
        <f>_xlfn.XLOOKUP(H3883,'Materiales unitario'!$A$1:$A$2500,'Materiales unitario'!B$1:B$2500,,0,1)</f>
        <v>Alambre de cobre aislado #10 AWG-THHN/THWN Color negro</v>
      </c>
      <c r="D3883" s="184" t="str">
        <f>_xlfn.XLOOKUP(H3883,'Materiales unitario'!A$1:A$2500,'Materiales unitario'!C$1:C$2500,,0,1)</f>
        <v>ml</v>
      </c>
      <c r="E3883" s="197">
        <f>_xlfn.XLOOKUP(H3883,'Materiales unitario'!$A$1:$A$2500,'Materiales unitario'!D$1:D$2500,,0,1)</f>
        <v>4165</v>
      </c>
      <c r="F3883" s="19">
        <v>18</v>
      </c>
      <c r="G3883" s="20">
        <f t="shared" si="112"/>
        <v>74970</v>
      </c>
      <c r="H3883" s="211" t="s">
        <v>226</v>
      </c>
    </row>
    <row r="3884" spans="1:8">
      <c r="A3884" s="211" t="s">
        <v>490</v>
      </c>
      <c r="B3884" s="216" t="str">
        <f ca="1">_xlfn.CONCAT(B3876,A3884)</f>
        <v>5DB0FA8-G</v>
      </c>
      <c r="C3884" s="17" t="str">
        <f>_xlfn.XLOOKUP(H3884,'Materiales unitario'!$A$1:$A$2500,'Materiales unitario'!B$1:B$2500,,0,1)</f>
        <v>Conector de resorte rojo "R" 18-10 AWG</v>
      </c>
      <c r="D3884" s="184" t="str">
        <f>_xlfn.XLOOKUP(H3884,'Materiales unitario'!A$1:A$2500,'Materiales unitario'!C$1:C$2500,,0,1)</f>
        <v>un</v>
      </c>
      <c r="E3884" s="197">
        <f>_xlfn.XLOOKUP(H3884,'Materiales unitario'!$A$1:$A$2500,'Materiales unitario'!D$1:D$2500,,0,1)</f>
        <v>280</v>
      </c>
      <c r="F3884" s="19">
        <v>3</v>
      </c>
      <c r="G3884" s="20">
        <f t="shared" si="112"/>
        <v>840</v>
      </c>
      <c r="H3884" s="211" t="s">
        <v>302</v>
      </c>
    </row>
    <row r="3885" spans="1:8">
      <c r="A3885" s="211" t="s">
        <v>491</v>
      </c>
      <c r="B3885" s="216" t="str">
        <f ca="1">_xlfn.CONCAT(B3876,A3885)</f>
        <v>5DB0FA8-H</v>
      </c>
      <c r="C3885" s="17" t="str">
        <f>_xlfn.XLOOKUP(H3885,'Materiales unitario'!$A$1:$A$2500,'Materiales unitario'!B$1:B$2500,,0,1)</f>
        <v xml:space="preserve">Caja galvanizada ref. 2400 + suplemento (Cal. 20) </v>
      </c>
      <c r="D3885" s="184" t="str">
        <f>_xlfn.XLOOKUP(H3885,'Materiales unitario'!A$1:A$2500,'Materiales unitario'!C$1:C$2500,,0,1)</f>
        <v>un</v>
      </c>
      <c r="E3885" s="197">
        <f>_xlfn.XLOOKUP(H3885,'Materiales unitario'!$A$1:$A$2500,'Materiales unitario'!D$1:D$2500,,0,1)</f>
        <v>4522</v>
      </c>
      <c r="F3885" s="19">
        <v>1</v>
      </c>
      <c r="G3885" s="20">
        <f t="shared" si="112"/>
        <v>4522</v>
      </c>
      <c r="H3885" s="211" t="s">
        <v>283</v>
      </c>
    </row>
    <row r="3886" spans="1:8">
      <c r="A3886" s="211" t="s">
        <v>492</v>
      </c>
      <c r="B3886" s="216" t="str">
        <f ca="1">_xlfn.CONCAT(B3876,A3886)</f>
        <v>5DB0FA8-I</v>
      </c>
      <c r="C3886" s="17" t="str">
        <f>_xlfn.XLOOKUP(H3886,'Materiales unitario'!$A$1:$A$2500,'Materiales unitario'!B$1:B$2500,,0,1)</f>
        <v>Marquillas para circuito</v>
      </c>
      <c r="D3886" s="184" t="str">
        <f>_xlfn.XLOOKUP(H3886,'Materiales unitario'!A$1:A$2500,'Materiales unitario'!C$1:C$2500,,0,1)</f>
        <v>un</v>
      </c>
      <c r="E3886" s="197">
        <f>_xlfn.XLOOKUP(H3886,'Materiales unitario'!$A$1:$A$2500,'Materiales unitario'!D$1:D$2500,,0,1)</f>
        <v>1000</v>
      </c>
      <c r="F3886" s="19">
        <v>3</v>
      </c>
      <c r="G3886" s="20">
        <f t="shared" si="112"/>
        <v>3000</v>
      </c>
      <c r="H3886" s="211" t="s">
        <v>339</v>
      </c>
    </row>
    <row r="3887" spans="1:8">
      <c r="A3887" s="211" t="s">
        <v>493</v>
      </c>
      <c r="B3887" s="216" t="str">
        <f ca="1">_xlfn.CONCAT(B3876,A3887)</f>
        <v>5DB0FA8-J</v>
      </c>
      <c r="C3887" s="17" t="str">
        <f>_xlfn.XLOOKUP(H3887,'Materiales unitario'!$A$1:$A$2500,'Materiales unitario'!B$1:B$2500,,0,1)</f>
        <v>Toma Incrustar Trifásica 3 x 50A - 250V.</v>
      </c>
      <c r="D3887" s="184" t="str">
        <f>_xlfn.XLOOKUP(H3887,'Materiales unitario'!A$1:A$2500,'Materiales unitario'!C$1:C$2500,,0,1)</f>
        <v>un</v>
      </c>
      <c r="E3887" s="197">
        <f>_xlfn.XLOOKUP(H3887,'Materiales unitario'!$A$1:$A$2500,'Materiales unitario'!D$1:D$2500,,0,1)</f>
        <v>34748</v>
      </c>
      <c r="F3887" s="19">
        <v>1</v>
      </c>
      <c r="G3887" s="20">
        <f t="shared" si="112"/>
        <v>34748</v>
      </c>
      <c r="H3887" s="211" t="s">
        <v>379</v>
      </c>
    </row>
    <row r="3888" spans="1:8">
      <c r="A3888" s="211" t="s">
        <v>494</v>
      </c>
      <c r="B3888" s="216" t="str">
        <f ca="1">_xlfn.CONCAT(B3876,A3888)</f>
        <v>5DB0FA8-K</v>
      </c>
      <c r="C3888" s="17"/>
      <c r="D3888" s="184"/>
      <c r="E3888" s="197"/>
      <c r="F3888" s="19"/>
      <c r="G3888" s="20"/>
    </row>
    <row r="3889" spans="1:8">
      <c r="A3889" s="211" t="s">
        <v>495</v>
      </c>
      <c r="B3889" s="216" t="str">
        <f ca="1">_xlfn.CONCAT(B3876,A3889)</f>
        <v>5DB0FA8-L</v>
      </c>
      <c r="C3889" s="17"/>
      <c r="D3889" s="184"/>
      <c r="E3889" s="197"/>
      <c r="F3889" s="19"/>
      <c r="G3889" s="20"/>
    </row>
    <row r="3890" spans="1:8">
      <c r="A3890" s="211" t="s">
        <v>496</v>
      </c>
      <c r="B3890" s="216" t="str">
        <f ca="1">_xlfn.CONCAT(B3876,A3890)</f>
        <v>5DB0FA8-M</v>
      </c>
      <c r="C3890" s="17"/>
      <c r="D3890" s="184"/>
      <c r="E3890" s="197"/>
      <c r="F3890" s="19"/>
      <c r="G3890" s="20"/>
    </row>
    <row r="3891" spans="1:8">
      <c r="A3891" s="211" t="s">
        <v>497</v>
      </c>
      <c r="B3891" s="216" t="str">
        <f ca="1">_xlfn.CONCAT(B3876,A3891)</f>
        <v>5DB0FA8-N</v>
      </c>
      <c r="C3891" s="17"/>
      <c r="D3891" s="184"/>
      <c r="E3891" s="197"/>
      <c r="F3891" s="19"/>
      <c r="G3891" s="20"/>
    </row>
    <row r="3892" spans="1:8">
      <c r="A3892" s="211" t="s">
        <v>498</v>
      </c>
      <c r="B3892" s="216" t="str">
        <f ca="1">_xlfn.CONCAT(B3876,A3892)</f>
        <v>5DB0FA8-O</v>
      </c>
      <c r="C3892" s="17"/>
      <c r="D3892" s="184"/>
      <c r="E3892" s="197"/>
      <c r="F3892" s="19"/>
      <c r="G3892" s="20"/>
    </row>
    <row r="3893" spans="1:8">
      <c r="A3893" s="211" t="s">
        <v>499</v>
      </c>
      <c r="B3893" s="216" t="str">
        <f ca="1">_xlfn.CONCAT(B3876,A3893)</f>
        <v>5DB0FA8-P</v>
      </c>
      <c r="C3893" s="17"/>
      <c r="D3893" s="184"/>
      <c r="E3893" s="197"/>
      <c r="F3893" s="19"/>
      <c r="G3893" s="20"/>
    </row>
    <row r="3894" spans="1:8">
      <c r="A3894" s="211" t="s">
        <v>500</v>
      </c>
      <c r="B3894" s="216" t="str">
        <f ca="1">_xlfn.CONCAT(B3876,A3894)</f>
        <v>5DB0FA8-Q</v>
      </c>
      <c r="C3894" s="17"/>
      <c r="D3894" s="184"/>
      <c r="E3894" s="197"/>
      <c r="F3894" s="19"/>
      <c r="G3894" s="20"/>
    </row>
    <row r="3895" spans="1:8">
      <c r="A3895" s="211" t="s">
        <v>501</v>
      </c>
      <c r="B3895" s="216" t="str">
        <f ca="1">_xlfn.CONCAT(B3876,A3895)</f>
        <v>5DB0FA8-R</v>
      </c>
      <c r="C3895" s="17"/>
      <c r="D3895" s="184"/>
      <c r="E3895" s="197"/>
      <c r="F3895" s="19"/>
      <c r="G3895" s="20"/>
    </row>
    <row r="3896" spans="1:8">
      <c r="A3896" s="211" t="s">
        <v>502</v>
      </c>
      <c r="B3896" s="216" t="str">
        <f ca="1">_xlfn.CONCAT(B3876,A3896)</f>
        <v>5DB0FA8-S</v>
      </c>
      <c r="C3896" s="17"/>
      <c r="D3896" s="184"/>
      <c r="E3896" s="197"/>
      <c r="F3896" s="19"/>
      <c r="G3896" s="20"/>
    </row>
    <row r="3897" spans="1:8">
      <c r="A3897" s="211" t="s">
        <v>503</v>
      </c>
      <c r="B3897" s="216" t="str">
        <f ca="1">_xlfn.CONCAT(B3876,A3897)</f>
        <v>5DB0FA8-T</v>
      </c>
      <c r="C3897" s="17"/>
      <c r="D3897" s="184"/>
      <c r="E3897" s="197"/>
      <c r="F3897" s="19"/>
      <c r="G3897" s="20"/>
    </row>
    <row r="3898" spans="1:8" ht="14.25" thickBot="1">
      <c r="A3898" s="211" t="s">
        <v>504</v>
      </c>
      <c r="B3898" s="216" t="str">
        <f ca="1">_xlfn.CONCAT(B3876,A3898)</f>
        <v>5DB0FA8-U</v>
      </c>
      <c r="C3898" s="17"/>
      <c r="D3898" s="184"/>
      <c r="E3898" s="197"/>
      <c r="F3898" s="19"/>
      <c r="G3898" s="20"/>
    </row>
    <row r="3899" spans="1:8" ht="14.25" thickBot="1">
      <c r="A3899" s="211" t="s">
        <v>505</v>
      </c>
      <c r="B3899" s="216" t="str">
        <f ca="1">_xlfn.CONCAT(B3876,A3899)</f>
        <v>5DB0FA8-V</v>
      </c>
      <c r="C3899" s="17" t="s">
        <v>17</v>
      </c>
      <c r="D3899" s="192" t="s">
        <v>17</v>
      </c>
      <c r="E3899" s="18"/>
      <c r="F3899" s="22" t="s">
        <v>18</v>
      </c>
      <c r="G3899" s="23">
        <f>SUM(G3878:G3898)</f>
        <v>244230.5</v>
      </c>
    </row>
    <row r="3900" spans="1:8" ht="15.75" thickBot="1">
      <c r="A3900" s="211" t="s">
        <v>506</v>
      </c>
      <c r="B3900" s="216" t="str">
        <f ca="1">_xlfn.CONCAT(B3876,A3900)</f>
        <v>5DB0FA8-W</v>
      </c>
      <c r="C3900" s="10" t="s">
        <v>19</v>
      </c>
      <c r="D3900" s="190"/>
      <c r="E3900" s="11"/>
      <c r="F3900" s="12"/>
      <c r="G3900" s="13"/>
    </row>
    <row r="3901" spans="1:8" ht="14.25" thickBot="1">
      <c r="A3901" s="211" t="s">
        <v>507</v>
      </c>
      <c r="B3901" s="216" t="str">
        <f ca="1">_xlfn.CONCAT(B3876,A3901)</f>
        <v>5DB0FA8-X</v>
      </c>
      <c r="C3901" s="14" t="s">
        <v>1</v>
      </c>
      <c r="D3901" s="15"/>
      <c r="E3901" s="15" t="s">
        <v>20</v>
      </c>
      <c r="F3901" s="16" t="s">
        <v>21</v>
      </c>
      <c r="G3901" s="15" t="s">
        <v>5</v>
      </c>
      <c r="H3901" s="215"/>
    </row>
    <row r="3902" spans="1:8">
      <c r="A3902" s="211" t="s">
        <v>508</v>
      </c>
      <c r="B3902" s="216" t="str">
        <f ca="1">_xlfn.CONCAT(B3876,A3902)</f>
        <v>5DB0FA8-Y</v>
      </c>
      <c r="C3902" s="24" t="s">
        <v>22</v>
      </c>
      <c r="D3902" s="184"/>
      <c r="E3902" s="25">
        <f>_xlfn.XLOOKUP(C3902,'H-MO'!B$7:B$30,'H-MO'!D$7:D$30,,0,1)</f>
        <v>2436.5624999999995</v>
      </c>
      <c r="F3902" s="19">
        <v>0.5</v>
      </c>
      <c r="G3902" s="33">
        <f t="shared" ref="G3902:G3907" si="113">+E3902*F3902</f>
        <v>1218.2812499999998</v>
      </c>
    </row>
    <row r="3903" spans="1:8">
      <c r="A3903" s="211" t="s">
        <v>509</v>
      </c>
      <c r="B3903" s="216" t="str">
        <f ca="1">_xlfn.CONCAT(B3876,A3903)</f>
        <v>5DB0FA8-Z</v>
      </c>
      <c r="C3903" s="24" t="s">
        <v>23</v>
      </c>
      <c r="D3903" s="184"/>
      <c r="E3903" s="25">
        <f>_xlfn.XLOOKUP(C3903,'H-MO'!B$7:B$30,'H-MO'!D$7:D$30,,0,1)</f>
        <v>1461.9374999999998</v>
      </c>
      <c r="F3903" s="19">
        <v>9.8000000000000004E-2</v>
      </c>
      <c r="G3903" s="33">
        <f t="shared" si="113"/>
        <v>143.26987499999998</v>
      </c>
    </row>
    <row r="3904" spans="1:8">
      <c r="A3904" s="211" t="s">
        <v>510</v>
      </c>
      <c r="B3904" s="216" t="str">
        <f ca="1">_xlfn.CONCAT(B3876,A3904)</f>
        <v>5DB0FA8-aa</v>
      </c>
      <c r="C3904" s="24" t="s">
        <v>24</v>
      </c>
      <c r="D3904" s="185"/>
      <c r="E3904" s="25">
        <f>_xlfn.XLOOKUP(C3904,'H-MO'!B$7:B$30,'H-MO'!D$7:D$30,,0,1)</f>
        <v>29238.749999999996</v>
      </c>
      <c r="F3904" s="28">
        <v>2E-3</v>
      </c>
      <c r="G3904" s="33">
        <f t="shared" si="113"/>
        <v>58.477499999999992</v>
      </c>
    </row>
    <row r="3905" spans="1:8">
      <c r="A3905" s="211" t="s">
        <v>511</v>
      </c>
      <c r="B3905" s="216" t="str">
        <f ca="1">_xlfn.CONCAT(B3876,A3905)</f>
        <v>5DB0FA8-ab</v>
      </c>
      <c r="C3905" s="24" t="s">
        <v>25</v>
      </c>
      <c r="D3905" s="185"/>
      <c r="E3905" s="25">
        <f>_xlfn.XLOOKUP(C3905,'H-MO'!B$7:B$30,'H-MO'!D$7:D$30,,0,1)</f>
        <v>2761.4374999999995</v>
      </c>
      <c r="F3905" s="28">
        <v>0.6</v>
      </c>
      <c r="G3905" s="33">
        <f t="shared" si="113"/>
        <v>1656.8624999999997</v>
      </c>
    </row>
    <row r="3906" spans="1:8">
      <c r="A3906" s="211" t="s">
        <v>512</v>
      </c>
      <c r="B3906" s="216" t="str">
        <f ca="1">_xlfn.CONCAT(B3876,A3906)</f>
        <v>5DB0FA8-ac</v>
      </c>
      <c r="C3906" s="24"/>
      <c r="D3906" s="185"/>
      <c r="E3906" s="29"/>
      <c r="F3906" s="28"/>
      <c r="G3906" s="33">
        <f t="shared" si="113"/>
        <v>0</v>
      </c>
    </row>
    <row r="3907" spans="1:8" ht="14.25" thickBot="1">
      <c r="A3907" s="211" t="s">
        <v>513</v>
      </c>
      <c r="B3907" s="216" t="str">
        <f ca="1">_xlfn.CONCAT(B3876,A3907)</f>
        <v>5DB0FA8-ad</v>
      </c>
      <c r="C3907" s="24"/>
      <c r="D3907" s="185"/>
      <c r="E3907" s="29"/>
      <c r="F3907" s="28"/>
      <c r="G3907" s="33">
        <f t="shared" si="113"/>
        <v>0</v>
      </c>
    </row>
    <row r="3908" spans="1:8" ht="14.25" thickBot="1">
      <c r="A3908" s="211" t="s">
        <v>514</v>
      </c>
      <c r="B3908" s="216" t="str">
        <f ca="1">_xlfn.CONCAT(B3876,A3908)</f>
        <v>5DB0FA8-ae</v>
      </c>
      <c r="C3908" s="17"/>
      <c r="D3908" s="192"/>
      <c r="E3908" s="18"/>
      <c r="F3908" s="22" t="s">
        <v>26</v>
      </c>
      <c r="G3908" s="23">
        <f>SUM(G3902:G3907)</f>
        <v>3076.8911249999992</v>
      </c>
    </row>
    <row r="3909" spans="1:8" ht="15.75" thickBot="1">
      <c r="A3909" s="211" t="s">
        <v>515</v>
      </c>
      <c r="B3909" s="216" t="str">
        <f ca="1">_xlfn.CONCAT(B3876,A3909)</f>
        <v>5DB0FA8-af</v>
      </c>
      <c r="C3909" s="10" t="s">
        <v>27</v>
      </c>
      <c r="D3909" s="190"/>
      <c r="E3909" s="11"/>
      <c r="F3909" s="12"/>
      <c r="G3909" s="13"/>
    </row>
    <row r="3910" spans="1:8" ht="14.25" thickBot="1">
      <c r="A3910" s="211" t="s">
        <v>516</v>
      </c>
      <c r="B3910" s="216" t="str">
        <f ca="1">_xlfn.CONCAT(B3876,A3910)</f>
        <v>5DB0FA8-ag</v>
      </c>
      <c r="C3910" s="14" t="s">
        <v>1</v>
      </c>
      <c r="D3910" s="15" t="s">
        <v>28</v>
      </c>
      <c r="E3910" s="15" t="s">
        <v>20</v>
      </c>
      <c r="F3910" s="16" t="s">
        <v>21</v>
      </c>
      <c r="G3910" s="15" t="s">
        <v>5</v>
      </c>
      <c r="H3910" s="215"/>
    </row>
    <row r="3911" spans="1:8">
      <c r="A3911" s="211" t="s">
        <v>517</v>
      </c>
      <c r="B3911" s="216" t="str">
        <f ca="1">_xlfn.CONCAT(B3876,A3911)</f>
        <v>5DB0FA8-ah</v>
      </c>
      <c r="C3911" s="30" t="s">
        <v>29</v>
      </c>
      <c r="D3911" s="186">
        <f>'H-MO'!$N$77</f>
        <v>725918.52892505517</v>
      </c>
      <c r="E3911" s="31">
        <f>+D3911/8</f>
        <v>90739.816115631897</v>
      </c>
      <c r="F3911" s="32">
        <v>0.5</v>
      </c>
      <c r="G3911" s="33">
        <f>+E3911*F3911</f>
        <v>45369.908057815948</v>
      </c>
    </row>
    <row r="3912" spans="1:8">
      <c r="A3912" s="211" t="s">
        <v>518</v>
      </c>
      <c r="B3912" s="216" t="str">
        <f ca="1">_xlfn.CONCAT(B3876,A3912)</f>
        <v>5DB0FA8-ai</v>
      </c>
      <c r="C3912" s="34" t="s">
        <v>30</v>
      </c>
      <c r="D3912" s="187">
        <f>'H-MO'!$N$86</f>
        <v>685561.39085756091</v>
      </c>
      <c r="E3912" s="29">
        <f>+D3912/8</f>
        <v>85695.173857195114</v>
      </c>
      <c r="F3912" s="28">
        <v>0</v>
      </c>
      <c r="G3912" s="33">
        <f>+E3912*F3912</f>
        <v>0</v>
      </c>
    </row>
    <row r="3913" spans="1:8" ht="14.25" thickBot="1">
      <c r="A3913" s="211" t="s">
        <v>519</v>
      </c>
      <c r="B3913" s="216" t="str">
        <f ca="1">_xlfn.CONCAT(B3876,A3913)</f>
        <v>5DB0FA8-aj</v>
      </c>
      <c r="C3913" s="34"/>
      <c r="D3913" s="187"/>
      <c r="E3913" s="29"/>
      <c r="F3913" s="28"/>
      <c r="G3913" s="33">
        <f>+E3913*F3913</f>
        <v>0</v>
      </c>
    </row>
    <row r="3914" spans="1:8" ht="14.25" thickBot="1">
      <c r="A3914" s="211" t="s">
        <v>520</v>
      </c>
      <c r="B3914" s="216" t="str">
        <f ca="1">_xlfn.CONCAT(B3876,A3914)</f>
        <v>5DB0FA8-ak</v>
      </c>
      <c r="C3914" s="34"/>
      <c r="D3914" s="185"/>
      <c r="E3914" s="26"/>
      <c r="F3914" s="36" t="s">
        <v>31</v>
      </c>
      <c r="G3914" s="23">
        <f>SUM(G3911:G3913)</f>
        <v>45369.908057815948</v>
      </c>
    </row>
    <row r="3915" spans="1:8" ht="14.25" thickBot="1">
      <c r="A3915" s="211" t="s">
        <v>521</v>
      </c>
      <c r="B3915" s="216" t="str">
        <f ca="1">_xlfn.CONCAT(B3876,A3915)</f>
        <v>5DB0FA8-al</v>
      </c>
      <c r="C3915" s="37"/>
      <c r="E3915" s="38"/>
      <c r="F3915" s="22"/>
      <c r="G3915" s="39"/>
    </row>
    <row r="3916" spans="1:8" ht="16.5" thickBot="1">
      <c r="A3916" s="211" t="s">
        <v>522</v>
      </c>
      <c r="B3916" s="216" t="str">
        <f ca="1">_xlfn.CONCAT(B3876,A3916)</f>
        <v>5DB0FA8-am</v>
      </c>
      <c r="C3916" s="40"/>
      <c r="D3916" s="193"/>
      <c r="E3916" s="41"/>
      <c r="F3916" s="42"/>
      <c r="G3916" s="43">
        <f>+G3899+G3908+G3914</f>
        <v>292677.29918281594</v>
      </c>
    </row>
    <row r="3917" spans="1:8" ht="21.75" thickBot="1">
      <c r="B3917" s="212" t="s">
        <v>550</v>
      </c>
      <c r="C3917" s="2"/>
      <c r="D3917" s="183"/>
      <c r="F3917" s="4"/>
      <c r="G3917" s="5"/>
    </row>
    <row r="3918" spans="1:8" ht="18.75">
      <c r="A3918" s="213"/>
      <c r="B3918" s="214">
        <v>90</v>
      </c>
      <c r="C3918" s="242" t="str">
        <f ca="1">_xlfn.XLOOKUP(B3918,Cantidades!$A$10:$A$314,Cantidades!$C$10:$C$314,,0,1)</f>
        <v>Planta de emergencia 75KvA</v>
      </c>
      <c r="D3918" s="243"/>
      <c r="E3918" s="243"/>
      <c r="F3918" s="243"/>
      <c r="G3918" s="244"/>
      <c r="H3918" s="213"/>
    </row>
    <row r="3919" spans="1:8" ht="19.5" thickBot="1">
      <c r="A3919" s="215"/>
      <c r="B3919" s="216" t="s">
        <v>550</v>
      </c>
      <c r="C3919" s="177"/>
      <c r="D3919" s="189"/>
      <c r="E3919" s="178"/>
      <c r="F3919" s="179" t="s">
        <v>636</v>
      </c>
      <c r="G3919" s="209" t="str">
        <f ca="1">B3920</f>
        <v>1CF87BDE-</v>
      </c>
      <c r="H3919" s="215"/>
    </row>
    <row r="3920" spans="1:8" ht="15.75" thickBot="1">
      <c r="B3920" s="212" t="str">
        <f ca="1">_xlfn.XLOOKUP(C3918,Cantidades!$C$1:$C$314,Cantidades!$B$1:$B$314,"",0,1)</f>
        <v>1CF87BDE-</v>
      </c>
      <c r="C3920" s="10" t="s">
        <v>0</v>
      </c>
      <c r="D3920" s="190"/>
      <c r="E3920" s="11"/>
      <c r="F3920" s="12"/>
      <c r="G3920" s="13"/>
    </row>
    <row r="3921" spans="1:8" ht="14.25" thickBot="1">
      <c r="A3921" s="215"/>
      <c r="B3921" s="216" t="s">
        <v>550</v>
      </c>
      <c r="C3921" s="14" t="s">
        <v>1</v>
      </c>
      <c r="D3921" s="15" t="s">
        <v>2</v>
      </c>
      <c r="E3921" s="15" t="s">
        <v>3</v>
      </c>
      <c r="F3921" s="16" t="s">
        <v>4</v>
      </c>
      <c r="G3921" s="15" t="s">
        <v>5</v>
      </c>
      <c r="H3921" s="215"/>
    </row>
    <row r="3922" spans="1:8" ht="15">
      <c r="A3922" s="211" t="s">
        <v>484</v>
      </c>
      <c r="B3922" s="216" t="str">
        <f ca="1">_xlfn.CONCAT(B3920,A3922)</f>
        <v>1CF87BDE-A</v>
      </c>
      <c r="C3922" s="17" t="str">
        <f>_xlfn.XLOOKUP(H3922,'Materiales unitario'!$A$1:$A$2500,'Materiales unitario'!B$1:B$2500,,0,1)</f>
        <v>Plnata de 45 KVA insonorizada</v>
      </c>
      <c r="D3922" s="184" t="str">
        <f>_xlfn.XLOOKUP(H3922,'Materiales unitario'!A$1:A$2500,'Materiales unitario'!C$1:C$2500,,0,1)</f>
        <v>un</v>
      </c>
      <c r="E3922" s="197">
        <f>_xlfn.XLOOKUP(H3922,'Materiales unitario'!$A$1:$A$2500,'Materiales unitario'!D$1:D$2500,,0,1)</f>
        <v>57834000</v>
      </c>
      <c r="F3922" s="19">
        <v>1</v>
      </c>
      <c r="G3922" s="20">
        <f>+E3922*F3922</f>
        <v>57834000</v>
      </c>
      <c r="H3922" s="217" t="s">
        <v>1096</v>
      </c>
    </row>
    <row r="3923" spans="1:8">
      <c r="A3923" s="211" t="s">
        <v>485</v>
      </c>
      <c r="B3923" s="216" t="str">
        <f ca="1">_xlfn.CONCAT(B3920,A3923)</f>
        <v>1CF87BDE-B</v>
      </c>
      <c r="C3923" s="17"/>
      <c r="D3923" s="184"/>
      <c r="E3923" s="197"/>
      <c r="F3923" s="19"/>
      <c r="G3923" s="20"/>
    </row>
    <row r="3924" spans="1:8">
      <c r="A3924" s="211" t="s">
        <v>486</v>
      </c>
      <c r="B3924" s="216" t="str">
        <f ca="1">_xlfn.CONCAT(B3920,A3924)</f>
        <v>1CF87BDE-C</v>
      </c>
      <c r="C3924" s="17"/>
      <c r="D3924" s="184"/>
      <c r="E3924" s="197"/>
      <c r="F3924" s="19"/>
      <c r="G3924" s="20"/>
    </row>
    <row r="3925" spans="1:8">
      <c r="A3925" s="211" t="s">
        <v>487</v>
      </c>
      <c r="B3925" s="216" t="str">
        <f ca="1">_xlfn.CONCAT(B3920,A3925)</f>
        <v>1CF87BDE-D</v>
      </c>
      <c r="C3925" s="17"/>
      <c r="D3925" s="184"/>
      <c r="E3925" s="197"/>
      <c r="F3925" s="19"/>
      <c r="G3925" s="20"/>
    </row>
    <row r="3926" spans="1:8">
      <c r="A3926" s="211" t="s">
        <v>488</v>
      </c>
      <c r="B3926" s="216" t="str">
        <f ca="1">_xlfn.CONCAT(B3920,A3926)</f>
        <v>1CF87BDE-E</v>
      </c>
      <c r="C3926" s="17"/>
      <c r="D3926" s="184"/>
      <c r="E3926" s="197"/>
      <c r="F3926" s="19"/>
      <c r="G3926" s="20"/>
    </row>
    <row r="3927" spans="1:8">
      <c r="A3927" s="211" t="s">
        <v>489</v>
      </c>
      <c r="B3927" s="216" t="str">
        <f ca="1">_xlfn.CONCAT(B3920,A3927)</f>
        <v>1CF87BDE-F</v>
      </c>
      <c r="C3927" s="17"/>
      <c r="D3927" s="184"/>
      <c r="E3927" s="197"/>
      <c r="F3927" s="19"/>
      <c r="G3927" s="20"/>
    </row>
    <row r="3928" spans="1:8">
      <c r="A3928" s="211" t="s">
        <v>490</v>
      </c>
      <c r="B3928" s="216" t="str">
        <f ca="1">_xlfn.CONCAT(B3920,A3928)</f>
        <v>1CF87BDE-G</v>
      </c>
      <c r="C3928" s="17"/>
      <c r="D3928" s="184"/>
      <c r="E3928" s="197"/>
      <c r="F3928" s="19"/>
      <c r="G3928" s="20"/>
    </row>
    <row r="3929" spans="1:8">
      <c r="A3929" s="211" t="s">
        <v>491</v>
      </c>
      <c r="B3929" s="216" t="str">
        <f ca="1">_xlfn.CONCAT(B3920,A3929)</f>
        <v>1CF87BDE-H</v>
      </c>
      <c r="C3929" s="17"/>
      <c r="D3929" s="184"/>
      <c r="E3929" s="197"/>
      <c r="F3929" s="19"/>
      <c r="G3929" s="20"/>
    </row>
    <row r="3930" spans="1:8">
      <c r="A3930" s="211" t="s">
        <v>492</v>
      </c>
      <c r="B3930" s="216" t="str">
        <f ca="1">_xlfn.CONCAT(B3920,A3930)</f>
        <v>1CF87BDE-I</v>
      </c>
      <c r="C3930" s="17"/>
      <c r="D3930" s="184"/>
      <c r="E3930" s="197"/>
      <c r="F3930" s="19"/>
      <c r="G3930" s="20"/>
    </row>
    <row r="3931" spans="1:8">
      <c r="A3931" s="211" t="s">
        <v>493</v>
      </c>
      <c r="B3931" s="216" t="str">
        <f ca="1">_xlfn.CONCAT(B3920,A3931)</f>
        <v>1CF87BDE-J</v>
      </c>
      <c r="C3931" s="17"/>
      <c r="D3931" s="184"/>
      <c r="E3931" s="197"/>
      <c r="F3931" s="19"/>
      <c r="G3931" s="20"/>
    </row>
    <row r="3932" spans="1:8">
      <c r="A3932" s="211" t="s">
        <v>494</v>
      </c>
      <c r="B3932" s="216" t="str">
        <f ca="1">_xlfn.CONCAT(B3920,A3932)</f>
        <v>1CF87BDE-K</v>
      </c>
      <c r="C3932" s="17"/>
      <c r="D3932" s="184"/>
      <c r="E3932" s="197"/>
      <c r="F3932" s="19"/>
      <c r="G3932" s="20"/>
    </row>
    <row r="3933" spans="1:8">
      <c r="A3933" s="211" t="s">
        <v>495</v>
      </c>
      <c r="B3933" s="216" t="str">
        <f ca="1">_xlfn.CONCAT(B3920,A3933)</f>
        <v>1CF87BDE-L</v>
      </c>
      <c r="C3933" s="17"/>
      <c r="D3933" s="184"/>
      <c r="E3933" s="197"/>
      <c r="F3933" s="19"/>
      <c r="G3933" s="20"/>
    </row>
    <row r="3934" spans="1:8">
      <c r="A3934" s="211" t="s">
        <v>496</v>
      </c>
      <c r="B3934" s="216" t="str">
        <f ca="1">_xlfn.CONCAT(B3920,A3934)</f>
        <v>1CF87BDE-M</v>
      </c>
      <c r="C3934" s="17"/>
      <c r="D3934" s="184"/>
      <c r="E3934" s="197"/>
      <c r="F3934" s="19"/>
      <c r="G3934" s="20"/>
    </row>
    <row r="3935" spans="1:8">
      <c r="A3935" s="211" t="s">
        <v>497</v>
      </c>
      <c r="B3935" s="216" t="str">
        <f ca="1">_xlfn.CONCAT(B3920,A3935)</f>
        <v>1CF87BDE-N</v>
      </c>
      <c r="C3935" s="17"/>
      <c r="D3935" s="184"/>
      <c r="E3935" s="197"/>
      <c r="F3935" s="19"/>
      <c r="G3935" s="20"/>
    </row>
    <row r="3936" spans="1:8">
      <c r="A3936" s="211" t="s">
        <v>498</v>
      </c>
      <c r="B3936" s="216" t="str">
        <f ca="1">_xlfn.CONCAT(B3920,A3936)</f>
        <v>1CF87BDE-O</v>
      </c>
      <c r="C3936" s="17"/>
      <c r="D3936" s="184"/>
      <c r="E3936" s="197"/>
      <c r="F3936" s="19"/>
      <c r="G3936" s="20"/>
    </row>
    <row r="3937" spans="1:8">
      <c r="A3937" s="211" t="s">
        <v>499</v>
      </c>
      <c r="B3937" s="216" t="str">
        <f ca="1">_xlfn.CONCAT(B3920,A3937)</f>
        <v>1CF87BDE-P</v>
      </c>
      <c r="C3937" s="17"/>
      <c r="D3937" s="184"/>
      <c r="E3937" s="197"/>
      <c r="F3937" s="19"/>
      <c r="G3937" s="20"/>
    </row>
    <row r="3938" spans="1:8">
      <c r="A3938" s="211" t="s">
        <v>500</v>
      </c>
      <c r="B3938" s="216" t="str">
        <f ca="1">_xlfn.CONCAT(B3920,A3938)</f>
        <v>1CF87BDE-Q</v>
      </c>
      <c r="C3938" s="17"/>
      <c r="D3938" s="184"/>
      <c r="E3938" s="197"/>
      <c r="F3938" s="19"/>
      <c r="G3938" s="20"/>
    </row>
    <row r="3939" spans="1:8">
      <c r="A3939" s="211" t="s">
        <v>501</v>
      </c>
      <c r="B3939" s="216" t="str">
        <f ca="1">_xlfn.CONCAT(B3920,A3939)</f>
        <v>1CF87BDE-R</v>
      </c>
      <c r="C3939" s="17"/>
      <c r="D3939" s="184"/>
      <c r="E3939" s="197"/>
      <c r="F3939" s="19"/>
      <c r="G3939" s="20"/>
    </row>
    <row r="3940" spans="1:8">
      <c r="A3940" s="211" t="s">
        <v>502</v>
      </c>
      <c r="B3940" s="216" t="str">
        <f ca="1">_xlfn.CONCAT(B3920,A3940)</f>
        <v>1CF87BDE-S</v>
      </c>
      <c r="C3940" s="17"/>
      <c r="D3940" s="184"/>
      <c r="E3940" s="197"/>
      <c r="F3940" s="19"/>
      <c r="G3940" s="20"/>
    </row>
    <row r="3941" spans="1:8">
      <c r="A3941" s="211" t="s">
        <v>503</v>
      </c>
      <c r="B3941" s="216" t="str">
        <f ca="1">_xlfn.CONCAT(B3920,A3941)</f>
        <v>1CF87BDE-T</v>
      </c>
      <c r="C3941" s="17"/>
      <c r="D3941" s="184"/>
      <c r="E3941" s="197"/>
      <c r="F3941" s="19"/>
      <c r="G3941" s="20"/>
    </row>
    <row r="3942" spans="1:8" ht="14.25" thickBot="1">
      <c r="A3942" s="211" t="s">
        <v>504</v>
      </c>
      <c r="B3942" s="216" t="str">
        <f ca="1">_xlfn.CONCAT(B3920,A3942)</f>
        <v>1CF87BDE-U</v>
      </c>
      <c r="C3942" s="17"/>
      <c r="D3942" s="184"/>
      <c r="E3942" s="197"/>
      <c r="F3942" s="19"/>
      <c r="G3942" s="20"/>
    </row>
    <row r="3943" spans="1:8" ht="14.25" thickBot="1">
      <c r="A3943" s="211" t="s">
        <v>505</v>
      </c>
      <c r="B3943" s="216" t="str">
        <f ca="1">_xlfn.CONCAT(B3920,A3943)</f>
        <v>1CF87BDE-V</v>
      </c>
      <c r="C3943" s="17" t="s">
        <v>17</v>
      </c>
      <c r="D3943" s="192" t="s">
        <v>17</v>
      </c>
      <c r="E3943" s="18"/>
      <c r="F3943" s="22" t="s">
        <v>18</v>
      </c>
      <c r="G3943" s="23">
        <f>SUM(G3922:G3942)</f>
        <v>57834000</v>
      </c>
    </row>
    <row r="3944" spans="1:8" ht="15.75" thickBot="1">
      <c r="A3944" s="211" t="s">
        <v>506</v>
      </c>
      <c r="B3944" s="216" t="str">
        <f ca="1">_xlfn.CONCAT(B3920,A3944)</f>
        <v>1CF87BDE-W</v>
      </c>
      <c r="C3944" s="10" t="s">
        <v>19</v>
      </c>
      <c r="D3944" s="190"/>
      <c r="E3944" s="11"/>
      <c r="F3944" s="12"/>
      <c r="G3944" s="13"/>
    </row>
    <row r="3945" spans="1:8" ht="14.25" thickBot="1">
      <c r="A3945" s="211" t="s">
        <v>507</v>
      </c>
      <c r="B3945" s="216" t="str">
        <f ca="1">_xlfn.CONCAT(B3920,A3945)</f>
        <v>1CF87BDE-X</v>
      </c>
      <c r="C3945" s="14" t="s">
        <v>1</v>
      </c>
      <c r="D3945" s="15"/>
      <c r="E3945" s="15" t="s">
        <v>20</v>
      </c>
      <c r="F3945" s="16" t="s">
        <v>21</v>
      </c>
      <c r="G3945" s="15" t="s">
        <v>5</v>
      </c>
      <c r="H3945" s="215"/>
    </row>
    <row r="3946" spans="1:8">
      <c r="A3946" s="211" t="s">
        <v>508</v>
      </c>
      <c r="B3946" s="216" t="str">
        <f ca="1">_xlfn.CONCAT(B3920,A3946)</f>
        <v>1CF87BDE-Y</v>
      </c>
      <c r="C3946" s="24" t="s">
        <v>22</v>
      </c>
      <c r="D3946" s="184"/>
      <c r="E3946" s="25">
        <f>_xlfn.XLOOKUP(C3946,'H-MO'!B$7:B$30,'H-MO'!D$7:D$30,,0,1)</f>
        <v>2436.5624999999995</v>
      </c>
      <c r="F3946" s="19">
        <v>32</v>
      </c>
      <c r="G3946" s="33">
        <f t="shared" ref="G3946:G3951" si="114">+E3946*F3946</f>
        <v>77969.999999999985</v>
      </c>
    </row>
    <row r="3947" spans="1:8">
      <c r="A3947" s="211" t="s">
        <v>509</v>
      </c>
      <c r="B3947" s="216" t="str">
        <f ca="1">_xlfn.CONCAT(B3920,A3947)</f>
        <v>1CF87BDE-Z</v>
      </c>
      <c r="C3947" s="24" t="s">
        <v>23</v>
      </c>
      <c r="D3947" s="184"/>
      <c r="E3947" s="25">
        <f>_xlfn.XLOOKUP(C3947,'H-MO'!B$7:B$30,'H-MO'!D$7:D$30,,0,1)</f>
        <v>1461.9374999999998</v>
      </c>
      <c r="F3947" s="19">
        <v>8</v>
      </c>
      <c r="G3947" s="33">
        <f t="shared" si="114"/>
        <v>11695.499999999998</v>
      </c>
    </row>
    <row r="3948" spans="1:8">
      <c r="A3948" s="211" t="s">
        <v>510</v>
      </c>
      <c r="B3948" s="216" t="str">
        <f ca="1">_xlfn.CONCAT(B3920,A3948)</f>
        <v>1CF87BDE-aa</v>
      </c>
      <c r="C3948" s="24" t="s">
        <v>24</v>
      </c>
      <c r="D3948" s="185"/>
      <c r="E3948" s="25">
        <f>_xlfn.XLOOKUP(C3948,'H-MO'!B$7:B$30,'H-MO'!D$7:D$30,,0,1)</f>
        <v>29238.749999999996</v>
      </c>
      <c r="F3948" s="28">
        <v>12</v>
      </c>
      <c r="G3948" s="33">
        <f t="shared" si="114"/>
        <v>350864.99999999994</v>
      </c>
    </row>
    <row r="3949" spans="1:8">
      <c r="A3949" s="211" t="s">
        <v>511</v>
      </c>
      <c r="B3949" s="216" t="str">
        <f ca="1">_xlfn.CONCAT(B3920,A3949)</f>
        <v>1CF87BDE-ab</v>
      </c>
      <c r="C3949" s="24" t="s">
        <v>25</v>
      </c>
      <c r="D3949" s="185"/>
      <c r="E3949" s="25">
        <f>_xlfn.XLOOKUP(C3949,'H-MO'!B$7:B$30,'H-MO'!D$7:D$30,,0,1)</f>
        <v>2761.4374999999995</v>
      </c>
      <c r="F3949" s="28">
        <v>6</v>
      </c>
      <c r="G3949" s="33">
        <f t="shared" si="114"/>
        <v>16568.624999999996</v>
      </c>
    </row>
    <row r="3950" spans="1:8">
      <c r="A3950" s="211" t="s">
        <v>512</v>
      </c>
      <c r="B3950" s="216" t="str">
        <f ca="1">_xlfn.CONCAT(B3920,A3950)</f>
        <v>1CF87BDE-ac</v>
      </c>
      <c r="C3950" s="24"/>
      <c r="D3950" s="185"/>
      <c r="E3950" s="29"/>
      <c r="F3950" s="28"/>
      <c r="G3950" s="33">
        <f t="shared" si="114"/>
        <v>0</v>
      </c>
    </row>
    <row r="3951" spans="1:8" ht="14.25" thickBot="1">
      <c r="A3951" s="211" t="s">
        <v>513</v>
      </c>
      <c r="B3951" s="216" t="str">
        <f ca="1">_xlfn.CONCAT(B3920,A3951)</f>
        <v>1CF87BDE-ad</v>
      </c>
      <c r="C3951" s="24"/>
      <c r="D3951" s="185"/>
      <c r="E3951" s="29"/>
      <c r="F3951" s="28"/>
      <c r="G3951" s="33">
        <f t="shared" si="114"/>
        <v>0</v>
      </c>
    </row>
    <row r="3952" spans="1:8" ht="14.25" thickBot="1">
      <c r="A3952" s="211" t="s">
        <v>514</v>
      </c>
      <c r="B3952" s="216" t="str">
        <f ca="1">_xlfn.CONCAT(B3920,A3952)</f>
        <v>1CF87BDE-ae</v>
      </c>
      <c r="C3952" s="17"/>
      <c r="D3952" s="192"/>
      <c r="E3952" s="18"/>
      <c r="F3952" s="22" t="s">
        <v>26</v>
      </c>
      <c r="G3952" s="23">
        <f>SUM(G3946:G3951)</f>
        <v>457099.12499999994</v>
      </c>
    </row>
    <row r="3953" spans="1:8" ht="15.75" thickBot="1">
      <c r="A3953" s="211" t="s">
        <v>515</v>
      </c>
      <c r="B3953" s="216" t="str">
        <f ca="1">_xlfn.CONCAT(B3920,A3953)</f>
        <v>1CF87BDE-af</v>
      </c>
      <c r="C3953" s="10" t="s">
        <v>27</v>
      </c>
      <c r="D3953" s="190"/>
      <c r="E3953" s="11"/>
      <c r="F3953" s="12"/>
      <c r="G3953" s="13"/>
    </row>
    <row r="3954" spans="1:8" ht="14.25" thickBot="1">
      <c r="A3954" s="211" t="s">
        <v>516</v>
      </c>
      <c r="B3954" s="216" t="str">
        <f ca="1">_xlfn.CONCAT(B3920,A3954)</f>
        <v>1CF87BDE-ag</v>
      </c>
      <c r="C3954" s="14" t="s">
        <v>1</v>
      </c>
      <c r="D3954" s="15" t="s">
        <v>28</v>
      </c>
      <c r="E3954" s="15" t="s">
        <v>20</v>
      </c>
      <c r="F3954" s="16" t="s">
        <v>21</v>
      </c>
      <c r="G3954" s="15" t="s">
        <v>5</v>
      </c>
      <c r="H3954" s="215"/>
    </row>
    <row r="3955" spans="1:8">
      <c r="A3955" s="211" t="s">
        <v>517</v>
      </c>
      <c r="B3955" s="216" t="str">
        <f ca="1">_xlfn.CONCAT(B3920,A3955)</f>
        <v>1CF87BDE-ah</v>
      </c>
      <c r="C3955" s="30" t="s">
        <v>29</v>
      </c>
      <c r="D3955" s="186">
        <f>'H-MO'!$N$77</f>
        <v>725918.52892505517</v>
      </c>
      <c r="E3955" s="31">
        <f>+D3955/8</f>
        <v>90739.816115631897</v>
      </c>
      <c r="F3955" s="32">
        <v>8</v>
      </c>
      <c r="G3955" s="33">
        <f>+E3955*F3955</f>
        <v>725918.52892505517</v>
      </c>
    </row>
    <row r="3956" spans="1:8">
      <c r="A3956" s="211" t="s">
        <v>518</v>
      </c>
      <c r="B3956" s="216" t="str">
        <f ca="1">_xlfn.CONCAT(B3920,A3956)</f>
        <v>1CF87BDE-ai</v>
      </c>
      <c r="C3956" s="34" t="s">
        <v>30</v>
      </c>
      <c r="D3956" s="187">
        <f>'H-MO'!$N$86</f>
        <v>685561.39085756091</v>
      </c>
      <c r="E3956" s="29">
        <f>+D3956/8</f>
        <v>85695.173857195114</v>
      </c>
      <c r="F3956" s="28">
        <v>1</v>
      </c>
      <c r="G3956" s="33">
        <f>+E3956*F3956</f>
        <v>85695.173857195114</v>
      </c>
    </row>
    <row r="3957" spans="1:8" ht="14.25" thickBot="1">
      <c r="A3957" s="211" t="s">
        <v>519</v>
      </c>
      <c r="B3957" s="216" t="str">
        <f ca="1">_xlfn.CONCAT(B3920,A3957)</f>
        <v>1CF87BDE-aj</v>
      </c>
      <c r="C3957" s="34"/>
      <c r="D3957" s="187"/>
      <c r="E3957" s="29"/>
      <c r="F3957" s="28"/>
      <c r="G3957" s="33">
        <f>+E3957*F3957</f>
        <v>0</v>
      </c>
    </row>
    <row r="3958" spans="1:8" ht="14.25" thickBot="1">
      <c r="A3958" s="211" t="s">
        <v>520</v>
      </c>
      <c r="B3958" s="216" t="str">
        <f ca="1">_xlfn.CONCAT(B3920,A3958)</f>
        <v>1CF87BDE-ak</v>
      </c>
      <c r="C3958" s="34"/>
      <c r="D3958" s="185"/>
      <c r="E3958" s="26"/>
      <c r="F3958" s="36" t="s">
        <v>31</v>
      </c>
      <c r="G3958" s="23">
        <f>SUM(G3955:G3957)</f>
        <v>811613.70278225024</v>
      </c>
    </row>
    <row r="3959" spans="1:8" ht="14.25" thickBot="1">
      <c r="A3959" s="211" t="s">
        <v>521</v>
      </c>
      <c r="B3959" s="216" t="str">
        <f ca="1">_xlfn.CONCAT(B3920,A3959)</f>
        <v>1CF87BDE-al</v>
      </c>
      <c r="C3959" s="37"/>
      <c r="E3959" s="38"/>
      <c r="F3959" s="22"/>
      <c r="G3959" s="39"/>
    </row>
    <row r="3960" spans="1:8" ht="16.5" thickBot="1">
      <c r="A3960" s="211" t="s">
        <v>522</v>
      </c>
      <c r="B3960" s="216" t="str">
        <f ca="1">_xlfn.CONCAT(B3920,A3960)</f>
        <v>1CF87BDE-am</v>
      </c>
      <c r="C3960" s="40"/>
      <c r="D3960" s="193"/>
      <c r="E3960" s="41"/>
      <c r="F3960" s="42"/>
      <c r="G3960" s="43">
        <f>+G3943+G3952+G3958</f>
        <v>59102712.827782251</v>
      </c>
    </row>
    <row r="3961" spans="1:8" ht="21.75" thickBot="1">
      <c r="B3961" s="212" t="s">
        <v>550</v>
      </c>
      <c r="C3961" s="2"/>
      <c r="D3961" s="183"/>
      <c r="F3961" s="4"/>
      <c r="G3961" s="5"/>
    </row>
    <row r="3962" spans="1:8" ht="18.75">
      <c r="A3962" s="213"/>
      <c r="B3962" s="214">
        <v>91</v>
      </c>
      <c r="C3962" s="242" t="str">
        <f ca="1">_xlfn.XLOOKUP(B3962,Cantidades!$A$10:$A$314,Cantidades!$C$10:$C$314,,0,1)</f>
        <v>Suministro e instalación de cable de aluminio 3x2 ACSR</v>
      </c>
      <c r="D3962" s="243"/>
      <c r="E3962" s="243"/>
      <c r="F3962" s="243"/>
      <c r="G3962" s="244"/>
      <c r="H3962" s="213"/>
    </row>
    <row r="3963" spans="1:8" ht="19.5" thickBot="1">
      <c r="A3963" s="215"/>
      <c r="B3963" s="216" t="s">
        <v>550</v>
      </c>
      <c r="C3963" s="177"/>
      <c r="D3963" s="189"/>
      <c r="E3963" s="178"/>
      <c r="F3963" s="179" t="s">
        <v>636</v>
      </c>
      <c r="G3963" s="209" t="str">
        <f ca="1">B3964</f>
        <v>33C6702C-</v>
      </c>
      <c r="H3963" s="215"/>
    </row>
    <row r="3964" spans="1:8" ht="15.75" thickBot="1">
      <c r="B3964" s="212" t="str">
        <f ca="1">_xlfn.XLOOKUP(C3962,Cantidades!$C$1:$C$314,Cantidades!$B$1:$B$314,"",0,1)</f>
        <v>33C6702C-</v>
      </c>
      <c r="C3964" s="10" t="s">
        <v>0</v>
      </c>
      <c r="D3964" s="190"/>
      <c r="E3964" s="11"/>
      <c r="F3964" s="12"/>
      <c r="G3964" s="13"/>
    </row>
    <row r="3965" spans="1:8" ht="14.25" thickBot="1">
      <c r="A3965" s="215"/>
      <c r="B3965" s="216" t="s">
        <v>550</v>
      </c>
      <c r="C3965" s="14" t="s">
        <v>1</v>
      </c>
      <c r="D3965" s="15" t="s">
        <v>2</v>
      </c>
      <c r="E3965" s="15" t="s">
        <v>3</v>
      </c>
      <c r="F3965" s="16" t="s">
        <v>4</v>
      </c>
      <c r="G3965" s="15" t="s">
        <v>5</v>
      </c>
      <c r="H3965" s="215"/>
    </row>
    <row r="3966" spans="1:8" ht="15">
      <c r="A3966" s="211" t="s">
        <v>484</v>
      </c>
      <c r="B3966" s="216" t="str">
        <f ca="1">_xlfn.CONCAT(B3964,A3966)</f>
        <v>33C6702C-A</v>
      </c>
      <c r="C3966" s="17" t="str">
        <f>_xlfn.XLOOKUP(H3966,'Materiales unitario'!$A$1:$A$2500,'Materiales unitario'!B$1:B$2500,,0,1)</f>
        <v xml:space="preserve">Cable de Aluminio desnudo ACSR #2 AWG </v>
      </c>
      <c r="D3966" s="184" t="str">
        <f>_xlfn.XLOOKUP(H3966,'Materiales unitario'!A$1:A$2500,'Materiales unitario'!C$1:C$2500,,0,1)</f>
        <v>ml</v>
      </c>
      <c r="E3966" s="197">
        <f>_xlfn.XLOOKUP(H3966,'Materiales unitario'!$A$1:$A$2500,'Materiales unitario'!D$1:D$2500,,0,1)</f>
        <v>4462.5</v>
      </c>
      <c r="F3966" s="19">
        <v>3.15</v>
      </c>
      <c r="G3966" s="20">
        <f>+E3966*F3966</f>
        <v>14056.875</v>
      </c>
      <c r="H3966" s="217" t="s">
        <v>263</v>
      </c>
    </row>
    <row r="3967" spans="1:8">
      <c r="A3967" s="211" t="s">
        <v>485</v>
      </c>
      <c r="B3967" s="216" t="str">
        <f ca="1">_xlfn.CONCAT(B3964,A3967)</f>
        <v>33C6702C-B</v>
      </c>
      <c r="C3967" s="17"/>
      <c r="D3967" s="184"/>
      <c r="E3967" s="197"/>
      <c r="F3967" s="19"/>
      <c r="G3967" s="20"/>
    </row>
    <row r="3968" spans="1:8">
      <c r="A3968" s="211" t="s">
        <v>486</v>
      </c>
      <c r="B3968" s="216" t="str">
        <f ca="1">_xlfn.CONCAT(B3964,A3968)</f>
        <v>33C6702C-C</v>
      </c>
      <c r="C3968" s="17"/>
      <c r="D3968" s="184"/>
      <c r="E3968" s="197"/>
      <c r="F3968" s="19"/>
      <c r="G3968" s="20"/>
    </row>
    <row r="3969" spans="1:7">
      <c r="A3969" s="211" t="s">
        <v>487</v>
      </c>
      <c r="B3969" s="216" t="str">
        <f ca="1">_xlfn.CONCAT(B3964,A3969)</f>
        <v>33C6702C-D</v>
      </c>
      <c r="C3969" s="17"/>
      <c r="D3969" s="184"/>
      <c r="E3969" s="197"/>
      <c r="F3969" s="19"/>
      <c r="G3969" s="20"/>
    </row>
    <row r="3970" spans="1:7">
      <c r="A3970" s="211" t="s">
        <v>488</v>
      </c>
      <c r="B3970" s="216" t="str">
        <f ca="1">_xlfn.CONCAT(B3964,A3970)</f>
        <v>33C6702C-E</v>
      </c>
      <c r="C3970" s="17"/>
      <c r="D3970" s="184"/>
      <c r="E3970" s="197"/>
      <c r="F3970" s="19"/>
      <c r="G3970" s="20"/>
    </row>
    <row r="3971" spans="1:7">
      <c r="A3971" s="211" t="s">
        <v>489</v>
      </c>
      <c r="B3971" s="216" t="str">
        <f ca="1">_xlfn.CONCAT(B3964,A3971)</f>
        <v>33C6702C-F</v>
      </c>
      <c r="C3971" s="17"/>
      <c r="D3971" s="184"/>
      <c r="E3971" s="197"/>
      <c r="F3971" s="19"/>
      <c r="G3971" s="20"/>
    </row>
    <row r="3972" spans="1:7">
      <c r="A3972" s="211" t="s">
        <v>490</v>
      </c>
      <c r="B3972" s="216" t="str">
        <f ca="1">_xlfn.CONCAT(B3964,A3972)</f>
        <v>33C6702C-G</v>
      </c>
      <c r="C3972" s="17"/>
      <c r="D3972" s="184"/>
      <c r="E3972" s="197"/>
      <c r="F3972" s="19"/>
      <c r="G3972" s="20"/>
    </row>
    <row r="3973" spans="1:7">
      <c r="A3973" s="211" t="s">
        <v>491</v>
      </c>
      <c r="B3973" s="216" t="str">
        <f ca="1">_xlfn.CONCAT(B3964,A3973)</f>
        <v>33C6702C-H</v>
      </c>
      <c r="C3973" s="17"/>
      <c r="D3973" s="184"/>
      <c r="E3973" s="197"/>
      <c r="F3973" s="19"/>
      <c r="G3973" s="20"/>
    </row>
    <row r="3974" spans="1:7">
      <c r="A3974" s="211" t="s">
        <v>492</v>
      </c>
      <c r="B3974" s="216" t="str">
        <f ca="1">_xlfn.CONCAT(B3964,A3974)</f>
        <v>33C6702C-I</v>
      </c>
      <c r="C3974" s="17"/>
      <c r="D3974" s="184"/>
      <c r="E3974" s="197"/>
      <c r="F3974" s="19"/>
      <c r="G3974" s="20"/>
    </row>
    <row r="3975" spans="1:7">
      <c r="A3975" s="211" t="s">
        <v>493</v>
      </c>
      <c r="B3975" s="216" t="str">
        <f ca="1">_xlfn.CONCAT(B3964,A3975)</f>
        <v>33C6702C-J</v>
      </c>
      <c r="C3975" s="17"/>
      <c r="D3975" s="184"/>
      <c r="E3975" s="197"/>
      <c r="F3975" s="19"/>
      <c r="G3975" s="20"/>
    </row>
    <row r="3976" spans="1:7">
      <c r="A3976" s="211" t="s">
        <v>494</v>
      </c>
      <c r="B3976" s="216" t="str">
        <f ca="1">_xlfn.CONCAT(B3964,A3976)</f>
        <v>33C6702C-K</v>
      </c>
      <c r="C3976" s="17"/>
      <c r="D3976" s="184"/>
      <c r="E3976" s="197"/>
      <c r="F3976" s="19"/>
      <c r="G3976" s="20"/>
    </row>
    <row r="3977" spans="1:7">
      <c r="A3977" s="211" t="s">
        <v>495</v>
      </c>
      <c r="B3977" s="216" t="str">
        <f ca="1">_xlfn.CONCAT(B3964,A3977)</f>
        <v>33C6702C-L</v>
      </c>
      <c r="C3977" s="17"/>
      <c r="D3977" s="184"/>
      <c r="E3977" s="197"/>
      <c r="F3977" s="19"/>
      <c r="G3977" s="20"/>
    </row>
    <row r="3978" spans="1:7">
      <c r="A3978" s="211" t="s">
        <v>496</v>
      </c>
      <c r="B3978" s="216" t="str">
        <f ca="1">_xlfn.CONCAT(B3964,A3978)</f>
        <v>33C6702C-M</v>
      </c>
      <c r="C3978" s="17"/>
      <c r="D3978" s="184"/>
      <c r="E3978" s="197"/>
      <c r="F3978" s="19"/>
      <c r="G3978" s="20"/>
    </row>
    <row r="3979" spans="1:7">
      <c r="A3979" s="211" t="s">
        <v>497</v>
      </c>
      <c r="B3979" s="216" t="str">
        <f ca="1">_xlfn.CONCAT(B3964,A3979)</f>
        <v>33C6702C-N</v>
      </c>
      <c r="C3979" s="17"/>
      <c r="D3979" s="184"/>
      <c r="E3979" s="197"/>
      <c r="F3979" s="19"/>
      <c r="G3979" s="20"/>
    </row>
    <row r="3980" spans="1:7">
      <c r="A3980" s="211" t="s">
        <v>498</v>
      </c>
      <c r="B3980" s="216" t="str">
        <f ca="1">_xlfn.CONCAT(B3964,A3980)</f>
        <v>33C6702C-O</v>
      </c>
      <c r="C3980" s="17"/>
      <c r="D3980" s="184"/>
      <c r="E3980" s="197"/>
      <c r="F3980" s="19"/>
      <c r="G3980" s="20"/>
    </row>
    <row r="3981" spans="1:7">
      <c r="A3981" s="211" t="s">
        <v>499</v>
      </c>
      <c r="B3981" s="216" t="str">
        <f ca="1">_xlfn.CONCAT(B3964,A3981)</f>
        <v>33C6702C-P</v>
      </c>
      <c r="C3981" s="17"/>
      <c r="D3981" s="184"/>
      <c r="E3981" s="197"/>
      <c r="F3981" s="19"/>
      <c r="G3981" s="20"/>
    </row>
    <row r="3982" spans="1:7">
      <c r="A3982" s="211" t="s">
        <v>500</v>
      </c>
      <c r="B3982" s="216" t="str">
        <f ca="1">_xlfn.CONCAT(B3964,A3982)</f>
        <v>33C6702C-Q</v>
      </c>
      <c r="C3982" s="17"/>
      <c r="D3982" s="184"/>
      <c r="E3982" s="197"/>
      <c r="F3982" s="19"/>
      <c r="G3982" s="20"/>
    </row>
    <row r="3983" spans="1:7">
      <c r="A3983" s="211" t="s">
        <v>501</v>
      </c>
      <c r="B3983" s="216" t="str">
        <f ca="1">_xlfn.CONCAT(B3964,A3983)</f>
        <v>33C6702C-R</v>
      </c>
      <c r="C3983" s="17"/>
      <c r="D3983" s="184"/>
      <c r="E3983" s="197"/>
      <c r="F3983" s="19"/>
      <c r="G3983" s="20"/>
    </row>
    <row r="3984" spans="1:7">
      <c r="A3984" s="211" t="s">
        <v>502</v>
      </c>
      <c r="B3984" s="216" t="str">
        <f ca="1">_xlfn.CONCAT(B3964,A3984)</f>
        <v>33C6702C-S</v>
      </c>
      <c r="C3984" s="17"/>
      <c r="D3984" s="184"/>
      <c r="E3984" s="197"/>
      <c r="F3984" s="19"/>
      <c r="G3984" s="20"/>
    </row>
    <row r="3985" spans="1:8">
      <c r="A3985" s="211" t="s">
        <v>503</v>
      </c>
      <c r="B3985" s="216" t="str">
        <f ca="1">_xlfn.CONCAT(B3964,A3985)</f>
        <v>33C6702C-T</v>
      </c>
      <c r="C3985" s="17"/>
      <c r="D3985" s="184"/>
      <c r="E3985" s="197"/>
      <c r="F3985" s="19"/>
      <c r="G3985" s="20"/>
    </row>
    <row r="3986" spans="1:8" ht="14.25" thickBot="1">
      <c r="A3986" s="211" t="s">
        <v>504</v>
      </c>
      <c r="B3986" s="216" t="str">
        <f ca="1">_xlfn.CONCAT(B3964,A3986)</f>
        <v>33C6702C-U</v>
      </c>
      <c r="C3986" s="17"/>
      <c r="D3986" s="184"/>
      <c r="E3986" s="197"/>
      <c r="F3986" s="19"/>
      <c r="G3986" s="20"/>
    </row>
    <row r="3987" spans="1:8" ht="14.25" thickBot="1">
      <c r="A3987" s="211" t="s">
        <v>505</v>
      </c>
      <c r="B3987" s="216" t="str">
        <f ca="1">_xlfn.CONCAT(B3964,A3987)</f>
        <v>33C6702C-V</v>
      </c>
      <c r="C3987" s="17" t="s">
        <v>17</v>
      </c>
      <c r="D3987" s="192" t="s">
        <v>17</v>
      </c>
      <c r="E3987" s="18"/>
      <c r="F3987" s="22" t="s">
        <v>18</v>
      </c>
      <c r="G3987" s="23">
        <f>SUM(G3966:G3986)</f>
        <v>14056.875</v>
      </c>
    </row>
    <row r="3988" spans="1:8" ht="15.75" thickBot="1">
      <c r="A3988" s="211" t="s">
        <v>506</v>
      </c>
      <c r="B3988" s="216" t="str">
        <f ca="1">_xlfn.CONCAT(B3964,A3988)</f>
        <v>33C6702C-W</v>
      </c>
      <c r="C3988" s="10" t="s">
        <v>19</v>
      </c>
      <c r="D3988" s="190"/>
      <c r="E3988" s="11"/>
      <c r="F3988" s="12"/>
      <c r="G3988" s="13"/>
    </row>
    <row r="3989" spans="1:8" ht="14.25" thickBot="1">
      <c r="A3989" s="211" t="s">
        <v>507</v>
      </c>
      <c r="B3989" s="216" t="str">
        <f ca="1">_xlfn.CONCAT(B3964,A3989)</f>
        <v>33C6702C-X</v>
      </c>
      <c r="C3989" s="14" t="s">
        <v>1</v>
      </c>
      <c r="D3989" s="15"/>
      <c r="E3989" s="15" t="s">
        <v>20</v>
      </c>
      <c r="F3989" s="16" t="s">
        <v>21</v>
      </c>
      <c r="G3989" s="15" t="s">
        <v>5</v>
      </c>
      <c r="H3989" s="215"/>
    </row>
    <row r="3990" spans="1:8">
      <c r="A3990" s="211" t="s">
        <v>508</v>
      </c>
      <c r="B3990" s="216" t="str">
        <f ca="1">_xlfn.CONCAT(B3964,A3990)</f>
        <v>33C6702C-Y</v>
      </c>
      <c r="C3990" s="24" t="s">
        <v>22</v>
      </c>
      <c r="D3990" s="184"/>
      <c r="E3990" s="25">
        <f>_xlfn.XLOOKUP(C3990,'H-MO'!B$7:B$30,'H-MO'!D$7:D$30,,0,1)</f>
        <v>2436.5624999999995</v>
      </c>
      <c r="F3990" s="19">
        <v>0.6</v>
      </c>
      <c r="G3990" s="33">
        <f t="shared" ref="G3990:G3995" si="115">+E3990*F3990</f>
        <v>1461.9374999999998</v>
      </c>
    </row>
    <row r="3991" spans="1:8">
      <c r="A3991" s="211" t="s">
        <v>509</v>
      </c>
      <c r="B3991" s="216" t="str">
        <f ca="1">_xlfn.CONCAT(B3964,A3991)</f>
        <v>33C6702C-Z</v>
      </c>
      <c r="C3991" s="24" t="s">
        <v>23</v>
      </c>
      <c r="D3991" s="184"/>
      <c r="E3991" s="25">
        <f>_xlfn.XLOOKUP(C3991,'H-MO'!B$7:B$30,'H-MO'!D$7:D$30,,0,1)</f>
        <v>1461.9374999999998</v>
      </c>
      <c r="F3991" s="19">
        <v>0.2</v>
      </c>
      <c r="G3991" s="33">
        <f t="shared" si="115"/>
        <v>292.38749999999999</v>
      </c>
    </row>
    <row r="3992" spans="1:8">
      <c r="A3992" s="211" t="s">
        <v>510</v>
      </c>
      <c r="B3992" s="216" t="str">
        <f ca="1">_xlfn.CONCAT(B3964,A3992)</f>
        <v>33C6702C-aa</v>
      </c>
      <c r="C3992" s="24" t="s">
        <v>24</v>
      </c>
      <c r="D3992" s="185"/>
      <c r="E3992" s="25">
        <f>_xlfn.XLOOKUP(C3992,'H-MO'!B$7:B$30,'H-MO'!D$7:D$30,,0,1)</f>
        <v>29238.749999999996</v>
      </c>
      <c r="F3992" s="28">
        <v>0.04</v>
      </c>
      <c r="G3992" s="33">
        <f t="shared" si="115"/>
        <v>1169.55</v>
      </c>
    </row>
    <row r="3993" spans="1:8">
      <c r="A3993" s="211" t="s">
        <v>511</v>
      </c>
      <c r="B3993" s="216" t="str">
        <f ca="1">_xlfn.CONCAT(B3964,A3993)</f>
        <v>33C6702C-ab</v>
      </c>
      <c r="C3993" s="24" t="s">
        <v>25</v>
      </c>
      <c r="D3993" s="185"/>
      <c r="E3993" s="25">
        <f>_xlfn.XLOOKUP(C3993,'H-MO'!B$7:B$30,'H-MO'!D$7:D$30,,0,1)</f>
        <v>2761.4374999999995</v>
      </c>
      <c r="F3993" s="28">
        <v>3</v>
      </c>
      <c r="G3993" s="33">
        <f t="shared" si="115"/>
        <v>8284.3124999999982</v>
      </c>
    </row>
    <row r="3994" spans="1:8">
      <c r="A3994" s="211" t="s">
        <v>512</v>
      </c>
      <c r="B3994" s="216" t="str">
        <f ca="1">_xlfn.CONCAT(B3964,A3994)</f>
        <v>33C6702C-ac</v>
      </c>
      <c r="C3994" s="24"/>
      <c r="D3994" s="185"/>
      <c r="E3994" s="29"/>
      <c r="F3994" s="28"/>
      <c r="G3994" s="33">
        <f t="shared" si="115"/>
        <v>0</v>
      </c>
    </row>
    <row r="3995" spans="1:8" ht="14.25" thickBot="1">
      <c r="A3995" s="211" t="s">
        <v>513</v>
      </c>
      <c r="B3995" s="216" t="str">
        <f ca="1">_xlfn.CONCAT(B3964,A3995)</f>
        <v>33C6702C-ad</v>
      </c>
      <c r="C3995" s="24"/>
      <c r="D3995" s="185"/>
      <c r="E3995" s="29"/>
      <c r="F3995" s="28"/>
      <c r="G3995" s="33">
        <f t="shared" si="115"/>
        <v>0</v>
      </c>
    </row>
    <row r="3996" spans="1:8" ht="14.25" thickBot="1">
      <c r="A3996" s="211" t="s">
        <v>514</v>
      </c>
      <c r="B3996" s="216" t="str">
        <f ca="1">_xlfn.CONCAT(B3964,A3996)</f>
        <v>33C6702C-ae</v>
      </c>
      <c r="C3996" s="17"/>
      <c r="D3996" s="192"/>
      <c r="E3996" s="18"/>
      <c r="F3996" s="22" t="s">
        <v>26</v>
      </c>
      <c r="G3996" s="23">
        <f>SUM(G3990:G3995)</f>
        <v>11208.187499999998</v>
      </c>
    </row>
    <row r="3997" spans="1:8" ht="15.75" thickBot="1">
      <c r="A3997" s="211" t="s">
        <v>515</v>
      </c>
      <c r="B3997" s="216" t="str">
        <f ca="1">_xlfn.CONCAT(B3964,A3997)</f>
        <v>33C6702C-af</v>
      </c>
      <c r="C3997" s="10" t="s">
        <v>27</v>
      </c>
      <c r="D3997" s="190"/>
      <c r="E3997" s="11"/>
      <c r="F3997" s="12"/>
      <c r="G3997" s="13"/>
    </row>
    <row r="3998" spans="1:8" ht="14.25" thickBot="1">
      <c r="A3998" s="211" t="s">
        <v>516</v>
      </c>
      <c r="B3998" s="216" t="str">
        <f ca="1">_xlfn.CONCAT(B3964,A3998)</f>
        <v>33C6702C-ag</v>
      </c>
      <c r="C3998" s="14" t="s">
        <v>1</v>
      </c>
      <c r="D3998" s="15" t="s">
        <v>28</v>
      </c>
      <c r="E3998" s="15" t="s">
        <v>20</v>
      </c>
      <c r="F3998" s="16" t="s">
        <v>21</v>
      </c>
      <c r="G3998" s="15" t="s">
        <v>5</v>
      </c>
      <c r="H3998" s="215"/>
    </row>
    <row r="3999" spans="1:8">
      <c r="A3999" s="211" t="s">
        <v>517</v>
      </c>
      <c r="B3999" s="216" t="str">
        <f ca="1">_xlfn.CONCAT(B3964,A3999)</f>
        <v>33C6702C-ah</v>
      </c>
      <c r="C3999" s="30" t="s">
        <v>29</v>
      </c>
      <c r="D3999" s="186">
        <f>'H-MO'!$N$77</f>
        <v>725918.52892505517</v>
      </c>
      <c r="E3999" s="31">
        <f>+D3999/8</f>
        <v>90739.816115631897</v>
      </c>
      <c r="F3999" s="32">
        <v>0.4</v>
      </c>
      <c r="G3999" s="33">
        <f>+E3999*F3999</f>
        <v>36295.926446252757</v>
      </c>
    </row>
    <row r="4000" spans="1:8">
      <c r="A4000" s="211" t="s">
        <v>518</v>
      </c>
      <c r="B4000" s="216" t="str">
        <f ca="1">_xlfn.CONCAT(B3964,A4000)</f>
        <v>33C6702C-ai</v>
      </c>
      <c r="C4000" s="34" t="s">
        <v>30</v>
      </c>
      <c r="D4000" s="187">
        <f>'H-MO'!$N$86</f>
        <v>685561.39085756091</v>
      </c>
      <c r="E4000" s="29">
        <f>+D4000/8</f>
        <v>85695.173857195114</v>
      </c>
      <c r="F4000" s="28">
        <v>0</v>
      </c>
      <c r="G4000" s="33">
        <f>+E4000*F4000</f>
        <v>0</v>
      </c>
    </row>
    <row r="4001" spans="1:8" ht="14.25" thickBot="1">
      <c r="A4001" s="211" t="s">
        <v>519</v>
      </c>
      <c r="B4001" s="216" t="str">
        <f ca="1">_xlfn.CONCAT(B3964,A4001)</f>
        <v>33C6702C-aj</v>
      </c>
      <c r="C4001" s="34"/>
      <c r="D4001" s="187"/>
      <c r="E4001" s="29"/>
      <c r="F4001" s="28"/>
      <c r="G4001" s="33">
        <f>+E4001*F4001</f>
        <v>0</v>
      </c>
    </row>
    <row r="4002" spans="1:8" ht="14.25" thickBot="1">
      <c r="A4002" s="211" t="s">
        <v>520</v>
      </c>
      <c r="B4002" s="216" t="str">
        <f ca="1">_xlfn.CONCAT(B3964,A4002)</f>
        <v>33C6702C-ak</v>
      </c>
      <c r="C4002" s="34"/>
      <c r="D4002" s="185"/>
      <c r="E4002" s="26"/>
      <c r="F4002" s="36" t="s">
        <v>31</v>
      </c>
      <c r="G4002" s="23">
        <f>SUM(G3999:G4001)</f>
        <v>36295.926446252757</v>
      </c>
    </row>
    <row r="4003" spans="1:8" ht="14.25" thickBot="1">
      <c r="A4003" s="211" t="s">
        <v>521</v>
      </c>
      <c r="B4003" s="216" t="str">
        <f ca="1">_xlfn.CONCAT(B3964,A4003)</f>
        <v>33C6702C-al</v>
      </c>
      <c r="C4003" s="37"/>
      <c r="E4003" s="38"/>
      <c r="F4003" s="22"/>
      <c r="G4003" s="39"/>
    </row>
    <row r="4004" spans="1:8" ht="16.5" thickBot="1">
      <c r="A4004" s="211" t="s">
        <v>522</v>
      </c>
      <c r="B4004" s="216" t="str">
        <f ca="1">_xlfn.CONCAT(B3964,A4004)</f>
        <v>33C6702C-am</v>
      </c>
      <c r="C4004" s="40"/>
      <c r="D4004" s="193"/>
      <c r="E4004" s="41"/>
      <c r="F4004" s="42"/>
      <c r="G4004" s="43">
        <f>+G3987+G3996+G4002</f>
        <v>61560.988946252757</v>
      </c>
    </row>
    <row r="4005" spans="1:8" ht="21.75" thickBot="1">
      <c r="B4005" s="212" t="s">
        <v>550</v>
      </c>
      <c r="C4005" s="2"/>
      <c r="D4005" s="183"/>
      <c r="F4005" s="4"/>
      <c r="G4005" s="5"/>
    </row>
    <row r="4006" spans="1:8" ht="18.75">
      <c r="A4006" s="213"/>
      <c r="B4006" s="214">
        <v>92</v>
      </c>
      <c r="C4006" s="242" t="str">
        <f ca="1">_xlfn.XLOOKUP(B4006,Cantidades!$A$10:$A$314,Cantidades!$C$10:$C$314,,0,1)</f>
        <v>Suministro e instalación de estructura trifásica tangencial en bandera LA 202</v>
      </c>
      <c r="D4006" s="243"/>
      <c r="E4006" s="243"/>
      <c r="F4006" s="243"/>
      <c r="G4006" s="244"/>
      <c r="H4006" s="213"/>
    </row>
    <row r="4007" spans="1:8" ht="19.5" thickBot="1">
      <c r="A4007" s="215"/>
      <c r="B4007" s="216" t="s">
        <v>550</v>
      </c>
      <c r="C4007" s="177"/>
      <c r="D4007" s="189"/>
      <c r="E4007" s="178"/>
      <c r="F4007" s="179" t="s">
        <v>636</v>
      </c>
      <c r="G4007" s="209" t="str">
        <f ca="1">B4008</f>
        <v>10A52BD2-</v>
      </c>
      <c r="H4007" s="215"/>
    </row>
    <row r="4008" spans="1:8" ht="15.75" thickBot="1">
      <c r="B4008" s="212" t="str">
        <f ca="1">_xlfn.XLOOKUP(C4006,Cantidades!$C$1:$C$314,Cantidades!$B$1:$B$314,"",0,1)</f>
        <v>10A52BD2-</v>
      </c>
      <c r="C4008" s="10" t="s">
        <v>0</v>
      </c>
      <c r="D4008" s="190"/>
      <c r="E4008" s="11"/>
      <c r="F4008" s="12"/>
      <c r="G4008" s="13"/>
    </row>
    <row r="4009" spans="1:8" ht="14.25" thickBot="1">
      <c r="A4009" s="215"/>
      <c r="B4009" s="216" t="s">
        <v>550</v>
      </c>
      <c r="C4009" s="14" t="s">
        <v>1</v>
      </c>
      <c r="D4009" s="15" t="s">
        <v>2</v>
      </c>
      <c r="E4009" s="15" t="s">
        <v>3</v>
      </c>
      <c r="F4009" s="16" t="s">
        <v>4</v>
      </c>
      <c r="G4009" s="15" t="s">
        <v>5</v>
      </c>
      <c r="H4009" s="215"/>
    </row>
    <row r="4010" spans="1:8" ht="15">
      <c r="A4010" s="211" t="s">
        <v>484</v>
      </c>
      <c r="B4010" s="216" t="str">
        <f ca="1">_xlfn.CONCAT(B4008,A4010)</f>
        <v>10A52BD2-A</v>
      </c>
      <c r="C4010" s="17" t="str">
        <f>_xlfn.XLOOKUP(H4010,'Materiales unitario'!$A$1:$A$2500,'Materiales unitario'!B$1:B$2500,,0,1)</f>
        <v>Aislador de pin ANSI 55-5  15 KV</v>
      </c>
      <c r="D4010" s="184" t="str">
        <f>_xlfn.XLOOKUP(H4010,'Materiales unitario'!A$1:A$2500,'Materiales unitario'!C$1:C$2500,,0,1)</f>
        <v>un</v>
      </c>
      <c r="E4010" s="197">
        <f>_xlfn.XLOOKUP(H4010,'Materiales unitario'!$A$1:$A$2500,'Materiales unitario'!D$1:D$2500,,0,1)</f>
        <v>31713.5</v>
      </c>
      <c r="F4010" s="19">
        <v>3</v>
      </c>
      <c r="G4010" s="20">
        <f>+E4010*F4010</f>
        <v>95140.5</v>
      </c>
      <c r="H4010" s="217" t="s">
        <v>224</v>
      </c>
    </row>
    <row r="4011" spans="1:8">
      <c r="A4011" s="211" t="s">
        <v>485</v>
      </c>
      <c r="B4011" s="216" t="str">
        <f ca="1">_xlfn.CONCAT(B4008,A4011)</f>
        <v>10A52BD2-B</v>
      </c>
      <c r="C4011" s="17" t="str">
        <f>_xlfn.XLOOKUP(H4011,'Materiales unitario'!$A$1:$A$2500,'Materiales unitario'!B$1:B$2500,,0,1)</f>
        <v>Cinta Band - It  ø3/8"</v>
      </c>
      <c r="D4011" s="184" t="str">
        <f>_xlfn.XLOOKUP(H4011,'Materiales unitario'!A$1:A$2500,'Materiales unitario'!C$1:C$2500,,0,1)</f>
        <v>ml</v>
      </c>
      <c r="E4011" s="197">
        <f>_xlfn.XLOOKUP(H4011,'Materiales unitario'!$A$1:$A$2500,'Materiales unitario'!D$1:D$2500,,0,1)</f>
        <v>2856</v>
      </c>
      <c r="F4011" s="19">
        <v>2</v>
      </c>
      <c r="G4011" s="20">
        <f t="shared" ref="G4011:G4019" si="116">+E4011*F4011</f>
        <v>5712</v>
      </c>
      <c r="H4011" s="211" t="s">
        <v>297</v>
      </c>
    </row>
    <row r="4012" spans="1:8">
      <c r="A4012" s="211" t="s">
        <v>486</v>
      </c>
      <c r="B4012" s="216" t="str">
        <f ca="1">_xlfn.CONCAT(B4008,A4012)</f>
        <v>10A52BD2-C</v>
      </c>
      <c r="C4012" s="17" t="str">
        <f>_xlfn.XLOOKUP(H4012,'Materiales unitario'!$A$1:$A$2500,'Materiales unitario'!B$1:B$2500,,0,1)</f>
        <v>Hebilla para cinta Band - It ø3/8"</v>
      </c>
      <c r="D4012" s="184" t="str">
        <f>_xlfn.XLOOKUP(H4012,'Materiales unitario'!A$1:A$2500,'Materiales unitario'!C$1:C$2500,,0,1)</f>
        <v>un</v>
      </c>
      <c r="E4012" s="197">
        <f>_xlfn.XLOOKUP(H4012,'Materiales unitario'!$A$1:$A$2500,'Materiales unitario'!D$1:D$2500,,0,1)</f>
        <v>595</v>
      </c>
      <c r="F4012" s="19">
        <v>4</v>
      </c>
      <c r="G4012" s="20">
        <f t="shared" si="116"/>
        <v>2380</v>
      </c>
      <c r="H4012" s="211" t="s">
        <v>528</v>
      </c>
    </row>
    <row r="4013" spans="1:8">
      <c r="A4013" s="211" t="s">
        <v>487</v>
      </c>
      <c r="B4013" s="216" t="str">
        <f ca="1">_xlfn.CONCAT(B4008,A4013)</f>
        <v>10A52BD2-D</v>
      </c>
      <c r="C4013" s="17" t="str">
        <f>_xlfn.XLOOKUP(H4013,'Materiales unitario'!$A$1:$A$2500,'Materiales unitario'!B$1:B$2500,,0,1)</f>
        <v>Pararrayos 12KV-10KA. ZnO</v>
      </c>
      <c r="D4013" s="184" t="str">
        <f>_xlfn.XLOOKUP(H4013,'Materiales unitario'!A$1:A$2500,'Materiales unitario'!C$1:C$2500,,0,1)</f>
        <v>un</v>
      </c>
      <c r="E4013" s="197">
        <f>_xlfn.XLOOKUP(H4013,'Materiales unitario'!$A$1:$A$2500,'Materiales unitario'!D$1:D$2500,,0,1)</f>
        <v>116322.5</v>
      </c>
      <c r="F4013" s="19">
        <v>3</v>
      </c>
      <c r="G4013" s="20">
        <f t="shared" si="116"/>
        <v>348967.5</v>
      </c>
      <c r="H4013" s="211" t="s">
        <v>344</v>
      </c>
    </row>
    <row r="4014" spans="1:8">
      <c r="A4014" s="211" t="s">
        <v>488</v>
      </c>
      <c r="B4014" s="216" t="str">
        <f ca="1">_xlfn.CONCAT(B4008,A4014)</f>
        <v>10A52BD2-E</v>
      </c>
      <c r="C4014" s="17" t="str">
        <f>_xlfn.XLOOKUP(H4014,'Materiales unitario'!$A$1:$A$2500,'Materiales unitario'!B$1:B$2500,,0,1)</f>
        <v>Conector compresión aluminio 4-4/0</v>
      </c>
      <c r="D4014" s="184" t="str">
        <f>_xlfn.XLOOKUP(H4014,'Materiales unitario'!A$1:A$2500,'Materiales unitario'!C$1:C$2500,,0,1)</f>
        <v>un</v>
      </c>
      <c r="E4014" s="197">
        <f>_xlfn.XLOOKUP(H4014,'Materiales unitario'!$A$1:$A$2500,'Materiales unitario'!D$1:D$2500,,0,1)</f>
        <v>31740</v>
      </c>
      <c r="F4014" s="19">
        <v>6</v>
      </c>
      <c r="G4014" s="20">
        <f t="shared" si="116"/>
        <v>190440</v>
      </c>
      <c r="H4014" s="211" t="s">
        <v>301</v>
      </c>
    </row>
    <row r="4015" spans="1:8">
      <c r="A4015" s="211" t="s">
        <v>489</v>
      </c>
      <c r="B4015" s="216" t="str">
        <f ca="1">_xlfn.CONCAT(B4008,A4015)</f>
        <v>10A52BD2-F</v>
      </c>
      <c r="C4015" s="17" t="str">
        <f>_xlfn.XLOOKUP(H4015,'Materiales unitario'!$A$1:$A$2500,'Materiales unitario'!B$1:B$2500,,0,1)</f>
        <v>Servicio de grúa en el sitio</v>
      </c>
      <c r="D4015" s="184" t="str">
        <f>_xlfn.XLOOKUP(H4015,'Materiales unitario'!A$1:A$2500,'Materiales unitario'!C$1:C$2500,,0,1)</f>
        <v>hr</v>
      </c>
      <c r="E4015" s="197">
        <f>_xlfn.XLOOKUP(H4015,'Materiales unitario'!$A$1:$A$2500,'Materiales unitario'!D$1:D$2500,,0,1)</f>
        <v>426720</v>
      </c>
      <c r="F4015" s="19">
        <v>2</v>
      </c>
      <c r="G4015" s="20">
        <f t="shared" si="116"/>
        <v>853440</v>
      </c>
      <c r="H4015" s="211" t="s">
        <v>529</v>
      </c>
    </row>
    <row r="4016" spans="1:8">
      <c r="A4016" s="211" t="s">
        <v>490</v>
      </c>
      <c r="B4016" s="216" t="str">
        <f ca="1">_xlfn.CONCAT(B4008,A4016)</f>
        <v>10A52BD2-G</v>
      </c>
      <c r="C4016" s="17" t="str">
        <f>_xlfn.XLOOKUP(H4016,'Materiales unitario'!$A$1:$A$2500,'Materiales unitario'!B$1:B$2500,,0,1)</f>
        <v>Abrazadera una salida tipo 200</v>
      </c>
      <c r="D4016" s="184" t="str">
        <f>_xlfn.XLOOKUP(H4016,'Materiales unitario'!A$1:A$2500,'Materiales unitario'!C$1:C$2500,,0,1)</f>
        <v>un</v>
      </c>
      <c r="E4016" s="197">
        <f>_xlfn.XLOOKUP(H4016,'Materiales unitario'!$A$1:$A$2500,'Materiales unitario'!D$1:D$2500,,0,1)</f>
        <v>25525.5</v>
      </c>
      <c r="F4016" s="19">
        <v>1</v>
      </c>
      <c r="G4016" s="20">
        <f t="shared" si="116"/>
        <v>25525.5</v>
      </c>
      <c r="H4016" s="211" t="s">
        <v>221</v>
      </c>
    </row>
    <row r="4017" spans="1:8">
      <c r="A4017" s="211" t="s">
        <v>491</v>
      </c>
      <c r="B4017" s="216" t="str">
        <f ca="1">_xlfn.CONCAT(B4008,A4017)</f>
        <v>10A52BD2-H</v>
      </c>
      <c r="C4017" s="17" t="str">
        <f>_xlfn.XLOOKUP(H4017,'Materiales unitario'!$A$1:$A$2500,'Materiales unitario'!B$1:B$2500,,0,1)</f>
        <v>Abrazadera en U ø5/8" tipo 2</v>
      </c>
      <c r="D4017" s="184" t="str">
        <f>_xlfn.XLOOKUP(H4017,'Materiales unitario'!A$1:A$2500,'Materiales unitario'!C$1:C$2500,,0,1)</f>
        <v>un</v>
      </c>
      <c r="E4017" s="197">
        <f>_xlfn.XLOOKUP(H4017,'Materiales unitario'!$A$1:$A$2500,'Materiales unitario'!D$1:D$2500,,0,1)</f>
        <v>25204.199999999997</v>
      </c>
      <c r="F4017" s="19">
        <v>3</v>
      </c>
      <c r="G4017" s="20">
        <f t="shared" si="116"/>
        <v>75612.599999999991</v>
      </c>
      <c r="H4017" s="211" t="s">
        <v>220</v>
      </c>
    </row>
    <row r="4018" spans="1:8">
      <c r="A4018" s="211" t="s">
        <v>492</v>
      </c>
      <c r="B4018" s="216" t="str">
        <f ca="1">_xlfn.CONCAT(B4008,A4018)</f>
        <v>10A52BD2-I</v>
      </c>
      <c r="C4018" s="17" t="str">
        <f>_xlfn.XLOOKUP(H4018,'Materiales unitario'!$A$1:$A$2500,'Materiales unitario'!B$1:B$2500,,0,1)</f>
        <v>Poste de concreto 12 mts 750 Kgf</v>
      </c>
      <c r="D4018" s="184" t="str">
        <f>_xlfn.XLOOKUP(H4018,'Materiales unitario'!A$1:A$2500,'Materiales unitario'!C$1:C$2500,,0,1)</f>
        <v>un</v>
      </c>
      <c r="E4018" s="197">
        <f>_xlfn.XLOOKUP(H4018,'Materiales unitario'!$A$1:$A$2500,'Materiales unitario'!D$1:D$2500,,0,1)</f>
        <v>1130083.5</v>
      </c>
      <c r="F4018" s="19">
        <v>1</v>
      </c>
      <c r="G4018" s="20">
        <f t="shared" si="116"/>
        <v>1130083.5</v>
      </c>
      <c r="H4018" s="211" t="s">
        <v>349</v>
      </c>
    </row>
    <row r="4019" spans="1:8">
      <c r="A4019" s="211" t="s">
        <v>493</v>
      </c>
      <c r="B4019" s="216" t="str">
        <f ca="1">_xlfn.CONCAT(B4008,A4019)</f>
        <v>10A52BD2-J</v>
      </c>
      <c r="C4019" s="17" t="str">
        <f>_xlfn.XLOOKUP(H4019,'Materiales unitario'!$A$1:$A$2500,'Materiales unitario'!B$1:B$2500,,0,1)</f>
        <v>Transporte al sitio de la obra</v>
      </c>
      <c r="D4019" s="184" t="str">
        <f>_xlfn.XLOOKUP(H4019,'Materiales unitario'!A$1:A$2500,'Materiales unitario'!C$1:C$2500,,0,1)</f>
        <v>un</v>
      </c>
      <c r="E4019" s="197">
        <f>_xlfn.XLOOKUP(H4019,'Materiales unitario'!$A$1:$A$2500,'Materiales unitario'!D$1:D$2500,,0,1)</f>
        <v>172200</v>
      </c>
      <c r="F4019" s="19">
        <v>0.6</v>
      </c>
      <c r="G4019" s="20">
        <f t="shared" si="116"/>
        <v>103320</v>
      </c>
      <c r="H4019" s="211" t="s">
        <v>384</v>
      </c>
    </row>
    <row r="4020" spans="1:8">
      <c r="A4020" s="211" t="s">
        <v>494</v>
      </c>
      <c r="B4020" s="216" t="str">
        <f ca="1">_xlfn.CONCAT(B4008,A4020)</f>
        <v>10A52BD2-K</v>
      </c>
      <c r="C4020" s="17"/>
      <c r="D4020" s="184"/>
      <c r="E4020" s="197"/>
      <c r="F4020" s="19"/>
      <c r="G4020" s="20"/>
    </row>
    <row r="4021" spans="1:8">
      <c r="A4021" s="211" t="s">
        <v>495</v>
      </c>
      <c r="B4021" s="216" t="str">
        <f ca="1">_xlfn.CONCAT(B4008,A4021)</f>
        <v>10A52BD2-L</v>
      </c>
      <c r="C4021" s="17"/>
      <c r="D4021" s="184"/>
      <c r="E4021" s="197"/>
      <c r="F4021" s="19"/>
      <c r="G4021" s="20"/>
    </row>
    <row r="4022" spans="1:8">
      <c r="A4022" s="211" t="s">
        <v>496</v>
      </c>
      <c r="B4022" s="216" t="str">
        <f ca="1">_xlfn.CONCAT(B4008,A4022)</f>
        <v>10A52BD2-M</v>
      </c>
      <c r="C4022" s="17"/>
      <c r="D4022" s="184"/>
      <c r="E4022" s="197"/>
      <c r="F4022" s="19"/>
      <c r="G4022" s="20"/>
    </row>
    <row r="4023" spans="1:8">
      <c r="A4023" s="211" t="s">
        <v>497</v>
      </c>
      <c r="B4023" s="216" t="str">
        <f ca="1">_xlfn.CONCAT(B4008,A4023)</f>
        <v>10A52BD2-N</v>
      </c>
      <c r="C4023" s="17"/>
      <c r="D4023" s="184"/>
      <c r="E4023" s="197"/>
      <c r="F4023" s="19"/>
      <c r="G4023" s="20"/>
    </row>
    <row r="4024" spans="1:8">
      <c r="A4024" s="211" t="s">
        <v>498</v>
      </c>
      <c r="B4024" s="216" t="str">
        <f ca="1">_xlfn.CONCAT(B4008,A4024)</f>
        <v>10A52BD2-O</v>
      </c>
      <c r="C4024" s="17"/>
      <c r="D4024" s="184"/>
      <c r="E4024" s="197"/>
      <c r="F4024" s="19"/>
      <c r="G4024" s="20"/>
    </row>
    <row r="4025" spans="1:8">
      <c r="A4025" s="211" t="s">
        <v>499</v>
      </c>
      <c r="B4025" s="216" t="str">
        <f ca="1">_xlfn.CONCAT(B4008,A4025)</f>
        <v>10A52BD2-P</v>
      </c>
      <c r="C4025" s="17"/>
      <c r="D4025" s="184"/>
      <c r="E4025" s="197"/>
      <c r="F4025" s="19"/>
      <c r="G4025" s="20"/>
    </row>
    <row r="4026" spans="1:8">
      <c r="A4026" s="211" t="s">
        <v>500</v>
      </c>
      <c r="B4026" s="216" t="str">
        <f ca="1">_xlfn.CONCAT(B4008,A4026)</f>
        <v>10A52BD2-Q</v>
      </c>
      <c r="C4026" s="17"/>
      <c r="D4026" s="184"/>
      <c r="E4026" s="197"/>
      <c r="F4026" s="19"/>
      <c r="G4026" s="20"/>
    </row>
    <row r="4027" spans="1:8">
      <c r="A4027" s="211" t="s">
        <v>501</v>
      </c>
      <c r="B4027" s="216" t="str">
        <f ca="1">_xlfn.CONCAT(B4008,A4027)</f>
        <v>10A52BD2-R</v>
      </c>
      <c r="C4027" s="17"/>
      <c r="D4027" s="184"/>
      <c r="E4027" s="197"/>
      <c r="F4027" s="19"/>
      <c r="G4027" s="20"/>
    </row>
    <row r="4028" spans="1:8">
      <c r="A4028" s="211" t="s">
        <v>502</v>
      </c>
      <c r="B4028" s="216" t="str">
        <f ca="1">_xlfn.CONCAT(B4008,A4028)</f>
        <v>10A52BD2-S</v>
      </c>
      <c r="C4028" s="17"/>
      <c r="D4028" s="184"/>
      <c r="E4028" s="197"/>
      <c r="F4028" s="19"/>
      <c r="G4028" s="20"/>
    </row>
    <row r="4029" spans="1:8">
      <c r="A4029" s="211" t="s">
        <v>503</v>
      </c>
      <c r="B4029" s="216" t="str">
        <f ca="1">_xlfn.CONCAT(B4008,A4029)</f>
        <v>10A52BD2-T</v>
      </c>
      <c r="C4029" s="17"/>
      <c r="D4029" s="184"/>
      <c r="E4029" s="197"/>
      <c r="F4029" s="19"/>
      <c r="G4029" s="20"/>
    </row>
    <row r="4030" spans="1:8" ht="14.25" thickBot="1">
      <c r="A4030" s="211" t="s">
        <v>504</v>
      </c>
      <c r="B4030" s="216" t="str">
        <f ca="1">_xlfn.CONCAT(B4008,A4030)</f>
        <v>10A52BD2-U</v>
      </c>
      <c r="C4030" s="17"/>
      <c r="D4030" s="184"/>
      <c r="E4030" s="197"/>
      <c r="F4030" s="19"/>
      <c r="G4030" s="20"/>
    </row>
    <row r="4031" spans="1:8" ht="14.25" thickBot="1">
      <c r="A4031" s="211" t="s">
        <v>505</v>
      </c>
      <c r="B4031" s="216" t="str">
        <f ca="1">_xlfn.CONCAT(B4008,A4031)</f>
        <v>10A52BD2-V</v>
      </c>
      <c r="C4031" s="17" t="s">
        <v>17</v>
      </c>
      <c r="D4031" s="192" t="s">
        <v>17</v>
      </c>
      <c r="E4031" s="18"/>
      <c r="F4031" s="22" t="s">
        <v>18</v>
      </c>
      <c r="G4031" s="23">
        <f>SUM(G4010:G4030)</f>
        <v>2830621.6</v>
      </c>
    </row>
    <row r="4032" spans="1:8" ht="15.75" thickBot="1">
      <c r="A4032" s="211" t="s">
        <v>506</v>
      </c>
      <c r="B4032" s="216" t="str">
        <f ca="1">_xlfn.CONCAT(B4008,A4032)</f>
        <v>10A52BD2-W</v>
      </c>
      <c r="C4032" s="10" t="s">
        <v>19</v>
      </c>
      <c r="D4032" s="190"/>
      <c r="E4032" s="11"/>
      <c r="F4032" s="12"/>
      <c r="G4032" s="13"/>
    </row>
    <row r="4033" spans="1:8" ht="14.25" thickBot="1">
      <c r="A4033" s="211" t="s">
        <v>507</v>
      </c>
      <c r="B4033" s="216" t="str">
        <f ca="1">_xlfn.CONCAT(B4008,A4033)</f>
        <v>10A52BD2-X</v>
      </c>
      <c r="C4033" s="14" t="s">
        <v>1</v>
      </c>
      <c r="D4033" s="15"/>
      <c r="E4033" s="15" t="s">
        <v>20</v>
      </c>
      <c r="F4033" s="16" t="s">
        <v>21</v>
      </c>
      <c r="G4033" s="15" t="s">
        <v>5</v>
      </c>
      <c r="H4033" s="215"/>
    </row>
    <row r="4034" spans="1:8">
      <c r="A4034" s="211" t="s">
        <v>508</v>
      </c>
      <c r="B4034" s="216" t="str">
        <f ca="1">_xlfn.CONCAT(B4008,A4034)</f>
        <v>10A52BD2-Y</v>
      </c>
      <c r="C4034" s="24" t="s">
        <v>22</v>
      </c>
      <c r="D4034" s="184"/>
      <c r="E4034" s="25">
        <f>_xlfn.XLOOKUP(C4034,'H-MO'!B$7:B$30,'H-MO'!D$7:D$30,,0,1)</f>
        <v>2436.5624999999995</v>
      </c>
      <c r="F4034" s="19">
        <v>14</v>
      </c>
      <c r="G4034" s="33">
        <f t="shared" ref="G4034:G4039" si="117">+E4034*F4034</f>
        <v>34111.874999999993</v>
      </c>
    </row>
    <row r="4035" spans="1:8">
      <c r="A4035" s="211" t="s">
        <v>509</v>
      </c>
      <c r="B4035" s="216" t="str">
        <f ca="1">_xlfn.CONCAT(B4008,A4035)</f>
        <v>10A52BD2-Z</v>
      </c>
      <c r="C4035" s="24" t="s">
        <v>23</v>
      </c>
      <c r="D4035" s="184"/>
      <c r="E4035" s="25">
        <f>_xlfn.XLOOKUP(C4035,'H-MO'!B$7:B$30,'H-MO'!D$7:D$30,,0,1)</f>
        <v>1461.9374999999998</v>
      </c>
      <c r="F4035" s="19">
        <v>2</v>
      </c>
      <c r="G4035" s="33">
        <f t="shared" si="117"/>
        <v>2923.8749999999995</v>
      </c>
    </row>
    <row r="4036" spans="1:8">
      <c r="A4036" s="211" t="s">
        <v>510</v>
      </c>
      <c r="B4036" s="216" t="str">
        <f ca="1">_xlfn.CONCAT(B4008,A4036)</f>
        <v>10A52BD2-aa</v>
      </c>
      <c r="C4036" s="24" t="s">
        <v>24</v>
      </c>
      <c r="D4036" s="185"/>
      <c r="E4036" s="25">
        <f>_xlfn.XLOOKUP(C4036,'H-MO'!B$7:B$30,'H-MO'!D$7:D$30,,0,1)</f>
        <v>29238.749999999996</v>
      </c>
      <c r="F4036" s="28">
        <v>5</v>
      </c>
      <c r="G4036" s="33">
        <f t="shared" si="117"/>
        <v>146193.74999999997</v>
      </c>
    </row>
    <row r="4037" spans="1:8">
      <c r="A4037" s="211" t="s">
        <v>511</v>
      </c>
      <c r="B4037" s="216" t="str">
        <f ca="1">_xlfn.CONCAT(B4008,A4037)</f>
        <v>10A52BD2-ab</v>
      </c>
      <c r="C4037" s="24" t="s">
        <v>25</v>
      </c>
      <c r="D4037" s="185"/>
      <c r="E4037" s="25">
        <f>_xlfn.XLOOKUP(C4037,'H-MO'!B$7:B$30,'H-MO'!D$7:D$30,,0,1)</f>
        <v>2761.4374999999995</v>
      </c>
      <c r="F4037" s="28">
        <v>5</v>
      </c>
      <c r="G4037" s="33">
        <f t="shared" si="117"/>
        <v>13807.187499999998</v>
      </c>
    </row>
    <row r="4038" spans="1:8">
      <c r="A4038" s="211" t="s">
        <v>512</v>
      </c>
      <c r="B4038" s="216" t="str">
        <f ca="1">_xlfn.CONCAT(B4008,A4038)</f>
        <v>10A52BD2-ac</v>
      </c>
      <c r="C4038" s="24"/>
      <c r="D4038" s="185"/>
      <c r="E4038" s="29"/>
      <c r="F4038" s="28"/>
      <c r="G4038" s="33">
        <f t="shared" si="117"/>
        <v>0</v>
      </c>
    </row>
    <row r="4039" spans="1:8" ht="14.25" thickBot="1">
      <c r="A4039" s="211" t="s">
        <v>513</v>
      </c>
      <c r="B4039" s="216" t="str">
        <f ca="1">_xlfn.CONCAT(B4008,A4039)</f>
        <v>10A52BD2-ad</v>
      </c>
      <c r="C4039" s="24"/>
      <c r="D4039" s="185"/>
      <c r="E4039" s="29"/>
      <c r="F4039" s="28"/>
      <c r="G4039" s="33">
        <f t="shared" si="117"/>
        <v>0</v>
      </c>
    </row>
    <row r="4040" spans="1:8" ht="14.25" thickBot="1">
      <c r="A4040" s="211" t="s">
        <v>514</v>
      </c>
      <c r="B4040" s="216" t="str">
        <f ca="1">_xlfn.CONCAT(B4008,A4040)</f>
        <v>10A52BD2-ae</v>
      </c>
      <c r="C4040" s="17"/>
      <c r="D4040" s="192"/>
      <c r="E4040" s="18"/>
      <c r="F4040" s="22" t="s">
        <v>26</v>
      </c>
      <c r="G4040" s="23">
        <f>SUM(G4034:G4039)</f>
        <v>197036.68749999997</v>
      </c>
    </row>
    <row r="4041" spans="1:8" ht="15.75" thickBot="1">
      <c r="A4041" s="211" t="s">
        <v>515</v>
      </c>
      <c r="B4041" s="216" t="str">
        <f ca="1">_xlfn.CONCAT(B4008,A4041)</f>
        <v>10A52BD2-af</v>
      </c>
      <c r="C4041" s="10" t="s">
        <v>27</v>
      </c>
      <c r="D4041" s="190"/>
      <c r="E4041" s="11"/>
      <c r="F4041" s="12"/>
      <c r="G4041" s="13"/>
    </row>
    <row r="4042" spans="1:8" ht="14.25" thickBot="1">
      <c r="A4042" s="211" t="s">
        <v>516</v>
      </c>
      <c r="B4042" s="216" t="str">
        <f ca="1">_xlfn.CONCAT(B4008,A4042)</f>
        <v>10A52BD2-ag</v>
      </c>
      <c r="C4042" s="14" t="s">
        <v>1</v>
      </c>
      <c r="D4042" s="15" t="s">
        <v>28</v>
      </c>
      <c r="E4042" s="15" t="s">
        <v>20</v>
      </c>
      <c r="F4042" s="16" t="s">
        <v>21</v>
      </c>
      <c r="G4042" s="15" t="s">
        <v>5</v>
      </c>
      <c r="H4042" s="215"/>
    </row>
    <row r="4043" spans="1:8">
      <c r="A4043" s="211" t="s">
        <v>517</v>
      </c>
      <c r="B4043" s="216" t="str">
        <f ca="1">_xlfn.CONCAT(B4008,A4043)</f>
        <v>10A52BD2-ah</v>
      </c>
      <c r="C4043" s="30" t="s">
        <v>29</v>
      </c>
      <c r="D4043" s="186">
        <f>'H-MO'!$N$77</f>
        <v>725918.52892505517</v>
      </c>
      <c r="E4043" s="31">
        <f>+D4043/8</f>
        <v>90739.816115631897</v>
      </c>
      <c r="F4043" s="32">
        <v>14</v>
      </c>
      <c r="G4043" s="33">
        <f>+E4043*F4043</f>
        <v>1270357.4256188464</v>
      </c>
    </row>
    <row r="4044" spans="1:8">
      <c r="A4044" s="211" t="s">
        <v>518</v>
      </c>
      <c r="B4044" s="216" t="str">
        <f ca="1">_xlfn.CONCAT(B4008,A4044)</f>
        <v>10A52BD2-ai</v>
      </c>
      <c r="C4044" s="34" t="s">
        <v>30</v>
      </c>
      <c r="D4044" s="187">
        <f>'H-MO'!$N$86</f>
        <v>685561.39085756091</v>
      </c>
      <c r="E4044" s="29">
        <f>+D4044/8</f>
        <v>85695.173857195114</v>
      </c>
      <c r="F4044" s="28">
        <v>0</v>
      </c>
      <c r="G4044" s="33">
        <f>+E4044*F4044</f>
        <v>0</v>
      </c>
    </row>
    <row r="4045" spans="1:8" ht="14.25" thickBot="1">
      <c r="A4045" s="211" t="s">
        <v>519</v>
      </c>
      <c r="B4045" s="216" t="str">
        <f ca="1">_xlfn.CONCAT(B4008,A4045)</f>
        <v>10A52BD2-aj</v>
      </c>
      <c r="C4045" s="34"/>
      <c r="D4045" s="187"/>
      <c r="E4045" s="29"/>
      <c r="F4045" s="28"/>
      <c r="G4045" s="33">
        <f>+E4045*F4045</f>
        <v>0</v>
      </c>
    </row>
    <row r="4046" spans="1:8" ht="14.25" thickBot="1">
      <c r="A4046" s="211" t="s">
        <v>520</v>
      </c>
      <c r="B4046" s="216" t="str">
        <f ca="1">_xlfn.CONCAT(B4008,A4046)</f>
        <v>10A52BD2-ak</v>
      </c>
      <c r="C4046" s="34"/>
      <c r="D4046" s="185"/>
      <c r="E4046" s="26"/>
      <c r="F4046" s="36" t="s">
        <v>31</v>
      </c>
      <c r="G4046" s="23">
        <f>SUM(G4043:G4045)</f>
        <v>1270357.4256188464</v>
      </c>
    </row>
    <row r="4047" spans="1:8" ht="14.25" thickBot="1">
      <c r="A4047" s="211" t="s">
        <v>521</v>
      </c>
      <c r="B4047" s="216" t="str">
        <f ca="1">_xlfn.CONCAT(B4008,A4047)</f>
        <v>10A52BD2-al</v>
      </c>
      <c r="C4047" s="37"/>
      <c r="E4047" s="38"/>
      <c r="F4047" s="22"/>
      <c r="G4047" s="39"/>
    </row>
    <row r="4048" spans="1:8" ht="16.5" thickBot="1">
      <c r="A4048" s="211" t="s">
        <v>522</v>
      </c>
      <c r="B4048" s="216" t="str">
        <f ca="1">_xlfn.CONCAT(B4008,A4048)</f>
        <v>10A52BD2-am</v>
      </c>
      <c r="C4048" s="40"/>
      <c r="D4048" s="193"/>
      <c r="E4048" s="41"/>
      <c r="F4048" s="42"/>
      <c r="G4048" s="43">
        <f>+G4031+G4040+G4046</f>
        <v>4298015.7131188465</v>
      </c>
    </row>
    <row r="4049" spans="1:8" ht="21.75" thickBot="1">
      <c r="B4049" s="212" t="s">
        <v>550</v>
      </c>
      <c r="C4049" s="2"/>
      <c r="D4049" s="183"/>
      <c r="F4049" s="4"/>
      <c r="G4049" s="5"/>
    </row>
    <row r="4050" spans="1:8" ht="18.75">
      <c r="A4050" s="213"/>
      <c r="B4050" s="214">
        <v>93</v>
      </c>
      <c r="C4050" s="242" t="str">
        <f ca="1">_xlfn.XLOOKUP(B4050,Cantidades!$A$10:$A$314,Cantidades!$C$10:$C$314,,0,1)</f>
        <v>Suministro e instalación de estructura trifásica en retensión final de circuito 15 kV LA 211</v>
      </c>
      <c r="D4050" s="243"/>
      <c r="E4050" s="243"/>
      <c r="F4050" s="243"/>
      <c r="G4050" s="244"/>
    </row>
    <row r="4051" spans="1:8" ht="19.5" thickBot="1">
      <c r="A4051" s="215"/>
      <c r="B4051" s="216" t="s">
        <v>550</v>
      </c>
      <c r="C4051" s="177"/>
      <c r="D4051" s="189"/>
      <c r="E4051" s="178"/>
      <c r="F4051" s="179" t="s">
        <v>636</v>
      </c>
      <c r="G4051" s="209" t="str">
        <f ca="1">B4052</f>
        <v>2E394109-</v>
      </c>
    </row>
    <row r="4052" spans="1:8" ht="15.75" thickBot="1">
      <c r="B4052" s="212" t="str">
        <f ca="1">_xlfn.XLOOKUP(C4050,Cantidades!$C$1:$C$314,Cantidades!$B$1:$B$314,"",0,1)</f>
        <v>2E394109-</v>
      </c>
      <c r="C4052" s="10" t="s">
        <v>0</v>
      </c>
      <c r="D4052" s="190"/>
      <c r="E4052" s="11"/>
      <c r="F4052" s="12"/>
      <c r="G4052" s="13"/>
    </row>
    <row r="4053" spans="1:8" ht="14.25" thickBot="1">
      <c r="A4053" s="215"/>
      <c r="B4053" s="216" t="s">
        <v>550</v>
      </c>
      <c r="C4053" s="14" t="s">
        <v>1</v>
      </c>
      <c r="D4053" s="15" t="s">
        <v>2</v>
      </c>
      <c r="E4053" s="15" t="s">
        <v>3</v>
      </c>
      <c r="F4053" s="16" t="s">
        <v>4</v>
      </c>
      <c r="G4053" s="15" t="s">
        <v>5</v>
      </c>
    </row>
    <row r="4054" spans="1:8">
      <c r="A4054" s="211" t="s">
        <v>484</v>
      </c>
      <c r="B4054" s="216" t="str">
        <f ca="1">_xlfn.CONCAT(B4052,A4054)</f>
        <v>2E394109-A</v>
      </c>
      <c r="C4054" s="17" t="str">
        <f>_xlfn.XLOOKUP(H4054,'Materiales unitario'!$A$1:$A$2500,'Materiales unitario'!B$1:B$2500,,0,1)</f>
        <v>Aislador de pin ANSI 55-5  15 KV</v>
      </c>
      <c r="D4054" s="184" t="str">
        <f>_xlfn.XLOOKUP(H4054,'Materiales unitario'!A$1:A$2500,'Materiales unitario'!C$1:C$2500,,0,1)</f>
        <v>un</v>
      </c>
      <c r="E4054" s="197">
        <f>_xlfn.XLOOKUP(H4054,'Materiales unitario'!$A$1:$A$2500,'Materiales unitario'!D$1:D$2500,,0,1)</f>
        <v>31713.5</v>
      </c>
      <c r="F4054" s="19">
        <v>3</v>
      </c>
      <c r="G4054" s="20">
        <f>+E4054*F4054</f>
        <v>95140.5</v>
      </c>
      <c r="H4054" s="211" t="s">
        <v>224</v>
      </c>
    </row>
    <row r="4055" spans="1:8">
      <c r="A4055" s="211" t="s">
        <v>485</v>
      </c>
      <c r="B4055" s="216" t="str">
        <f ca="1">_xlfn.CONCAT(B4052,A4055)</f>
        <v>2E394109-B</v>
      </c>
      <c r="C4055" s="17" t="str">
        <f>_xlfn.XLOOKUP(H4055,'Materiales unitario'!$A$1:$A$2500,'Materiales unitario'!B$1:B$2500,,0,1)</f>
        <v>Pararrayos 12KV-10KA. ZnO</v>
      </c>
      <c r="D4055" s="184" t="str">
        <f>_xlfn.XLOOKUP(H4055,'Materiales unitario'!A$1:A$2500,'Materiales unitario'!C$1:C$2500,,0,1)</f>
        <v>un</v>
      </c>
      <c r="E4055" s="197">
        <f>_xlfn.XLOOKUP(H4055,'Materiales unitario'!$A$1:$A$2500,'Materiales unitario'!D$1:D$2500,,0,1)</f>
        <v>116322.5</v>
      </c>
      <c r="F4055" s="19">
        <v>3</v>
      </c>
      <c r="G4055" s="20">
        <f t="shared" ref="G4055:G4063" si="118">+E4055*F4055</f>
        <v>348967.5</v>
      </c>
      <c r="H4055" s="211" t="s">
        <v>344</v>
      </c>
    </row>
    <row r="4056" spans="1:8">
      <c r="A4056" s="211" t="s">
        <v>486</v>
      </c>
      <c r="B4056" s="216" t="str">
        <f ca="1">_xlfn.CONCAT(B4052,A4056)</f>
        <v>2E394109-C</v>
      </c>
      <c r="C4056" s="17" t="str">
        <f>_xlfn.XLOOKUP(H4056,'Materiales unitario'!$A$1:$A$2500,'Materiales unitario'!B$1:B$2500,,0,1)</f>
        <v>Conector compresión aluminio 4-4/0</v>
      </c>
      <c r="D4056" s="184" t="str">
        <f>_xlfn.XLOOKUP(H4056,'Materiales unitario'!A$1:A$2500,'Materiales unitario'!C$1:C$2500,,0,1)</f>
        <v>un</v>
      </c>
      <c r="E4056" s="197">
        <f>_xlfn.XLOOKUP(H4056,'Materiales unitario'!$A$1:$A$2500,'Materiales unitario'!D$1:D$2500,,0,1)</f>
        <v>31740</v>
      </c>
      <c r="F4056" s="19">
        <v>6</v>
      </c>
      <c r="G4056" s="20">
        <f t="shared" si="118"/>
        <v>190440</v>
      </c>
      <c r="H4056" s="211" t="s">
        <v>301</v>
      </c>
    </row>
    <row r="4057" spans="1:8">
      <c r="A4057" s="211" t="s">
        <v>487</v>
      </c>
      <c r="B4057" s="216" t="str">
        <f ca="1">_xlfn.CONCAT(B4052,A4057)</f>
        <v>2E394109-D</v>
      </c>
      <c r="C4057" s="17" t="str">
        <f>_xlfn.XLOOKUP(H4057,'Materiales unitario'!$A$1:$A$2500,'Materiales unitario'!B$1:B$2500,,0,1)</f>
        <v>Servicio de grúa en el sitio</v>
      </c>
      <c r="D4057" s="184" t="str">
        <f>_xlfn.XLOOKUP(H4057,'Materiales unitario'!A$1:A$2500,'Materiales unitario'!C$1:C$2500,,0,1)</f>
        <v>hr</v>
      </c>
      <c r="E4057" s="197">
        <f>_xlfn.XLOOKUP(H4057,'Materiales unitario'!$A$1:$A$2500,'Materiales unitario'!D$1:D$2500,,0,1)</f>
        <v>426720</v>
      </c>
      <c r="F4057" s="19">
        <v>4</v>
      </c>
      <c r="G4057" s="20">
        <f t="shared" si="118"/>
        <v>1706880</v>
      </c>
      <c r="H4057" s="211" t="s">
        <v>529</v>
      </c>
    </row>
    <row r="4058" spans="1:8">
      <c r="A4058" s="211" t="s">
        <v>488</v>
      </c>
      <c r="B4058" s="216" t="str">
        <f ca="1">_xlfn.CONCAT(B4052,A4058)</f>
        <v>2E394109-E</v>
      </c>
      <c r="C4058" s="17" t="str">
        <f>_xlfn.XLOOKUP(H4058,'Materiales unitario'!$A$1:$A$2500,'Materiales unitario'!B$1:B$2500,,0,1)</f>
        <v>Abrazadera una salida tipo 200</v>
      </c>
      <c r="D4058" s="184" t="str">
        <f>_xlfn.XLOOKUP(H4058,'Materiales unitario'!A$1:A$2500,'Materiales unitario'!C$1:C$2500,,0,1)</f>
        <v>un</v>
      </c>
      <c r="E4058" s="197">
        <f>_xlfn.XLOOKUP(H4058,'Materiales unitario'!$A$1:$A$2500,'Materiales unitario'!D$1:D$2500,,0,1)</f>
        <v>25525.5</v>
      </c>
      <c r="F4058" s="19">
        <v>1</v>
      </c>
      <c r="G4058" s="20">
        <f t="shared" si="118"/>
        <v>25525.5</v>
      </c>
      <c r="H4058" s="211" t="s">
        <v>221</v>
      </c>
    </row>
    <row r="4059" spans="1:8">
      <c r="A4059" s="211" t="s">
        <v>489</v>
      </c>
      <c r="B4059" s="216" t="str">
        <f ca="1">_xlfn.CONCAT(B4052,A4059)</f>
        <v>2E394109-F</v>
      </c>
      <c r="C4059" s="17" t="str">
        <f>_xlfn.XLOOKUP(H4059,'Materiales unitario'!$A$1:$A$2500,'Materiales unitario'!B$1:B$2500,,0,1)</f>
        <v>Abrazadera en U ø5/8" tipo 2</v>
      </c>
      <c r="D4059" s="184" t="str">
        <f>_xlfn.XLOOKUP(H4059,'Materiales unitario'!A$1:A$2500,'Materiales unitario'!C$1:C$2500,,0,1)</f>
        <v>un</v>
      </c>
      <c r="E4059" s="197">
        <f>_xlfn.XLOOKUP(H4059,'Materiales unitario'!$A$1:$A$2500,'Materiales unitario'!D$1:D$2500,,0,1)</f>
        <v>25204.199999999997</v>
      </c>
      <c r="F4059" s="19">
        <v>3</v>
      </c>
      <c r="G4059" s="20">
        <f t="shared" si="118"/>
        <v>75612.599999999991</v>
      </c>
      <c r="H4059" s="211" t="s">
        <v>220</v>
      </c>
    </row>
    <row r="4060" spans="1:8">
      <c r="A4060" s="211" t="s">
        <v>490</v>
      </c>
      <c r="B4060" s="216" t="str">
        <f ca="1">_xlfn.CONCAT(B4052,A4060)</f>
        <v>2E394109-G</v>
      </c>
      <c r="C4060" s="17" t="str">
        <f>_xlfn.XLOOKUP(H4060,'Materiales unitario'!$A$1:$A$2500,'Materiales unitario'!B$1:B$2500,,0,1)</f>
        <v>DIAGONAL EN VARILLA DE 5/8" X 0,77 MTS. NO. 1 E.E.B.</v>
      </c>
      <c r="D4060" s="184" t="str">
        <f>_xlfn.XLOOKUP(H4060,'Materiales unitario'!A$1:A$2500,'Materiales unitario'!C$1:C$2500,,0,1)</f>
        <v>un</v>
      </c>
      <c r="E4060" s="197">
        <f>_xlfn.XLOOKUP(H4060,'Materiales unitario'!$A$1:$A$2500,'Materiales unitario'!D$1:D$2500,,0,1)</f>
        <v>17552.5</v>
      </c>
      <c r="F4060" s="19">
        <v>5</v>
      </c>
      <c r="G4060" s="20">
        <f t="shared" si="118"/>
        <v>87762.5</v>
      </c>
      <c r="H4060" s="211" t="s">
        <v>313</v>
      </c>
    </row>
    <row r="4061" spans="1:8">
      <c r="A4061" s="211" t="s">
        <v>491</v>
      </c>
      <c r="B4061" s="216" t="str">
        <f ca="1">_xlfn.CONCAT(B4052,A4061)</f>
        <v>2E394109-H</v>
      </c>
      <c r="C4061" s="17" t="str">
        <f>_xlfn.XLOOKUP(H4061,'Materiales unitario'!$A$1:$A$2500,'Materiales unitario'!B$1:B$2500,,0,1)</f>
        <v>Conector Terminal de Compresión tipo vastago, tipo 4</v>
      </c>
      <c r="D4061" s="184" t="str">
        <f>_xlfn.XLOOKUP(H4061,'Materiales unitario'!A$1:A$2500,'Materiales unitario'!C$1:C$2500,,0,1)</f>
        <v>un</v>
      </c>
      <c r="E4061" s="197">
        <f>_xlfn.XLOOKUP(H4061,'Materiales unitario'!$A$1:$A$2500,'Materiales unitario'!D$1:D$2500,,0,1)</f>
        <v>11305</v>
      </c>
      <c r="F4061" s="19">
        <v>6</v>
      </c>
      <c r="G4061" s="20">
        <f t="shared" si="118"/>
        <v>67830</v>
      </c>
      <c r="H4061" s="211" t="s">
        <v>304</v>
      </c>
    </row>
    <row r="4062" spans="1:8">
      <c r="A4062" s="211" t="s">
        <v>492</v>
      </c>
      <c r="B4062" s="216" t="str">
        <f ca="1">_xlfn.CONCAT(B4052,A4062)</f>
        <v>2E394109-I</v>
      </c>
      <c r="C4062" s="17" t="str">
        <f>_xlfn.XLOOKUP(H4062,'Materiales unitario'!$A$1:$A$2500,'Materiales unitario'!B$1:B$2500,,0,1)</f>
        <v>ESPARRAGO DE 5/8" X 6" - 4 T</v>
      </c>
      <c r="D4062" s="184" t="str">
        <f>_xlfn.XLOOKUP(H4062,'Materiales unitario'!A$1:A$2500,'Materiales unitario'!C$1:C$2500,,0,1)</f>
        <v>un</v>
      </c>
      <c r="E4062" s="197">
        <f>_xlfn.XLOOKUP(H4062,'Materiales unitario'!$A$1:$A$2500,'Materiales unitario'!D$1:D$2500,,0,1)</f>
        <v>5057.5</v>
      </c>
      <c r="F4062" s="19">
        <v>4</v>
      </c>
      <c r="G4062" s="20">
        <f t="shared" si="118"/>
        <v>20230</v>
      </c>
      <c r="H4062" s="211" t="s">
        <v>320</v>
      </c>
    </row>
    <row r="4063" spans="1:8">
      <c r="A4063" s="211" t="s">
        <v>493</v>
      </c>
      <c r="B4063" s="216" t="str">
        <f ca="1">_xlfn.CONCAT(B4052,A4063)</f>
        <v>2E394109-J</v>
      </c>
      <c r="C4063" s="17" t="str">
        <f>_xlfn.XLOOKUP(H4063,'Materiales unitario'!$A$1:$A$2500,'Materiales unitario'!B$1:B$2500,,0,1)</f>
        <v xml:space="preserve">ESPARRAGO DE 5/8" X 8" - 4T, </v>
      </c>
      <c r="D4063" s="184" t="str">
        <f>_xlfn.XLOOKUP(H4063,'Materiales unitario'!A$1:A$2500,'Materiales unitario'!C$1:C$2500,,0,1)</f>
        <v>un</v>
      </c>
      <c r="E4063" s="197">
        <f>_xlfn.XLOOKUP(H4063,'Materiales unitario'!$A$1:$A$2500,'Materiales unitario'!D$1:D$2500,,0,1)</f>
        <v>6069</v>
      </c>
      <c r="F4063" s="19">
        <v>4</v>
      </c>
      <c r="G4063" s="20">
        <f t="shared" si="118"/>
        <v>24276</v>
      </c>
      <c r="H4063" s="211" t="s">
        <v>321</v>
      </c>
    </row>
    <row r="4064" spans="1:8">
      <c r="A4064" s="211" t="s">
        <v>494</v>
      </c>
      <c r="B4064" s="216" t="str">
        <f ca="1">_xlfn.CONCAT(B4052,A4064)</f>
        <v>2E394109-K</v>
      </c>
      <c r="C4064" s="17" t="str">
        <f>_xlfn.XLOOKUP(H4064,'Materiales unitario'!$A$1:$A$2500,'Materiales unitario'!B$1:B$2500,,0,1)</f>
        <v>CRUCETA DE 2-1/2" X 1/4" X 2,50 MTS</v>
      </c>
      <c r="D4064" s="184" t="str">
        <f>_xlfn.XLOOKUP(H4064,'Materiales unitario'!A$1:A$2500,'Materiales unitario'!C$1:C$2500,,0,1)</f>
        <v>un</v>
      </c>
      <c r="E4064" s="197">
        <f>_xlfn.XLOOKUP(H4064,'Materiales unitario'!$A$1:$A$2500,'Materiales unitario'!D$1:D$2500,,0,1)</f>
        <v>189507.5</v>
      </c>
      <c r="F4064" s="19">
        <v>6</v>
      </c>
      <c r="G4064" s="20">
        <f>+E4064*F4064</f>
        <v>1137045</v>
      </c>
      <c r="H4064" s="211" t="s">
        <v>309</v>
      </c>
    </row>
    <row r="4065" spans="1:8">
      <c r="A4065" s="211" t="s">
        <v>495</v>
      </c>
      <c r="B4065" s="216" t="str">
        <f ca="1">_xlfn.CONCAT(B4052,A4065)</f>
        <v>2E394109-L</v>
      </c>
      <c r="C4065" s="17" t="str">
        <f>_xlfn.XLOOKUP(H4065,'Materiales unitario'!$A$1:$A$2500,'Materiales unitario'!B$1:B$2500,,0,1)</f>
        <v>Cortacircuito tipo expulsión 15KV -20KA 100Amps</v>
      </c>
      <c r="D4065" s="184" t="str">
        <f>_xlfn.XLOOKUP(H4065,'Materiales unitario'!A$1:A$2500,'Materiales unitario'!C$1:C$2500,,0,1)</f>
        <v>un</v>
      </c>
      <c r="E4065" s="197">
        <f>_xlfn.XLOOKUP(H4065,'Materiales unitario'!$A$1:$A$2500,'Materiales unitario'!D$1:D$2500,,0,1)</f>
        <v>200039</v>
      </c>
      <c r="F4065" s="19">
        <v>3</v>
      </c>
      <c r="G4065" s="20">
        <f>+E4065*F4065</f>
        <v>600117</v>
      </c>
      <c r="H4065" s="211" t="s">
        <v>308</v>
      </c>
    </row>
    <row r="4066" spans="1:8">
      <c r="A4066" s="211" t="s">
        <v>496</v>
      </c>
      <c r="B4066" s="216" t="str">
        <f ca="1">_xlfn.CONCAT(B4052,A4066)</f>
        <v>2E394109-M</v>
      </c>
      <c r="C4066" s="17" t="str">
        <f>_xlfn.XLOOKUP(H4066,'Materiales unitario'!$A$1:$A$2500,'Materiales unitario'!B$1:B$2500,,0,1)</f>
        <v>Poste de concreto 12 mts 750 Kgf</v>
      </c>
      <c r="D4066" s="184" t="str">
        <f>_xlfn.XLOOKUP(H4066,'Materiales unitario'!A$1:A$2500,'Materiales unitario'!C$1:C$2500,,0,1)</f>
        <v>un</v>
      </c>
      <c r="E4066" s="197">
        <f>_xlfn.XLOOKUP(H4066,'Materiales unitario'!$A$1:$A$2500,'Materiales unitario'!D$1:D$2500,,0,1)</f>
        <v>1130083.5</v>
      </c>
      <c r="F4066" s="19">
        <v>1</v>
      </c>
      <c r="G4066" s="20">
        <f>+E4066*F4066</f>
        <v>1130083.5</v>
      </c>
      <c r="H4066" s="211" t="s">
        <v>349</v>
      </c>
    </row>
    <row r="4067" spans="1:8">
      <c r="A4067" s="211" t="s">
        <v>497</v>
      </c>
      <c r="B4067" s="216" t="str">
        <f ca="1">_xlfn.CONCAT(B4052,A4067)</f>
        <v>2E394109-N</v>
      </c>
      <c r="C4067" s="17" t="str">
        <f>_xlfn.XLOOKUP(H4067,'Materiales unitario'!$A$1:$A$2500,'Materiales unitario'!B$1:B$2500,,0,1)</f>
        <v>Lum 70-150W con fotocelda + soporte + brazo 1,5m</v>
      </c>
      <c r="D4067" s="184" t="str">
        <f>_xlfn.XLOOKUP(H4067,'Materiales unitario'!A$1:A$2500,'Materiales unitario'!C$1:C$2500,,0,1)</f>
        <v>gb</v>
      </c>
      <c r="E4067" s="197">
        <f>_xlfn.XLOOKUP(H4067,'Materiales unitario'!$A$1:$A$2500,'Materiales unitario'!D$1:D$2500,,0,1)</f>
        <v>364700</v>
      </c>
      <c r="F4067" s="19">
        <v>1</v>
      </c>
      <c r="G4067" s="20">
        <f>+E4067*F4067</f>
        <v>364700</v>
      </c>
      <c r="H4067" s="211" t="s">
        <v>1102</v>
      </c>
    </row>
    <row r="4068" spans="1:8">
      <c r="A4068" s="211" t="s">
        <v>498</v>
      </c>
      <c r="B4068" s="216" t="str">
        <f ca="1">_xlfn.CONCAT(B4052,A4068)</f>
        <v>2E394109-O</v>
      </c>
      <c r="C4068" s="17"/>
      <c r="D4068" s="184"/>
      <c r="E4068" s="197"/>
      <c r="F4068" s="19"/>
      <c r="G4068" s="20"/>
    </row>
    <row r="4069" spans="1:8">
      <c r="A4069" s="211" t="s">
        <v>499</v>
      </c>
      <c r="B4069" s="216" t="str">
        <f ca="1">_xlfn.CONCAT(B4052,A4069)</f>
        <v>2E394109-P</v>
      </c>
      <c r="C4069" s="17"/>
      <c r="D4069" s="184"/>
      <c r="E4069" s="197"/>
      <c r="F4069" s="19"/>
      <c r="G4069" s="20"/>
    </row>
    <row r="4070" spans="1:8">
      <c r="A4070" s="211" t="s">
        <v>500</v>
      </c>
      <c r="B4070" s="216" t="str">
        <f ca="1">_xlfn.CONCAT(B4052,A4070)</f>
        <v>2E394109-Q</v>
      </c>
      <c r="C4070" s="17"/>
      <c r="D4070" s="184"/>
      <c r="E4070" s="197"/>
      <c r="F4070" s="19"/>
      <c r="G4070" s="20"/>
    </row>
    <row r="4071" spans="1:8">
      <c r="A4071" s="211" t="s">
        <v>501</v>
      </c>
      <c r="B4071" s="216" t="str">
        <f ca="1">_xlfn.CONCAT(B4052,A4071)</f>
        <v>2E394109-R</v>
      </c>
      <c r="C4071" s="17"/>
      <c r="D4071" s="184"/>
      <c r="E4071" s="197"/>
      <c r="F4071" s="19"/>
      <c r="G4071" s="20"/>
    </row>
    <row r="4072" spans="1:8">
      <c r="A4072" s="211" t="s">
        <v>502</v>
      </c>
      <c r="B4072" s="216" t="str">
        <f ca="1">_xlfn.CONCAT(B4052,A4072)</f>
        <v>2E394109-S</v>
      </c>
      <c r="C4072" s="17"/>
      <c r="D4072" s="184"/>
      <c r="E4072" s="197"/>
      <c r="F4072" s="19"/>
      <c r="G4072" s="20"/>
    </row>
    <row r="4073" spans="1:8">
      <c r="A4073" s="211" t="s">
        <v>503</v>
      </c>
      <c r="B4073" s="216" t="str">
        <f ca="1">_xlfn.CONCAT(B4052,A4073)</f>
        <v>2E394109-T</v>
      </c>
      <c r="C4073" s="17"/>
      <c r="D4073" s="184"/>
      <c r="E4073" s="197"/>
      <c r="F4073" s="19"/>
      <c r="G4073" s="20"/>
    </row>
    <row r="4074" spans="1:8" ht="14.25" thickBot="1">
      <c r="A4074" s="211" t="s">
        <v>504</v>
      </c>
      <c r="B4074" s="216" t="str">
        <f ca="1">_xlfn.CONCAT(B4052,A4074)</f>
        <v>2E394109-U</v>
      </c>
      <c r="C4074" s="17"/>
      <c r="D4074" s="184"/>
      <c r="E4074" s="197"/>
      <c r="F4074" s="19"/>
      <c r="G4074" s="20"/>
    </row>
    <row r="4075" spans="1:8" ht="14.25" thickBot="1">
      <c r="A4075" s="211" t="s">
        <v>505</v>
      </c>
      <c r="B4075" s="216" t="str">
        <f ca="1">_xlfn.CONCAT(B4052,A4075)</f>
        <v>2E394109-V</v>
      </c>
      <c r="C4075" s="17" t="s">
        <v>17</v>
      </c>
      <c r="D4075" s="192" t="s">
        <v>17</v>
      </c>
      <c r="E4075" s="18"/>
      <c r="F4075" s="22" t="s">
        <v>18</v>
      </c>
      <c r="G4075" s="23">
        <f>SUM(G4054:G4074)</f>
        <v>5874610.0999999996</v>
      </c>
    </row>
    <row r="4076" spans="1:8" ht="15.75" thickBot="1">
      <c r="A4076" s="211" t="s">
        <v>506</v>
      </c>
      <c r="B4076" s="216" t="str">
        <f ca="1">_xlfn.CONCAT(B4052,A4076)</f>
        <v>2E394109-W</v>
      </c>
      <c r="C4076" s="10" t="s">
        <v>19</v>
      </c>
      <c r="D4076" s="190"/>
      <c r="E4076" s="11"/>
      <c r="F4076" s="12"/>
      <c r="G4076" s="13"/>
    </row>
    <row r="4077" spans="1:8" ht="14.25" thickBot="1">
      <c r="A4077" s="211" t="s">
        <v>507</v>
      </c>
      <c r="B4077" s="216" t="str">
        <f ca="1">_xlfn.CONCAT(B4052,A4077)</f>
        <v>2E394109-X</v>
      </c>
      <c r="C4077" s="14" t="s">
        <v>1</v>
      </c>
      <c r="D4077" s="15"/>
      <c r="E4077" s="15" t="s">
        <v>20</v>
      </c>
      <c r="F4077" s="16" t="s">
        <v>21</v>
      </c>
      <c r="G4077" s="15" t="s">
        <v>5</v>
      </c>
      <c r="H4077" s="215"/>
    </row>
    <row r="4078" spans="1:8">
      <c r="A4078" s="211" t="s">
        <v>508</v>
      </c>
      <c r="B4078" s="216" t="str">
        <f ca="1">_xlfn.CONCAT(B4052,A4078)</f>
        <v>2E394109-Y</v>
      </c>
      <c r="C4078" s="24" t="s">
        <v>22</v>
      </c>
      <c r="D4078" s="184"/>
      <c r="E4078" s="25">
        <f>_xlfn.XLOOKUP(C4078,'H-MO'!B$7:B$30,'H-MO'!D$7:D$30,,0,1)</f>
        <v>2436.5624999999995</v>
      </c>
      <c r="F4078" s="19">
        <v>25</v>
      </c>
      <c r="G4078" s="33">
        <f t="shared" ref="G4078:G4083" si="119">+E4078*F4078</f>
        <v>60914.062499999985</v>
      </c>
    </row>
    <row r="4079" spans="1:8">
      <c r="A4079" s="211" t="s">
        <v>509</v>
      </c>
      <c r="B4079" s="216" t="str">
        <f ca="1">_xlfn.CONCAT(B4052,A4079)</f>
        <v>2E394109-Z</v>
      </c>
      <c r="C4079" s="24" t="s">
        <v>23</v>
      </c>
      <c r="D4079" s="184"/>
      <c r="E4079" s="25">
        <f>_xlfn.XLOOKUP(C4079,'H-MO'!B$7:B$30,'H-MO'!D$7:D$30,,0,1)</f>
        <v>1461.9374999999998</v>
      </c>
      <c r="F4079" s="19">
        <v>2</v>
      </c>
      <c r="G4079" s="33">
        <f t="shared" si="119"/>
        <v>2923.8749999999995</v>
      </c>
    </row>
    <row r="4080" spans="1:8">
      <c r="A4080" s="211" t="s">
        <v>510</v>
      </c>
      <c r="B4080" s="216" t="str">
        <f ca="1">_xlfn.CONCAT(B4052,A4080)</f>
        <v>2E394109-aa</v>
      </c>
      <c r="C4080" s="24" t="s">
        <v>24</v>
      </c>
      <c r="D4080" s="185"/>
      <c r="E4080" s="25">
        <f>_xlfn.XLOOKUP(C4080,'H-MO'!B$7:B$30,'H-MO'!D$7:D$30,,0,1)</f>
        <v>29238.749999999996</v>
      </c>
      <c r="F4080" s="28">
        <v>5</v>
      </c>
      <c r="G4080" s="33">
        <f t="shared" si="119"/>
        <v>146193.74999999997</v>
      </c>
    </row>
    <row r="4081" spans="1:8">
      <c r="A4081" s="211" t="s">
        <v>511</v>
      </c>
      <c r="B4081" s="216" t="str">
        <f ca="1">_xlfn.CONCAT(B4052,A4081)</f>
        <v>2E394109-ab</v>
      </c>
      <c r="C4081" s="24" t="s">
        <v>25</v>
      </c>
      <c r="D4081" s="185"/>
      <c r="E4081" s="25">
        <f>_xlfn.XLOOKUP(C4081,'H-MO'!B$7:B$30,'H-MO'!D$7:D$30,,0,1)</f>
        <v>2761.4374999999995</v>
      </c>
      <c r="F4081" s="28">
        <v>7</v>
      </c>
      <c r="G4081" s="33">
        <f t="shared" si="119"/>
        <v>19330.062499999996</v>
      </c>
    </row>
    <row r="4082" spans="1:8">
      <c r="A4082" s="211" t="s">
        <v>512</v>
      </c>
      <c r="B4082" s="216" t="str">
        <f ca="1">_xlfn.CONCAT(B4052,A4082)</f>
        <v>2E394109-ac</v>
      </c>
      <c r="C4082" s="24"/>
      <c r="D4082" s="185"/>
      <c r="E4082" s="29"/>
      <c r="F4082" s="28"/>
      <c r="G4082" s="33">
        <f t="shared" si="119"/>
        <v>0</v>
      </c>
    </row>
    <row r="4083" spans="1:8" ht="14.25" thickBot="1">
      <c r="A4083" s="211" t="s">
        <v>513</v>
      </c>
      <c r="B4083" s="216" t="str">
        <f ca="1">_xlfn.CONCAT(B4052,A4083)</f>
        <v>2E394109-ad</v>
      </c>
      <c r="C4083" s="24"/>
      <c r="D4083" s="185"/>
      <c r="E4083" s="29"/>
      <c r="F4083" s="28"/>
      <c r="G4083" s="33">
        <f t="shared" si="119"/>
        <v>0</v>
      </c>
    </row>
    <row r="4084" spans="1:8" ht="14.25" thickBot="1">
      <c r="A4084" s="211" t="s">
        <v>514</v>
      </c>
      <c r="B4084" s="216" t="str">
        <f ca="1">_xlfn.CONCAT(B4052,A4084)</f>
        <v>2E394109-ae</v>
      </c>
      <c r="C4084" s="17"/>
      <c r="D4084" s="192"/>
      <c r="E4084" s="18"/>
      <c r="F4084" s="22" t="s">
        <v>26</v>
      </c>
      <c r="G4084" s="23">
        <f>SUM(G4078:G4083)</f>
        <v>229361.74999999994</v>
      </c>
    </row>
    <row r="4085" spans="1:8" ht="15.75" thickBot="1">
      <c r="A4085" s="211" t="s">
        <v>515</v>
      </c>
      <c r="B4085" s="216" t="str">
        <f ca="1">_xlfn.CONCAT(B4052,A4085)</f>
        <v>2E394109-af</v>
      </c>
      <c r="C4085" s="10" t="s">
        <v>27</v>
      </c>
      <c r="D4085" s="190"/>
      <c r="E4085" s="11"/>
      <c r="F4085" s="12"/>
      <c r="G4085" s="13"/>
    </row>
    <row r="4086" spans="1:8" ht="14.25" thickBot="1">
      <c r="A4086" s="211" t="s">
        <v>516</v>
      </c>
      <c r="B4086" s="216" t="str">
        <f ca="1">_xlfn.CONCAT(B4052,A4086)</f>
        <v>2E394109-ag</v>
      </c>
      <c r="C4086" s="14" t="s">
        <v>1</v>
      </c>
      <c r="D4086" s="15" t="s">
        <v>28</v>
      </c>
      <c r="E4086" s="15" t="s">
        <v>20</v>
      </c>
      <c r="F4086" s="16" t="s">
        <v>21</v>
      </c>
      <c r="G4086" s="15" t="s">
        <v>5</v>
      </c>
      <c r="H4086" s="215"/>
    </row>
    <row r="4087" spans="1:8">
      <c r="A4087" s="211" t="s">
        <v>517</v>
      </c>
      <c r="B4087" s="216" t="str">
        <f ca="1">_xlfn.CONCAT(B4052,A4087)</f>
        <v>2E394109-ah</v>
      </c>
      <c r="C4087" s="30" t="s">
        <v>29</v>
      </c>
      <c r="D4087" s="186">
        <f>'H-MO'!$N$77</f>
        <v>725918.52892505517</v>
      </c>
      <c r="E4087" s="31">
        <f>+D4087/8</f>
        <v>90739.816115631897</v>
      </c>
      <c r="F4087" s="32">
        <v>25</v>
      </c>
      <c r="G4087" s="33">
        <f>+E4087*F4087</f>
        <v>2268495.4028907972</v>
      </c>
    </row>
    <row r="4088" spans="1:8">
      <c r="A4088" s="211" t="s">
        <v>518</v>
      </c>
      <c r="B4088" s="216" t="str">
        <f ca="1">_xlfn.CONCAT(B4052,A4088)</f>
        <v>2E394109-ai</v>
      </c>
      <c r="C4088" s="34" t="s">
        <v>30</v>
      </c>
      <c r="D4088" s="187">
        <f>'H-MO'!$N$86</f>
        <v>685561.39085756091</v>
      </c>
      <c r="E4088" s="29">
        <f>+D4088/8</f>
        <v>85695.173857195114</v>
      </c>
      <c r="F4088" s="28">
        <v>0</v>
      </c>
      <c r="G4088" s="33">
        <f>+E4088*F4088</f>
        <v>0</v>
      </c>
    </row>
    <row r="4089" spans="1:8" ht="14.25" thickBot="1">
      <c r="A4089" s="211" t="s">
        <v>519</v>
      </c>
      <c r="B4089" s="216" t="str">
        <f ca="1">_xlfn.CONCAT(B4052,A4089)</f>
        <v>2E394109-aj</v>
      </c>
      <c r="C4089" s="34"/>
      <c r="D4089" s="187"/>
      <c r="E4089" s="29"/>
      <c r="F4089" s="28"/>
      <c r="G4089" s="33">
        <f>+E4089*F4089</f>
        <v>0</v>
      </c>
    </row>
    <row r="4090" spans="1:8" ht="14.25" thickBot="1">
      <c r="A4090" s="211" t="s">
        <v>520</v>
      </c>
      <c r="B4090" s="216" t="str">
        <f ca="1">_xlfn.CONCAT(B4052,A4090)</f>
        <v>2E394109-ak</v>
      </c>
      <c r="C4090" s="34"/>
      <c r="D4090" s="185"/>
      <c r="E4090" s="26"/>
      <c r="F4090" s="36" t="s">
        <v>31</v>
      </c>
      <c r="G4090" s="23">
        <f>SUM(G4087:G4089)</f>
        <v>2268495.4028907972</v>
      </c>
    </row>
    <row r="4091" spans="1:8" ht="14.25" thickBot="1">
      <c r="A4091" s="211" t="s">
        <v>521</v>
      </c>
      <c r="B4091" s="216" t="str">
        <f ca="1">_xlfn.CONCAT(B4052,A4091)</f>
        <v>2E394109-al</v>
      </c>
      <c r="C4091" s="37"/>
      <c r="E4091" s="38"/>
      <c r="F4091" s="22"/>
      <c r="G4091" s="39"/>
    </row>
    <row r="4092" spans="1:8" ht="16.5" thickBot="1">
      <c r="A4092" s="211" t="s">
        <v>522</v>
      </c>
      <c r="B4092" s="216" t="str">
        <f ca="1">_xlfn.CONCAT(B4052,A4092)</f>
        <v>2E394109-am</v>
      </c>
      <c r="C4092" s="40"/>
      <c r="D4092" s="193"/>
      <c r="E4092" s="41"/>
      <c r="F4092" s="42"/>
      <c r="G4092" s="43">
        <f>+G4075+G4084+G4090</f>
        <v>8372467.2528907973</v>
      </c>
    </row>
    <row r="4093" spans="1:8" ht="21.75" thickBot="1">
      <c r="B4093" s="212" t="s">
        <v>550</v>
      </c>
      <c r="C4093" s="2"/>
      <c r="D4093" s="183"/>
      <c r="F4093" s="4"/>
      <c r="G4093" s="5"/>
    </row>
    <row r="4094" spans="1:8" ht="18.75">
      <c r="A4094" s="213"/>
      <c r="B4094" s="214">
        <v>94</v>
      </c>
      <c r="C4094" s="242" t="str">
        <f ca="1">_xlfn.XLOOKUP(B4094,Cantidades!$A$10:$A$314,Cantidades!$C$10:$C$314,,0,1)</f>
        <v>Suministro e instalación de poste de concreto 12 m 510 kg. Incluye transporte izaje, excavación y cimentación.</v>
      </c>
      <c r="D4094" s="243"/>
      <c r="E4094" s="243"/>
      <c r="F4094" s="243"/>
      <c r="G4094" s="244"/>
    </row>
    <row r="4095" spans="1:8" ht="19.5" thickBot="1">
      <c r="A4095" s="215"/>
      <c r="B4095" s="216" t="s">
        <v>550</v>
      </c>
      <c r="C4095" s="177"/>
      <c r="D4095" s="189"/>
      <c r="E4095" s="178"/>
      <c r="F4095" s="179" t="s">
        <v>636</v>
      </c>
      <c r="G4095" s="209" t="str">
        <f ca="1">B4096</f>
        <v>5ABED62-</v>
      </c>
    </row>
    <row r="4096" spans="1:8" ht="15.75" thickBot="1">
      <c r="B4096" s="212" t="str">
        <f ca="1">_xlfn.XLOOKUP(C4094,Cantidades!$C$1:$C$314,Cantidades!$B$1:$B$314,"",0,1)</f>
        <v>5ABED62-</v>
      </c>
      <c r="C4096" s="10" t="s">
        <v>0</v>
      </c>
      <c r="D4096" s="190"/>
      <c r="E4096" s="11"/>
      <c r="F4096" s="12"/>
      <c r="G4096" s="13"/>
    </row>
    <row r="4097" spans="1:8" ht="14.25" thickBot="1">
      <c r="A4097" s="215"/>
      <c r="B4097" s="216" t="s">
        <v>550</v>
      </c>
      <c r="C4097" s="14" t="s">
        <v>1</v>
      </c>
      <c r="D4097" s="15" t="s">
        <v>2</v>
      </c>
      <c r="E4097" s="15" t="s">
        <v>3</v>
      </c>
      <c r="F4097" s="16" t="s">
        <v>4</v>
      </c>
      <c r="G4097" s="15" t="s">
        <v>5</v>
      </c>
    </row>
    <row r="4098" spans="1:8">
      <c r="A4098" s="211" t="s">
        <v>484</v>
      </c>
      <c r="B4098" s="216" t="str">
        <f ca="1">_xlfn.CONCAT(B4096,A4098)</f>
        <v>5ABED62-A</v>
      </c>
      <c r="C4098" s="17" t="str">
        <f>_xlfn.XLOOKUP(H4098,'Materiales unitario'!$A$1:$A$2500,'Materiales unitario'!B$1:B$2500,,0,1)</f>
        <v>Poste de concreto 12 mts 510 Kgf</v>
      </c>
      <c r="D4098" s="184" t="str">
        <f>_xlfn.XLOOKUP(H4098,'Materiales unitario'!A$1:A$2500,'Materiales unitario'!C$1:C$2500,,0,1)</f>
        <v>un</v>
      </c>
      <c r="E4098" s="197">
        <f>_xlfn.XLOOKUP(H4098,'Materiales unitario'!$A$1:$A$2500,'Materiales unitario'!D$1:D$2500,,0,1)</f>
        <v>1142281</v>
      </c>
      <c r="F4098" s="19">
        <v>1</v>
      </c>
      <c r="G4098" s="20">
        <f>+E4098*F4098</f>
        <v>1142281</v>
      </c>
      <c r="H4098" s="211" t="s">
        <v>348</v>
      </c>
    </row>
    <row r="4099" spans="1:8">
      <c r="A4099" s="211" t="s">
        <v>485</v>
      </c>
      <c r="B4099" s="216" t="str">
        <f ca="1">_xlfn.CONCAT(B4096,A4099)</f>
        <v>5ABED62-B</v>
      </c>
      <c r="C4099" s="17" t="str">
        <f>_xlfn.XLOOKUP(H4099,'Materiales unitario'!$A$1:$A$2500,'Materiales unitario'!B$1:B$2500,,0,1)</f>
        <v>Servicio de grúa en el sitio</v>
      </c>
      <c r="D4099" s="184" t="str">
        <f>_xlfn.XLOOKUP(H4099,'Materiales unitario'!A$1:A$2500,'Materiales unitario'!C$1:C$2500,,0,1)</f>
        <v>hr</v>
      </c>
      <c r="E4099" s="197">
        <f>_xlfn.XLOOKUP(H4099,'Materiales unitario'!$A$1:$A$2500,'Materiales unitario'!D$1:D$2500,,0,1)</f>
        <v>426720</v>
      </c>
      <c r="F4099" s="19">
        <v>0.7</v>
      </c>
      <c r="G4099" s="20">
        <f>+E4099*F4099</f>
        <v>298704</v>
      </c>
      <c r="H4099" s="211" t="s">
        <v>529</v>
      </c>
    </row>
    <row r="4100" spans="1:8">
      <c r="A4100" s="211" t="s">
        <v>486</v>
      </c>
      <c r="B4100" s="216" t="str">
        <f ca="1">_xlfn.CONCAT(B4096,A4100)</f>
        <v>5ABED62-C</v>
      </c>
      <c r="C4100" s="17" t="str">
        <f>_xlfn.XLOOKUP(H4100,'Materiales unitario'!$A$1:$A$2500,'Materiales unitario'!B$1:B$2500,,0,1)</f>
        <v>Transporte al sitio de la obra</v>
      </c>
      <c r="D4100" s="184" t="str">
        <f>_xlfn.XLOOKUP(H4100,'Materiales unitario'!A$1:A$2500,'Materiales unitario'!C$1:C$2500,,0,1)</f>
        <v>un</v>
      </c>
      <c r="E4100" s="197">
        <f>_xlfn.XLOOKUP(H4100,'Materiales unitario'!$A$1:$A$2500,'Materiales unitario'!D$1:D$2500,,0,1)</f>
        <v>172200</v>
      </c>
      <c r="F4100" s="19">
        <v>0.7</v>
      </c>
      <c r="G4100" s="20">
        <f>+E4100*F4100</f>
        <v>120539.99999999999</v>
      </c>
      <c r="H4100" s="211" t="s">
        <v>384</v>
      </c>
    </row>
    <row r="4101" spans="1:8">
      <c r="A4101" s="211" t="s">
        <v>487</v>
      </c>
      <c r="B4101" s="216" t="str">
        <f ca="1">_xlfn.CONCAT(B4096,A4101)</f>
        <v>5ABED62-D</v>
      </c>
      <c r="C4101" s="17"/>
      <c r="D4101" s="184"/>
      <c r="E4101" s="197"/>
      <c r="F4101" s="19"/>
      <c r="G4101" s="20"/>
    </row>
    <row r="4102" spans="1:8">
      <c r="A4102" s="211" t="s">
        <v>488</v>
      </c>
      <c r="B4102" s="216" t="str">
        <f ca="1">_xlfn.CONCAT(B4096,A4102)</f>
        <v>5ABED62-E</v>
      </c>
      <c r="C4102" s="17"/>
      <c r="D4102" s="184"/>
      <c r="E4102" s="197"/>
      <c r="F4102" s="19"/>
      <c r="G4102" s="20"/>
    </row>
    <row r="4103" spans="1:8">
      <c r="A4103" s="211" t="s">
        <v>489</v>
      </c>
      <c r="B4103" s="216" t="str">
        <f ca="1">_xlfn.CONCAT(B4096,A4103)</f>
        <v>5ABED62-F</v>
      </c>
      <c r="C4103" s="17"/>
      <c r="D4103" s="184"/>
      <c r="E4103" s="197"/>
      <c r="F4103" s="19"/>
      <c r="G4103" s="20"/>
    </row>
    <row r="4104" spans="1:8">
      <c r="A4104" s="211" t="s">
        <v>490</v>
      </c>
      <c r="B4104" s="216" t="str">
        <f ca="1">_xlfn.CONCAT(B4096,A4104)</f>
        <v>5ABED62-G</v>
      </c>
      <c r="C4104" s="17"/>
      <c r="D4104" s="184"/>
      <c r="E4104" s="197"/>
      <c r="F4104" s="19"/>
      <c r="G4104" s="20"/>
    </row>
    <row r="4105" spans="1:8">
      <c r="A4105" s="211" t="s">
        <v>491</v>
      </c>
      <c r="B4105" s="216" t="str">
        <f ca="1">_xlfn.CONCAT(B4096,A4105)</f>
        <v>5ABED62-H</v>
      </c>
      <c r="C4105" s="17"/>
      <c r="D4105" s="184"/>
      <c r="E4105" s="197"/>
      <c r="F4105" s="19"/>
      <c r="G4105" s="20"/>
    </row>
    <row r="4106" spans="1:8">
      <c r="A4106" s="211" t="s">
        <v>492</v>
      </c>
      <c r="B4106" s="216" t="str">
        <f ca="1">_xlfn.CONCAT(B4096,A4106)</f>
        <v>5ABED62-I</v>
      </c>
      <c r="C4106" s="17"/>
      <c r="D4106" s="184"/>
      <c r="E4106" s="197"/>
      <c r="F4106" s="19"/>
      <c r="G4106" s="20"/>
    </row>
    <row r="4107" spans="1:8">
      <c r="A4107" s="211" t="s">
        <v>493</v>
      </c>
      <c r="B4107" s="216" t="str">
        <f ca="1">_xlfn.CONCAT(B4096,A4107)</f>
        <v>5ABED62-J</v>
      </c>
      <c r="C4107" s="17"/>
      <c r="D4107" s="184"/>
      <c r="E4107" s="197"/>
      <c r="F4107" s="19"/>
      <c r="G4107" s="20"/>
    </row>
    <row r="4108" spans="1:8">
      <c r="A4108" s="211" t="s">
        <v>494</v>
      </c>
      <c r="B4108" s="216" t="str">
        <f ca="1">_xlfn.CONCAT(B4096,A4108)</f>
        <v>5ABED62-K</v>
      </c>
      <c r="C4108" s="17"/>
      <c r="D4108" s="184"/>
      <c r="E4108" s="197"/>
      <c r="F4108" s="19"/>
      <c r="G4108" s="20"/>
    </row>
    <row r="4109" spans="1:8">
      <c r="A4109" s="211" t="s">
        <v>495</v>
      </c>
      <c r="B4109" s="216" t="str">
        <f ca="1">_xlfn.CONCAT(B4096,A4109)</f>
        <v>5ABED62-L</v>
      </c>
      <c r="C4109" s="17"/>
      <c r="D4109" s="184"/>
      <c r="E4109" s="197"/>
      <c r="F4109" s="19"/>
      <c r="G4109" s="20"/>
    </row>
    <row r="4110" spans="1:8">
      <c r="A4110" s="211" t="s">
        <v>496</v>
      </c>
      <c r="B4110" s="216" t="str">
        <f ca="1">_xlfn.CONCAT(B4096,A4110)</f>
        <v>5ABED62-M</v>
      </c>
      <c r="C4110" s="17"/>
      <c r="D4110" s="184"/>
      <c r="E4110" s="197"/>
      <c r="F4110" s="19"/>
      <c r="G4110" s="20"/>
    </row>
    <row r="4111" spans="1:8">
      <c r="A4111" s="211" t="s">
        <v>497</v>
      </c>
      <c r="B4111" s="216" t="str">
        <f ca="1">_xlfn.CONCAT(B4096,A4111)</f>
        <v>5ABED62-N</v>
      </c>
      <c r="C4111" s="17"/>
      <c r="D4111" s="184"/>
      <c r="E4111" s="197"/>
      <c r="F4111" s="19"/>
      <c r="G4111" s="20"/>
    </row>
    <row r="4112" spans="1:8">
      <c r="A4112" s="211" t="s">
        <v>498</v>
      </c>
      <c r="B4112" s="216" t="str">
        <f ca="1">_xlfn.CONCAT(B4096,A4112)</f>
        <v>5ABED62-O</v>
      </c>
      <c r="C4112" s="17"/>
      <c r="D4112" s="184"/>
      <c r="E4112" s="197"/>
      <c r="F4112" s="19"/>
      <c r="G4112" s="20"/>
    </row>
    <row r="4113" spans="1:8">
      <c r="A4113" s="211" t="s">
        <v>499</v>
      </c>
      <c r="B4113" s="216" t="str">
        <f ca="1">_xlfn.CONCAT(B4096,A4113)</f>
        <v>5ABED62-P</v>
      </c>
      <c r="C4113" s="17"/>
      <c r="D4113" s="184"/>
      <c r="E4113" s="197"/>
      <c r="F4113" s="19"/>
      <c r="G4113" s="20"/>
    </row>
    <row r="4114" spans="1:8">
      <c r="A4114" s="211" t="s">
        <v>500</v>
      </c>
      <c r="B4114" s="216" t="str">
        <f ca="1">_xlfn.CONCAT(B4096,A4114)</f>
        <v>5ABED62-Q</v>
      </c>
      <c r="C4114" s="17"/>
      <c r="D4114" s="184"/>
      <c r="E4114" s="197"/>
      <c r="F4114" s="19"/>
      <c r="G4114" s="20"/>
    </row>
    <row r="4115" spans="1:8">
      <c r="A4115" s="211" t="s">
        <v>501</v>
      </c>
      <c r="B4115" s="216" t="str">
        <f ca="1">_xlfn.CONCAT(B4096,A4115)</f>
        <v>5ABED62-R</v>
      </c>
      <c r="C4115" s="17"/>
      <c r="D4115" s="184"/>
      <c r="E4115" s="197"/>
      <c r="F4115" s="19"/>
      <c r="G4115" s="20"/>
    </row>
    <row r="4116" spans="1:8">
      <c r="A4116" s="211" t="s">
        <v>502</v>
      </c>
      <c r="B4116" s="216" t="str">
        <f ca="1">_xlfn.CONCAT(B4096,A4116)</f>
        <v>5ABED62-S</v>
      </c>
      <c r="C4116" s="17"/>
      <c r="D4116" s="184"/>
      <c r="E4116" s="197"/>
      <c r="F4116" s="19"/>
      <c r="G4116" s="20"/>
    </row>
    <row r="4117" spans="1:8">
      <c r="A4117" s="211" t="s">
        <v>503</v>
      </c>
      <c r="B4117" s="216" t="str">
        <f ca="1">_xlfn.CONCAT(B4096,A4117)</f>
        <v>5ABED62-T</v>
      </c>
      <c r="C4117" s="17"/>
      <c r="D4117" s="184"/>
      <c r="E4117" s="197"/>
      <c r="F4117" s="19"/>
      <c r="G4117" s="20"/>
    </row>
    <row r="4118" spans="1:8" ht="14.25" thickBot="1">
      <c r="A4118" s="211" t="s">
        <v>504</v>
      </c>
      <c r="B4118" s="216" t="str">
        <f ca="1">_xlfn.CONCAT(B4096,A4118)</f>
        <v>5ABED62-U</v>
      </c>
      <c r="C4118" s="17"/>
      <c r="D4118" s="184"/>
      <c r="E4118" s="197"/>
      <c r="F4118" s="19"/>
      <c r="G4118" s="20"/>
    </row>
    <row r="4119" spans="1:8" ht="14.25" thickBot="1">
      <c r="A4119" s="211" t="s">
        <v>505</v>
      </c>
      <c r="B4119" s="216" t="str">
        <f ca="1">_xlfn.CONCAT(B4096,A4119)</f>
        <v>5ABED62-V</v>
      </c>
      <c r="C4119" s="17" t="s">
        <v>17</v>
      </c>
      <c r="D4119" s="192" t="s">
        <v>17</v>
      </c>
      <c r="E4119" s="18"/>
      <c r="F4119" s="22" t="s">
        <v>18</v>
      </c>
      <c r="G4119" s="23">
        <f>SUM(G4098:G4118)</f>
        <v>1561525</v>
      </c>
    </row>
    <row r="4120" spans="1:8" ht="15.75" thickBot="1">
      <c r="A4120" s="211" t="s">
        <v>506</v>
      </c>
      <c r="B4120" s="216" t="str">
        <f ca="1">_xlfn.CONCAT(B4096,A4120)</f>
        <v>5ABED62-W</v>
      </c>
      <c r="C4120" s="10" t="s">
        <v>19</v>
      </c>
      <c r="D4120" s="190"/>
      <c r="E4120" s="11"/>
      <c r="F4120" s="12"/>
      <c r="G4120" s="13"/>
    </row>
    <row r="4121" spans="1:8" ht="14.25" thickBot="1">
      <c r="A4121" s="211" t="s">
        <v>507</v>
      </c>
      <c r="B4121" s="216" t="str">
        <f ca="1">_xlfn.CONCAT(B4096,A4121)</f>
        <v>5ABED62-X</v>
      </c>
      <c r="C4121" s="14" t="s">
        <v>1</v>
      </c>
      <c r="D4121" s="15"/>
      <c r="E4121" s="15" t="s">
        <v>20</v>
      </c>
      <c r="F4121" s="16" t="s">
        <v>21</v>
      </c>
      <c r="G4121" s="15" t="s">
        <v>5</v>
      </c>
      <c r="H4121" s="215"/>
    </row>
    <row r="4122" spans="1:8">
      <c r="A4122" s="211" t="s">
        <v>508</v>
      </c>
      <c r="B4122" s="216" t="str">
        <f ca="1">_xlfn.CONCAT(B4096,A4122)</f>
        <v>5ABED62-Y</v>
      </c>
      <c r="C4122" s="24" t="s">
        <v>22</v>
      </c>
      <c r="D4122" s="184"/>
      <c r="E4122" s="25">
        <f>_xlfn.XLOOKUP(C4122,'H-MO'!B$7:B$30,'H-MO'!D$7:D$30,,0,1)</f>
        <v>2436.5624999999995</v>
      </c>
      <c r="F4122" s="19">
        <v>0.996</v>
      </c>
      <c r="G4122" s="33">
        <f t="shared" ref="G4122:G4127" si="120">+E4122*F4122</f>
        <v>2426.8162499999994</v>
      </c>
    </row>
    <row r="4123" spans="1:8">
      <c r="A4123" s="211" t="s">
        <v>509</v>
      </c>
      <c r="B4123" s="216" t="str">
        <f ca="1">_xlfn.CONCAT(B4096,A4123)</f>
        <v>5ABED62-Z</v>
      </c>
      <c r="C4123" s="24" t="s">
        <v>23</v>
      </c>
      <c r="D4123" s="184"/>
      <c r="E4123" s="25">
        <f>_xlfn.XLOOKUP(C4123,'H-MO'!B$7:B$30,'H-MO'!D$7:D$30,,0,1)</f>
        <v>1461.9374999999998</v>
      </c>
      <c r="F4123" s="19">
        <v>2.4670000000000001</v>
      </c>
      <c r="G4123" s="33">
        <f t="shared" si="120"/>
        <v>3606.5998124999996</v>
      </c>
    </row>
    <row r="4124" spans="1:8">
      <c r="A4124" s="211" t="s">
        <v>510</v>
      </c>
      <c r="B4124" s="216" t="str">
        <f ca="1">_xlfn.CONCAT(B4096,A4124)</f>
        <v>5ABED62-aa</v>
      </c>
      <c r="C4124" s="24" t="s">
        <v>24</v>
      </c>
      <c r="D4124" s="185"/>
      <c r="E4124" s="25">
        <f>_xlfn.XLOOKUP(C4124,'H-MO'!B$7:B$30,'H-MO'!D$7:D$30,,0,1)</f>
        <v>29238.749999999996</v>
      </c>
      <c r="F4124" s="28">
        <v>4.1000000000000002E-2</v>
      </c>
      <c r="G4124" s="33">
        <f t="shared" si="120"/>
        <v>1198.7887499999999</v>
      </c>
    </row>
    <row r="4125" spans="1:8">
      <c r="A4125" s="211" t="s">
        <v>511</v>
      </c>
      <c r="B4125" s="216" t="str">
        <f ca="1">_xlfn.CONCAT(B4096,A4125)</f>
        <v>5ABED62-ab</v>
      </c>
      <c r="C4125" s="24" t="s">
        <v>25</v>
      </c>
      <c r="D4125" s="185"/>
      <c r="E4125" s="25">
        <f>_xlfn.XLOOKUP(C4125,'H-MO'!B$7:B$30,'H-MO'!D$7:D$30,,0,1)</f>
        <v>2761.4374999999995</v>
      </c>
      <c r="F4125" s="28">
        <v>0.87</v>
      </c>
      <c r="G4125" s="33">
        <f t="shared" si="120"/>
        <v>2402.4506249999995</v>
      </c>
    </row>
    <row r="4126" spans="1:8">
      <c r="A4126" s="211" t="s">
        <v>512</v>
      </c>
      <c r="B4126" s="216" t="str">
        <f ca="1">_xlfn.CONCAT(B4096,A4126)</f>
        <v>5ABED62-ac</v>
      </c>
      <c r="C4126" s="24"/>
      <c r="D4126" s="185"/>
      <c r="E4126" s="29"/>
      <c r="F4126" s="28"/>
      <c r="G4126" s="33">
        <f t="shared" si="120"/>
        <v>0</v>
      </c>
    </row>
    <row r="4127" spans="1:8" ht="14.25" thickBot="1">
      <c r="A4127" s="211" t="s">
        <v>513</v>
      </c>
      <c r="B4127" s="216" t="str">
        <f ca="1">_xlfn.CONCAT(B4096,A4127)</f>
        <v>5ABED62-ad</v>
      </c>
      <c r="C4127" s="24"/>
      <c r="D4127" s="185"/>
      <c r="E4127" s="29"/>
      <c r="F4127" s="28"/>
      <c r="G4127" s="33">
        <f t="shared" si="120"/>
        <v>0</v>
      </c>
    </row>
    <row r="4128" spans="1:8" ht="14.25" thickBot="1">
      <c r="A4128" s="211" t="s">
        <v>514</v>
      </c>
      <c r="B4128" s="216" t="str">
        <f ca="1">_xlfn.CONCAT(B4096,A4128)</f>
        <v>5ABED62-ae</v>
      </c>
      <c r="C4128" s="17"/>
      <c r="D4128" s="192"/>
      <c r="E4128" s="18"/>
      <c r="F4128" s="22" t="s">
        <v>26</v>
      </c>
      <c r="G4128" s="23">
        <f>SUM(G4122:G4127)</f>
        <v>9634.6554374999978</v>
      </c>
    </row>
    <row r="4129" spans="1:8" ht="15.75" thickBot="1">
      <c r="A4129" s="211" t="s">
        <v>515</v>
      </c>
      <c r="B4129" s="216" t="str">
        <f ca="1">_xlfn.CONCAT(B4096,A4129)</f>
        <v>5ABED62-af</v>
      </c>
      <c r="C4129" s="10" t="s">
        <v>27</v>
      </c>
      <c r="D4129" s="190"/>
      <c r="E4129" s="11"/>
      <c r="F4129" s="12"/>
      <c r="G4129" s="13"/>
    </row>
    <row r="4130" spans="1:8" ht="14.25" thickBot="1">
      <c r="A4130" s="211" t="s">
        <v>516</v>
      </c>
      <c r="B4130" s="216" t="str">
        <f ca="1">_xlfn.CONCAT(B4096,A4130)</f>
        <v>5ABED62-ag</v>
      </c>
      <c r="C4130" s="14" t="s">
        <v>1</v>
      </c>
      <c r="D4130" s="15" t="s">
        <v>28</v>
      </c>
      <c r="E4130" s="15" t="s">
        <v>20</v>
      </c>
      <c r="F4130" s="16" t="s">
        <v>21</v>
      </c>
      <c r="G4130" s="15" t="s">
        <v>5</v>
      </c>
      <c r="H4130" s="215"/>
    </row>
    <row r="4131" spans="1:8">
      <c r="A4131" s="211" t="s">
        <v>517</v>
      </c>
      <c r="B4131" s="216" t="str">
        <f ca="1">_xlfn.CONCAT(B4096,A4131)</f>
        <v>5ABED62-ah</v>
      </c>
      <c r="C4131" s="30" t="s">
        <v>29</v>
      </c>
      <c r="D4131" s="186">
        <f>'H-MO'!$N$77</f>
        <v>725918.52892505517</v>
      </c>
      <c r="E4131" s="31">
        <f>+D4131/8</f>
        <v>90739.816115631897</v>
      </c>
      <c r="F4131" s="32">
        <v>4</v>
      </c>
      <c r="G4131" s="33">
        <f>+E4131*F4131</f>
        <v>362959.26446252759</v>
      </c>
    </row>
    <row r="4132" spans="1:8">
      <c r="A4132" s="211" t="s">
        <v>518</v>
      </c>
      <c r="B4132" s="216" t="str">
        <f ca="1">_xlfn.CONCAT(B4096,A4132)</f>
        <v>5ABED62-ai</v>
      </c>
      <c r="C4132" s="34" t="s">
        <v>30</v>
      </c>
      <c r="D4132" s="187">
        <f>'H-MO'!$N$86</f>
        <v>685561.39085756091</v>
      </c>
      <c r="E4132" s="29">
        <f>+D4132/8</f>
        <v>85695.173857195114</v>
      </c>
      <c r="F4132" s="28">
        <v>0</v>
      </c>
      <c r="G4132" s="33">
        <f>+E4132*F4132</f>
        <v>0</v>
      </c>
    </row>
    <row r="4133" spans="1:8" ht="14.25" thickBot="1">
      <c r="A4133" s="211" t="s">
        <v>519</v>
      </c>
      <c r="B4133" s="216" t="str">
        <f ca="1">_xlfn.CONCAT(B4096,A4133)</f>
        <v>5ABED62-aj</v>
      </c>
      <c r="C4133" s="34"/>
      <c r="D4133" s="187"/>
      <c r="E4133" s="29"/>
      <c r="F4133" s="28"/>
      <c r="G4133" s="33">
        <f>+E4133*F4133</f>
        <v>0</v>
      </c>
    </row>
    <row r="4134" spans="1:8" ht="14.25" thickBot="1">
      <c r="A4134" s="211" t="s">
        <v>520</v>
      </c>
      <c r="B4134" s="216" t="str">
        <f ca="1">_xlfn.CONCAT(B4096,A4134)</f>
        <v>5ABED62-ak</v>
      </c>
      <c r="C4134" s="34"/>
      <c r="D4134" s="185"/>
      <c r="E4134" s="26"/>
      <c r="F4134" s="36" t="s">
        <v>31</v>
      </c>
      <c r="G4134" s="23">
        <f>SUM(G4131:G4133)</f>
        <v>362959.26446252759</v>
      </c>
    </row>
    <row r="4135" spans="1:8" ht="14.25" thickBot="1">
      <c r="A4135" s="211" t="s">
        <v>521</v>
      </c>
      <c r="B4135" s="216" t="str">
        <f ca="1">_xlfn.CONCAT(B4096,A4135)</f>
        <v>5ABED62-al</v>
      </c>
      <c r="C4135" s="37"/>
      <c r="E4135" s="38"/>
      <c r="F4135" s="22"/>
      <c r="G4135" s="39"/>
    </row>
    <row r="4136" spans="1:8" ht="16.5" thickBot="1">
      <c r="A4136" s="211" t="s">
        <v>522</v>
      </c>
      <c r="B4136" s="216" t="str">
        <f ca="1">_xlfn.CONCAT(B4096,A4136)</f>
        <v>5ABED62-am</v>
      </c>
      <c r="C4136" s="40"/>
      <c r="D4136" s="193"/>
      <c r="E4136" s="41"/>
      <c r="F4136" s="42"/>
      <c r="G4136" s="43">
        <f>+G4119+G4128+G4134</f>
        <v>1934118.9199000276</v>
      </c>
    </row>
    <row r="4137" spans="1:8" ht="21.75" thickBot="1">
      <c r="B4137" s="212" t="s">
        <v>550</v>
      </c>
      <c r="C4137" s="2"/>
      <c r="D4137" s="183"/>
      <c r="F4137" s="4"/>
      <c r="G4137" s="5"/>
    </row>
    <row r="4138" spans="1:8" ht="18.75">
      <c r="A4138" s="213"/>
      <c r="B4138" s="214">
        <v>95</v>
      </c>
      <c r="C4138" s="242" t="str">
        <f ca="1">_xlfn.XLOOKUP(B4138,Cantidades!$A$10:$A$314,Cantidades!$C$10:$C$314,,0,1)</f>
        <v>Suministro e instalación de poste de concreto 12 m 1050 kg. Incluye transporte izaje, excavación y cimentación.</v>
      </c>
      <c r="D4138" s="243"/>
      <c r="E4138" s="243"/>
      <c r="F4138" s="243"/>
      <c r="G4138" s="244"/>
    </row>
    <row r="4139" spans="1:8" ht="19.5" thickBot="1">
      <c r="A4139" s="215"/>
      <c r="B4139" s="216" t="s">
        <v>550</v>
      </c>
      <c r="C4139" s="177"/>
      <c r="D4139" s="189"/>
      <c r="E4139" s="178"/>
      <c r="F4139" s="179" t="s">
        <v>636</v>
      </c>
      <c r="G4139" s="209" t="str">
        <f ca="1">B4140</f>
        <v>367010D-</v>
      </c>
    </row>
    <row r="4140" spans="1:8" ht="15.75" thickBot="1">
      <c r="B4140" s="212" t="str">
        <f ca="1">_xlfn.XLOOKUP(C4138,Cantidades!$C$1:$C$314,Cantidades!$B$1:$B$314,"",0,1)</f>
        <v>367010D-</v>
      </c>
      <c r="C4140" s="10" t="s">
        <v>0</v>
      </c>
      <c r="D4140" s="190"/>
      <c r="E4140" s="11"/>
      <c r="F4140" s="12"/>
      <c r="G4140" s="13"/>
    </row>
    <row r="4141" spans="1:8" ht="14.25" thickBot="1">
      <c r="A4141" s="215"/>
      <c r="B4141" s="216" t="s">
        <v>550</v>
      </c>
      <c r="C4141" s="14" t="s">
        <v>1</v>
      </c>
      <c r="D4141" s="15" t="s">
        <v>2</v>
      </c>
      <c r="E4141" s="15" t="s">
        <v>3</v>
      </c>
      <c r="F4141" s="16" t="s">
        <v>4</v>
      </c>
      <c r="G4141" s="15" t="s">
        <v>5</v>
      </c>
    </row>
    <row r="4142" spans="1:8">
      <c r="A4142" s="211" t="s">
        <v>484</v>
      </c>
      <c r="B4142" s="216" t="str">
        <f ca="1">_xlfn.CONCAT(B4140,A4142)</f>
        <v>367010D-A</v>
      </c>
      <c r="C4142" s="17" t="str">
        <f>_xlfn.XLOOKUP(H4142,'Materiales unitario'!$A$1:$A$2500,'Materiales unitario'!B$1:B$2500,,0,1)</f>
        <v>Poste de concreto 12 mts 1050 Kgf</v>
      </c>
      <c r="D4142" s="184" t="str">
        <f>_xlfn.XLOOKUP(H4142,'Materiales unitario'!A$1:A$2500,'Materiales unitario'!C$1:C$2500,,0,1)</f>
        <v>un</v>
      </c>
      <c r="E4142" s="197">
        <f>_xlfn.XLOOKUP(H4142,'Materiales unitario'!$A$1:$A$2500,'Materiales unitario'!D$1:D$2500,,0,1)</f>
        <v>1998129</v>
      </c>
      <c r="F4142" s="19">
        <v>1</v>
      </c>
      <c r="G4142" s="20">
        <f>+E4142*F4142</f>
        <v>1998129</v>
      </c>
      <c r="H4142" s="211" t="s">
        <v>347</v>
      </c>
    </row>
    <row r="4143" spans="1:8">
      <c r="A4143" s="211" t="s">
        <v>485</v>
      </c>
      <c r="B4143" s="216" t="str">
        <f ca="1">_xlfn.CONCAT(B4140,A4143)</f>
        <v>367010D-B</v>
      </c>
      <c r="C4143" s="17" t="str">
        <f>_xlfn.XLOOKUP(H4143,'Materiales unitario'!$A$1:$A$2500,'Materiales unitario'!B$1:B$2500,,0,1)</f>
        <v>Servicio de grúa en el sitio</v>
      </c>
      <c r="D4143" s="184" t="str">
        <f>_xlfn.XLOOKUP(H4143,'Materiales unitario'!A$1:A$2500,'Materiales unitario'!C$1:C$2500,,0,1)</f>
        <v>hr</v>
      </c>
      <c r="E4143" s="197">
        <f>_xlfn.XLOOKUP(H4143,'Materiales unitario'!$A$1:$A$2500,'Materiales unitario'!D$1:D$2500,,0,1)</f>
        <v>426720</v>
      </c>
      <c r="F4143" s="19">
        <v>0.7</v>
      </c>
      <c r="G4143" s="20">
        <f>+E4143*F4143</f>
        <v>298704</v>
      </c>
      <c r="H4143" s="211" t="s">
        <v>529</v>
      </c>
    </row>
    <row r="4144" spans="1:8">
      <c r="A4144" s="211" t="s">
        <v>486</v>
      </c>
      <c r="B4144" s="216" t="str">
        <f ca="1">_xlfn.CONCAT(B4140,A4144)</f>
        <v>367010D-C</v>
      </c>
      <c r="C4144" s="17" t="str">
        <f>_xlfn.XLOOKUP(H4144,'Materiales unitario'!$A$1:$A$2500,'Materiales unitario'!B$1:B$2500,,0,1)</f>
        <v>Transporte al sitio de la obra</v>
      </c>
      <c r="D4144" s="184" t="str">
        <f>_xlfn.XLOOKUP(H4144,'Materiales unitario'!A$1:A$2500,'Materiales unitario'!C$1:C$2500,,0,1)</f>
        <v>un</v>
      </c>
      <c r="E4144" s="197">
        <f>_xlfn.XLOOKUP(H4144,'Materiales unitario'!$A$1:$A$2500,'Materiales unitario'!D$1:D$2500,,0,1)</f>
        <v>172200</v>
      </c>
      <c r="F4144" s="19">
        <v>0.7</v>
      </c>
      <c r="G4144" s="20">
        <f>+E4144*F4144</f>
        <v>120539.99999999999</v>
      </c>
      <c r="H4144" s="211" t="s">
        <v>384</v>
      </c>
    </row>
    <row r="4145" spans="1:7">
      <c r="A4145" s="211" t="s">
        <v>487</v>
      </c>
      <c r="B4145" s="216" t="str">
        <f ca="1">_xlfn.CONCAT(B4140,A4145)</f>
        <v>367010D-D</v>
      </c>
      <c r="C4145" s="17"/>
      <c r="D4145" s="184"/>
      <c r="E4145" s="197"/>
      <c r="F4145" s="19"/>
      <c r="G4145" s="20"/>
    </row>
    <row r="4146" spans="1:7">
      <c r="A4146" s="211" t="s">
        <v>488</v>
      </c>
      <c r="B4146" s="216" t="str">
        <f ca="1">_xlfn.CONCAT(B4140,A4146)</f>
        <v>367010D-E</v>
      </c>
      <c r="C4146" s="17"/>
      <c r="D4146" s="184"/>
      <c r="E4146" s="197"/>
      <c r="F4146" s="19"/>
      <c r="G4146" s="20"/>
    </row>
    <row r="4147" spans="1:7">
      <c r="A4147" s="211" t="s">
        <v>489</v>
      </c>
      <c r="B4147" s="216" t="str">
        <f ca="1">_xlfn.CONCAT(B4140,A4147)</f>
        <v>367010D-F</v>
      </c>
      <c r="C4147" s="17"/>
      <c r="D4147" s="184"/>
      <c r="E4147" s="197"/>
      <c r="F4147" s="19"/>
      <c r="G4147" s="20"/>
    </row>
    <row r="4148" spans="1:7">
      <c r="A4148" s="211" t="s">
        <v>490</v>
      </c>
      <c r="B4148" s="216" t="str">
        <f ca="1">_xlfn.CONCAT(B4140,A4148)</f>
        <v>367010D-G</v>
      </c>
      <c r="C4148" s="17"/>
      <c r="D4148" s="184"/>
      <c r="E4148" s="197"/>
      <c r="F4148" s="19"/>
      <c r="G4148" s="20"/>
    </row>
    <row r="4149" spans="1:7">
      <c r="A4149" s="211" t="s">
        <v>491</v>
      </c>
      <c r="B4149" s="216" t="str">
        <f ca="1">_xlfn.CONCAT(B4140,A4149)</f>
        <v>367010D-H</v>
      </c>
      <c r="C4149" s="17"/>
      <c r="D4149" s="184"/>
      <c r="E4149" s="197"/>
      <c r="F4149" s="19"/>
      <c r="G4149" s="20"/>
    </row>
    <row r="4150" spans="1:7">
      <c r="A4150" s="211" t="s">
        <v>492</v>
      </c>
      <c r="B4150" s="216" t="str">
        <f ca="1">_xlfn.CONCAT(B4140,A4150)</f>
        <v>367010D-I</v>
      </c>
      <c r="C4150" s="17"/>
      <c r="D4150" s="184"/>
      <c r="E4150" s="197"/>
      <c r="F4150" s="19"/>
      <c r="G4150" s="20"/>
    </row>
    <row r="4151" spans="1:7">
      <c r="A4151" s="211" t="s">
        <v>493</v>
      </c>
      <c r="B4151" s="216" t="str">
        <f ca="1">_xlfn.CONCAT(B4140,A4151)</f>
        <v>367010D-J</v>
      </c>
      <c r="C4151" s="17"/>
      <c r="D4151" s="184"/>
      <c r="E4151" s="197"/>
      <c r="F4151" s="19"/>
      <c r="G4151" s="20"/>
    </row>
    <row r="4152" spans="1:7">
      <c r="A4152" s="211" t="s">
        <v>494</v>
      </c>
      <c r="B4152" s="216" t="str">
        <f ca="1">_xlfn.CONCAT(B4140,A4152)</f>
        <v>367010D-K</v>
      </c>
      <c r="C4152" s="17"/>
      <c r="D4152" s="184"/>
      <c r="E4152" s="197"/>
      <c r="F4152" s="19"/>
      <c r="G4152" s="20"/>
    </row>
    <row r="4153" spans="1:7">
      <c r="A4153" s="211" t="s">
        <v>495</v>
      </c>
      <c r="B4153" s="216" t="str">
        <f ca="1">_xlfn.CONCAT(B4140,A4153)</f>
        <v>367010D-L</v>
      </c>
      <c r="C4153" s="17"/>
      <c r="D4153" s="184"/>
      <c r="E4153" s="197"/>
      <c r="F4153" s="19"/>
      <c r="G4153" s="20"/>
    </row>
    <row r="4154" spans="1:7">
      <c r="A4154" s="211" t="s">
        <v>496</v>
      </c>
      <c r="B4154" s="216" t="str">
        <f ca="1">_xlfn.CONCAT(B4140,A4154)</f>
        <v>367010D-M</v>
      </c>
      <c r="C4154" s="17"/>
      <c r="D4154" s="184"/>
      <c r="E4154" s="197"/>
      <c r="F4154" s="19"/>
      <c r="G4154" s="20"/>
    </row>
    <row r="4155" spans="1:7">
      <c r="A4155" s="211" t="s">
        <v>497</v>
      </c>
      <c r="B4155" s="216" t="str">
        <f ca="1">_xlfn.CONCAT(B4140,A4155)</f>
        <v>367010D-N</v>
      </c>
      <c r="C4155" s="17"/>
      <c r="D4155" s="184"/>
      <c r="E4155" s="197"/>
      <c r="F4155" s="19"/>
      <c r="G4155" s="20"/>
    </row>
    <row r="4156" spans="1:7">
      <c r="A4156" s="211" t="s">
        <v>498</v>
      </c>
      <c r="B4156" s="216" t="str">
        <f ca="1">_xlfn.CONCAT(B4140,A4156)</f>
        <v>367010D-O</v>
      </c>
      <c r="C4156" s="17"/>
      <c r="D4156" s="184"/>
      <c r="E4156" s="197"/>
      <c r="F4156" s="19"/>
      <c r="G4156" s="20"/>
    </row>
    <row r="4157" spans="1:7">
      <c r="A4157" s="211" t="s">
        <v>499</v>
      </c>
      <c r="B4157" s="216" t="str">
        <f ca="1">_xlfn.CONCAT(B4140,A4157)</f>
        <v>367010D-P</v>
      </c>
      <c r="C4157" s="17"/>
      <c r="D4157" s="184"/>
      <c r="E4157" s="197"/>
      <c r="F4157" s="19"/>
      <c r="G4157" s="20"/>
    </row>
    <row r="4158" spans="1:7">
      <c r="A4158" s="211" t="s">
        <v>500</v>
      </c>
      <c r="B4158" s="216" t="str">
        <f ca="1">_xlfn.CONCAT(B4140,A4158)</f>
        <v>367010D-Q</v>
      </c>
      <c r="C4158" s="17"/>
      <c r="D4158" s="184"/>
      <c r="E4158" s="197"/>
      <c r="F4158" s="19"/>
      <c r="G4158" s="20"/>
    </row>
    <row r="4159" spans="1:7">
      <c r="A4159" s="211" t="s">
        <v>501</v>
      </c>
      <c r="B4159" s="216" t="str">
        <f ca="1">_xlfn.CONCAT(B4140,A4159)</f>
        <v>367010D-R</v>
      </c>
      <c r="C4159" s="17"/>
      <c r="D4159" s="184"/>
      <c r="E4159" s="197"/>
      <c r="F4159" s="19"/>
      <c r="G4159" s="20"/>
    </row>
    <row r="4160" spans="1:7">
      <c r="A4160" s="211" t="s">
        <v>502</v>
      </c>
      <c r="B4160" s="216" t="str">
        <f ca="1">_xlfn.CONCAT(B4140,A4160)</f>
        <v>367010D-S</v>
      </c>
      <c r="C4160" s="17"/>
      <c r="D4160" s="184"/>
      <c r="E4160" s="197"/>
      <c r="F4160" s="19"/>
      <c r="G4160" s="20"/>
    </row>
    <row r="4161" spans="1:8">
      <c r="A4161" s="211" t="s">
        <v>503</v>
      </c>
      <c r="B4161" s="216" t="str">
        <f ca="1">_xlfn.CONCAT(B4140,A4161)</f>
        <v>367010D-T</v>
      </c>
      <c r="C4161" s="17"/>
      <c r="D4161" s="184"/>
      <c r="E4161" s="197"/>
      <c r="F4161" s="19"/>
      <c r="G4161" s="20"/>
    </row>
    <row r="4162" spans="1:8" ht="14.25" thickBot="1">
      <c r="A4162" s="211" t="s">
        <v>504</v>
      </c>
      <c r="B4162" s="216" t="str">
        <f ca="1">_xlfn.CONCAT(B4140,A4162)</f>
        <v>367010D-U</v>
      </c>
      <c r="C4162" s="17"/>
      <c r="D4162" s="184"/>
      <c r="E4162" s="197"/>
      <c r="F4162" s="19"/>
      <c r="G4162" s="20"/>
    </row>
    <row r="4163" spans="1:8" ht="14.25" thickBot="1">
      <c r="A4163" s="211" t="s">
        <v>505</v>
      </c>
      <c r="B4163" s="216" t="str">
        <f ca="1">_xlfn.CONCAT(B4140,A4163)</f>
        <v>367010D-V</v>
      </c>
      <c r="C4163" s="17" t="s">
        <v>17</v>
      </c>
      <c r="D4163" s="192" t="s">
        <v>17</v>
      </c>
      <c r="E4163" s="18"/>
      <c r="F4163" s="22" t="s">
        <v>18</v>
      </c>
      <c r="G4163" s="23">
        <f>SUM(G4142:G4162)</f>
        <v>2417373</v>
      </c>
    </row>
    <row r="4164" spans="1:8" ht="15.75" thickBot="1">
      <c r="A4164" s="211" t="s">
        <v>506</v>
      </c>
      <c r="B4164" s="216" t="str">
        <f ca="1">_xlfn.CONCAT(B4140,A4164)</f>
        <v>367010D-W</v>
      </c>
      <c r="C4164" s="10" t="s">
        <v>19</v>
      </c>
      <c r="D4164" s="190"/>
      <c r="E4164" s="11"/>
      <c r="F4164" s="12"/>
      <c r="G4164" s="13"/>
    </row>
    <row r="4165" spans="1:8" ht="14.25" thickBot="1">
      <c r="A4165" s="211" t="s">
        <v>507</v>
      </c>
      <c r="B4165" s="216" t="str">
        <f ca="1">_xlfn.CONCAT(B4140,A4165)</f>
        <v>367010D-X</v>
      </c>
      <c r="C4165" s="14" t="s">
        <v>1</v>
      </c>
      <c r="D4165" s="15"/>
      <c r="E4165" s="15" t="s">
        <v>20</v>
      </c>
      <c r="F4165" s="16" t="s">
        <v>21</v>
      </c>
      <c r="G4165" s="15" t="s">
        <v>5</v>
      </c>
      <c r="H4165" s="215"/>
    </row>
    <row r="4166" spans="1:8">
      <c r="A4166" s="211" t="s">
        <v>508</v>
      </c>
      <c r="B4166" s="216" t="str">
        <f ca="1">_xlfn.CONCAT(B4140,A4166)</f>
        <v>367010D-Y</v>
      </c>
      <c r="C4166" s="24" t="s">
        <v>22</v>
      </c>
      <c r="D4166" s="184"/>
      <c r="E4166" s="25">
        <f>_xlfn.XLOOKUP(C4166,'H-MO'!B$7:B$30,'H-MO'!D$7:D$30,,0,1)</f>
        <v>2436.5624999999995</v>
      </c>
      <c r="F4166" s="19">
        <v>0.996</v>
      </c>
      <c r="G4166" s="33">
        <f t="shared" ref="G4166:G4171" si="121">+E4166*F4166</f>
        <v>2426.8162499999994</v>
      </c>
    </row>
    <row r="4167" spans="1:8">
      <c r="A4167" s="211" t="s">
        <v>509</v>
      </c>
      <c r="B4167" s="216" t="str">
        <f ca="1">_xlfn.CONCAT(B4140,A4167)</f>
        <v>367010D-Z</v>
      </c>
      <c r="C4167" s="24" t="s">
        <v>23</v>
      </c>
      <c r="D4167" s="184"/>
      <c r="E4167" s="25">
        <f>_xlfn.XLOOKUP(C4167,'H-MO'!B$7:B$30,'H-MO'!D$7:D$30,,0,1)</f>
        <v>1461.9374999999998</v>
      </c>
      <c r="F4167" s="19">
        <v>2.4670000000000001</v>
      </c>
      <c r="G4167" s="33">
        <f t="shared" si="121"/>
        <v>3606.5998124999996</v>
      </c>
    </row>
    <row r="4168" spans="1:8">
      <c r="A4168" s="211" t="s">
        <v>510</v>
      </c>
      <c r="B4168" s="216" t="str">
        <f ca="1">_xlfn.CONCAT(B4140,A4168)</f>
        <v>367010D-aa</v>
      </c>
      <c r="C4168" s="24" t="s">
        <v>24</v>
      </c>
      <c r="D4168" s="185"/>
      <c r="E4168" s="25">
        <f>_xlfn.XLOOKUP(C4168,'H-MO'!B$7:B$30,'H-MO'!D$7:D$30,,0,1)</f>
        <v>29238.749999999996</v>
      </c>
      <c r="F4168" s="28">
        <v>4.1000000000000002E-2</v>
      </c>
      <c r="G4168" s="33">
        <f t="shared" si="121"/>
        <v>1198.7887499999999</v>
      </c>
    </row>
    <row r="4169" spans="1:8">
      <c r="A4169" s="211" t="s">
        <v>511</v>
      </c>
      <c r="B4169" s="216" t="str">
        <f ca="1">_xlfn.CONCAT(B4140,A4169)</f>
        <v>367010D-ab</v>
      </c>
      <c r="C4169" s="24" t="s">
        <v>25</v>
      </c>
      <c r="D4169" s="185"/>
      <c r="E4169" s="25">
        <f>_xlfn.XLOOKUP(C4169,'H-MO'!B$7:B$30,'H-MO'!D$7:D$30,,0,1)</f>
        <v>2761.4374999999995</v>
      </c>
      <c r="F4169" s="28">
        <v>0.87</v>
      </c>
      <c r="G4169" s="33">
        <f t="shared" si="121"/>
        <v>2402.4506249999995</v>
      </c>
    </row>
    <row r="4170" spans="1:8">
      <c r="A4170" s="211" t="s">
        <v>512</v>
      </c>
      <c r="B4170" s="216" t="str">
        <f ca="1">_xlfn.CONCAT(B4140,A4170)</f>
        <v>367010D-ac</v>
      </c>
      <c r="C4170" s="24"/>
      <c r="D4170" s="185"/>
      <c r="E4170" s="29"/>
      <c r="F4170" s="28"/>
      <c r="G4170" s="33">
        <f t="shared" si="121"/>
        <v>0</v>
      </c>
    </row>
    <row r="4171" spans="1:8" ht="14.25" thickBot="1">
      <c r="A4171" s="211" t="s">
        <v>513</v>
      </c>
      <c r="B4171" s="216" t="str">
        <f ca="1">_xlfn.CONCAT(B4140,A4171)</f>
        <v>367010D-ad</v>
      </c>
      <c r="C4171" s="24"/>
      <c r="D4171" s="185"/>
      <c r="E4171" s="29"/>
      <c r="F4171" s="28"/>
      <c r="G4171" s="33">
        <f t="shared" si="121"/>
        <v>0</v>
      </c>
    </row>
    <row r="4172" spans="1:8" ht="14.25" thickBot="1">
      <c r="A4172" s="211" t="s">
        <v>514</v>
      </c>
      <c r="B4172" s="216" t="str">
        <f ca="1">_xlfn.CONCAT(B4140,A4172)</f>
        <v>367010D-ae</v>
      </c>
      <c r="C4172" s="17"/>
      <c r="D4172" s="192"/>
      <c r="E4172" s="18"/>
      <c r="F4172" s="22" t="s">
        <v>26</v>
      </c>
      <c r="G4172" s="23">
        <f>SUM(G4166:G4171)</f>
        <v>9634.6554374999978</v>
      </c>
    </row>
    <row r="4173" spans="1:8" ht="15.75" thickBot="1">
      <c r="A4173" s="211" t="s">
        <v>515</v>
      </c>
      <c r="B4173" s="216" t="str">
        <f ca="1">_xlfn.CONCAT(B4140,A4173)</f>
        <v>367010D-af</v>
      </c>
      <c r="C4173" s="10" t="s">
        <v>27</v>
      </c>
      <c r="D4173" s="190"/>
      <c r="E4173" s="11"/>
      <c r="F4173" s="12"/>
      <c r="G4173" s="13"/>
    </row>
    <row r="4174" spans="1:8" ht="14.25" thickBot="1">
      <c r="A4174" s="211" t="s">
        <v>516</v>
      </c>
      <c r="B4174" s="216" t="str">
        <f ca="1">_xlfn.CONCAT(B4140,A4174)</f>
        <v>367010D-ag</v>
      </c>
      <c r="C4174" s="14" t="s">
        <v>1</v>
      </c>
      <c r="D4174" s="15" t="s">
        <v>28</v>
      </c>
      <c r="E4174" s="15" t="s">
        <v>20</v>
      </c>
      <c r="F4174" s="16" t="s">
        <v>21</v>
      </c>
      <c r="G4174" s="15" t="s">
        <v>5</v>
      </c>
      <c r="H4174" s="215"/>
    </row>
    <row r="4175" spans="1:8">
      <c r="A4175" s="211" t="s">
        <v>517</v>
      </c>
      <c r="B4175" s="216" t="str">
        <f ca="1">_xlfn.CONCAT(B4140,A4175)</f>
        <v>367010D-ah</v>
      </c>
      <c r="C4175" s="30" t="s">
        <v>29</v>
      </c>
      <c r="D4175" s="186">
        <f>'H-MO'!$N$77</f>
        <v>725918.52892505517</v>
      </c>
      <c r="E4175" s="31">
        <f>+D4175/8</f>
        <v>90739.816115631897</v>
      </c>
      <c r="F4175" s="32">
        <v>4.5</v>
      </c>
      <c r="G4175" s="33">
        <f>+E4175*F4175</f>
        <v>408329.17252034356</v>
      </c>
    </row>
    <row r="4176" spans="1:8">
      <c r="A4176" s="211" t="s">
        <v>518</v>
      </c>
      <c r="B4176" s="216" t="str">
        <f ca="1">_xlfn.CONCAT(B4140,A4176)</f>
        <v>367010D-ai</v>
      </c>
      <c r="C4176" s="34" t="s">
        <v>30</v>
      </c>
      <c r="D4176" s="187">
        <f>'H-MO'!$N$86</f>
        <v>685561.39085756091</v>
      </c>
      <c r="E4176" s="29">
        <f>+D4176/8</f>
        <v>85695.173857195114</v>
      </c>
      <c r="F4176" s="28">
        <v>0</v>
      </c>
      <c r="G4176" s="33">
        <f>+E4176*F4176</f>
        <v>0</v>
      </c>
    </row>
    <row r="4177" spans="1:8" ht="14.25" thickBot="1">
      <c r="A4177" s="211" t="s">
        <v>519</v>
      </c>
      <c r="B4177" s="216" t="str">
        <f ca="1">_xlfn.CONCAT(B4140,A4177)</f>
        <v>367010D-aj</v>
      </c>
      <c r="C4177" s="34"/>
      <c r="D4177" s="187"/>
      <c r="E4177" s="29"/>
      <c r="F4177" s="28"/>
      <c r="G4177" s="33">
        <f>+E4177*F4177</f>
        <v>0</v>
      </c>
    </row>
    <row r="4178" spans="1:8" ht="14.25" thickBot="1">
      <c r="A4178" s="211" t="s">
        <v>520</v>
      </c>
      <c r="B4178" s="216" t="str">
        <f ca="1">_xlfn.CONCAT(B4140,A4178)</f>
        <v>367010D-ak</v>
      </c>
      <c r="C4178" s="34"/>
      <c r="D4178" s="185"/>
      <c r="E4178" s="26"/>
      <c r="F4178" s="36" t="s">
        <v>31</v>
      </c>
      <c r="G4178" s="23">
        <f>SUM(G4175:G4177)</f>
        <v>408329.17252034356</v>
      </c>
    </row>
    <row r="4179" spans="1:8" ht="14.25" thickBot="1">
      <c r="A4179" s="211" t="s">
        <v>521</v>
      </c>
      <c r="B4179" s="216" t="str">
        <f ca="1">_xlfn.CONCAT(B4140,A4179)</f>
        <v>367010D-al</v>
      </c>
      <c r="C4179" s="37"/>
      <c r="E4179" s="38"/>
      <c r="F4179" s="22"/>
      <c r="G4179" s="39"/>
    </row>
    <row r="4180" spans="1:8" ht="16.5" thickBot="1">
      <c r="A4180" s="211" t="s">
        <v>522</v>
      </c>
      <c r="B4180" s="216" t="str">
        <f ca="1">_xlfn.CONCAT(B4140,A4180)</f>
        <v>367010D-am</v>
      </c>
      <c r="C4180" s="40"/>
      <c r="D4180" s="193"/>
      <c r="E4180" s="41"/>
      <c r="F4180" s="42"/>
      <c r="G4180" s="43">
        <f>+G4163+G4172+G4178</f>
        <v>2835336.8279578439</v>
      </c>
    </row>
    <row r="4181" spans="1:8" ht="21.75" thickBot="1">
      <c r="B4181" s="212" t="s">
        <v>550</v>
      </c>
      <c r="C4181" s="2"/>
      <c r="D4181" s="183"/>
      <c r="F4181" s="4"/>
      <c r="G4181" s="5"/>
    </row>
    <row r="4182" spans="1:8" ht="18.75">
      <c r="A4182" s="213"/>
      <c r="B4182" s="214">
        <v>96</v>
      </c>
      <c r="C4182" s="242" t="str">
        <f ca="1">_xlfn.XLOOKUP(B4182,Cantidades!$A$10:$A$314,Cantidades!$C$10:$C$314,,0,1)</f>
        <v>Suministro e instalación de poste de Estrutura CTU510-2 para transformador en H. Incluye postes, vigas, crucetas, cortacircuitos, pararrayos y herrajes.</v>
      </c>
      <c r="D4182" s="243"/>
      <c r="E4182" s="243"/>
      <c r="F4182" s="243"/>
      <c r="G4182" s="244"/>
    </row>
    <row r="4183" spans="1:8" ht="19.5" thickBot="1">
      <c r="A4183" s="215"/>
      <c r="B4183" s="216" t="s">
        <v>550</v>
      </c>
      <c r="C4183" s="177"/>
      <c r="D4183" s="189"/>
      <c r="E4183" s="178"/>
      <c r="F4183" s="179" t="s">
        <v>636</v>
      </c>
      <c r="G4183" s="209" t="str">
        <f ca="1">B4184</f>
        <v>22B31E24-</v>
      </c>
    </row>
    <row r="4184" spans="1:8" ht="15.75" thickBot="1">
      <c r="B4184" s="212" t="str">
        <f ca="1">_xlfn.XLOOKUP(C4182,Cantidades!$C$1:$C$314,Cantidades!$B$1:$B$314,"",0,1)</f>
        <v>22B31E24-</v>
      </c>
      <c r="C4184" s="10" t="s">
        <v>0</v>
      </c>
      <c r="D4184" s="190"/>
      <c r="E4184" s="11"/>
      <c r="F4184" s="12"/>
      <c r="G4184" s="13"/>
    </row>
    <row r="4185" spans="1:8" ht="14.25" thickBot="1">
      <c r="A4185" s="215"/>
      <c r="B4185" s="216" t="s">
        <v>550</v>
      </c>
      <c r="C4185" s="14" t="s">
        <v>1</v>
      </c>
      <c r="D4185" s="15" t="s">
        <v>2</v>
      </c>
      <c r="E4185" s="15" t="s">
        <v>3</v>
      </c>
      <c r="F4185" s="16" t="s">
        <v>4</v>
      </c>
      <c r="G4185" s="15" t="s">
        <v>5</v>
      </c>
    </row>
    <row r="4186" spans="1:8">
      <c r="A4186" s="211" t="s">
        <v>484</v>
      </c>
      <c r="B4186" s="216" t="str">
        <f ca="1">_xlfn.CONCAT(B4184,A4186)</f>
        <v>22B31E24-A</v>
      </c>
      <c r="C4186" s="17" t="str">
        <f>_xlfn.XLOOKUP(H4186,'Materiales unitario'!$A$1:$A$2500,'Materiales unitario'!B$1:B$2500,,0,1)</f>
        <v>Aislador de pin ANSI 55-5  15 KV</v>
      </c>
      <c r="D4186" s="184" t="str">
        <f>_xlfn.XLOOKUP(H4186,'Materiales unitario'!A$1:A$2500,'Materiales unitario'!C$1:C$2500,,0,1)</f>
        <v>un</v>
      </c>
      <c r="E4186" s="197">
        <f>_xlfn.XLOOKUP(H4186,'Materiales unitario'!$A$1:$A$2500,'Materiales unitario'!D$1:D$2500,,0,1)</f>
        <v>31713.5</v>
      </c>
      <c r="F4186" s="19">
        <v>6</v>
      </c>
      <c r="G4186" s="20">
        <f>+E4186*F4186</f>
        <v>190281</v>
      </c>
      <c r="H4186" s="211" t="s">
        <v>224</v>
      </c>
    </row>
    <row r="4187" spans="1:8">
      <c r="A4187" s="211" t="s">
        <v>485</v>
      </c>
      <c r="B4187" s="216" t="str">
        <f ca="1">_xlfn.CONCAT(B4184,A4187)</f>
        <v>22B31E24-B</v>
      </c>
      <c r="C4187" s="17" t="str">
        <f>_xlfn.XLOOKUP(H4187,'Materiales unitario'!$A$1:$A$2500,'Materiales unitario'!B$1:B$2500,,0,1)</f>
        <v>Cinta Band - It  ø3/8"</v>
      </c>
      <c r="D4187" s="184" t="str">
        <f>_xlfn.XLOOKUP(H4187,'Materiales unitario'!A$1:A$2500,'Materiales unitario'!C$1:C$2500,,0,1)</f>
        <v>ml</v>
      </c>
      <c r="E4187" s="197">
        <f>_xlfn.XLOOKUP(H4187,'Materiales unitario'!$A$1:$A$2500,'Materiales unitario'!D$1:D$2500,,0,1)</f>
        <v>2856</v>
      </c>
      <c r="F4187" s="19">
        <v>2</v>
      </c>
      <c r="G4187" s="20">
        <f>+E4187*F4187</f>
        <v>5712</v>
      </c>
      <c r="H4187" s="211" t="s">
        <v>297</v>
      </c>
    </row>
    <row r="4188" spans="1:8">
      <c r="A4188" s="211" t="s">
        <v>486</v>
      </c>
      <c r="B4188" s="216" t="str">
        <f ca="1">_xlfn.CONCAT(B4184,A4188)</f>
        <v>22B31E24-C</v>
      </c>
      <c r="C4188" s="17" t="str">
        <f>_xlfn.XLOOKUP(H4188,'Materiales unitario'!$A$1:$A$2500,'Materiales unitario'!B$1:B$2500,,0,1)</f>
        <v>Hebilla para cinta Band - It ø3/8"</v>
      </c>
      <c r="D4188" s="184" t="str">
        <f>_xlfn.XLOOKUP(H4188,'Materiales unitario'!A$1:A$2500,'Materiales unitario'!C$1:C$2500,,0,1)</f>
        <v>un</v>
      </c>
      <c r="E4188" s="197">
        <f>_xlfn.XLOOKUP(H4188,'Materiales unitario'!$A$1:$A$2500,'Materiales unitario'!D$1:D$2500,,0,1)</f>
        <v>595</v>
      </c>
      <c r="F4188" s="19">
        <v>4</v>
      </c>
      <c r="G4188" s="20">
        <f>+E4188*F4188</f>
        <v>2380</v>
      </c>
      <c r="H4188" s="211" t="s">
        <v>528</v>
      </c>
    </row>
    <row r="4189" spans="1:8">
      <c r="A4189" s="211" t="s">
        <v>487</v>
      </c>
      <c r="B4189" s="216" t="str">
        <f ca="1">_xlfn.CONCAT(B4184,A4189)</f>
        <v>22B31E24-D</v>
      </c>
      <c r="C4189" s="17" t="str">
        <f>_xlfn.XLOOKUP(H4189,'Materiales unitario'!$A$1:$A$2500,'Materiales unitario'!B$1:B$2500,,0,1)</f>
        <v>Pararrayos 12KV-10KA. ZnO</v>
      </c>
      <c r="D4189" s="184" t="str">
        <f>_xlfn.XLOOKUP(H4189,'Materiales unitario'!A$1:A$2500,'Materiales unitario'!C$1:C$2500,,0,1)</f>
        <v>un</v>
      </c>
      <c r="E4189" s="197">
        <f>_xlfn.XLOOKUP(H4189,'Materiales unitario'!$A$1:$A$2500,'Materiales unitario'!D$1:D$2500,,0,1)</f>
        <v>116322.5</v>
      </c>
      <c r="F4189" s="19">
        <v>3</v>
      </c>
      <c r="G4189" s="20">
        <f t="shared" ref="G4189:G4203" si="122">+E4189*F4189</f>
        <v>348967.5</v>
      </c>
      <c r="H4189" s="211" t="s">
        <v>344</v>
      </c>
    </row>
    <row r="4190" spans="1:8">
      <c r="A4190" s="211" t="s">
        <v>488</v>
      </c>
      <c r="B4190" s="216" t="str">
        <f ca="1">_xlfn.CONCAT(B4184,A4190)</f>
        <v>22B31E24-E</v>
      </c>
      <c r="C4190" s="17" t="str">
        <f>_xlfn.XLOOKUP(H4190,'Materiales unitario'!$A$1:$A$2500,'Materiales unitario'!B$1:B$2500,,0,1)</f>
        <v>Conector compresión aluminio 4-4/0</v>
      </c>
      <c r="D4190" s="184" t="str">
        <f>_xlfn.XLOOKUP(H4190,'Materiales unitario'!A$1:A$2500,'Materiales unitario'!C$1:C$2500,,0,1)</f>
        <v>un</v>
      </c>
      <c r="E4190" s="197">
        <f>_xlfn.XLOOKUP(H4190,'Materiales unitario'!$A$1:$A$2500,'Materiales unitario'!D$1:D$2500,,0,1)</f>
        <v>31740</v>
      </c>
      <c r="F4190" s="19">
        <v>6</v>
      </c>
      <c r="G4190" s="20">
        <f t="shared" si="122"/>
        <v>190440</v>
      </c>
      <c r="H4190" s="211" t="s">
        <v>301</v>
      </c>
    </row>
    <row r="4191" spans="1:8">
      <c r="A4191" s="211" t="s">
        <v>489</v>
      </c>
      <c r="B4191" s="216" t="str">
        <f ca="1">_xlfn.CONCAT(B4184,A4191)</f>
        <v>22B31E24-F</v>
      </c>
      <c r="C4191" s="17" t="str">
        <f>_xlfn.XLOOKUP(H4191,'Materiales unitario'!$A$1:$A$2500,'Materiales unitario'!B$1:B$2500,,0,1)</f>
        <v>Servicio de grúa en el sitio</v>
      </c>
      <c r="D4191" s="184" t="str">
        <f>_xlfn.XLOOKUP(H4191,'Materiales unitario'!A$1:A$2500,'Materiales unitario'!C$1:C$2500,,0,1)</f>
        <v>hr</v>
      </c>
      <c r="E4191" s="197">
        <f>_xlfn.XLOOKUP(H4191,'Materiales unitario'!$A$1:$A$2500,'Materiales unitario'!D$1:D$2500,,0,1)</f>
        <v>426720</v>
      </c>
      <c r="F4191" s="19">
        <v>2</v>
      </c>
      <c r="G4191" s="20">
        <f t="shared" si="122"/>
        <v>853440</v>
      </c>
      <c r="H4191" s="211" t="s">
        <v>529</v>
      </c>
    </row>
    <row r="4192" spans="1:8">
      <c r="A4192" s="211" t="s">
        <v>490</v>
      </c>
      <c r="B4192" s="216" t="str">
        <f ca="1">_xlfn.CONCAT(B4184,A4192)</f>
        <v>22B31E24-G</v>
      </c>
      <c r="C4192" s="17" t="str">
        <f>_xlfn.XLOOKUP(H4192,'Materiales unitario'!$A$1:$A$2500,'Materiales unitario'!B$1:B$2500,,0,1)</f>
        <v>Abrazadera una salida tipo 200</v>
      </c>
      <c r="D4192" s="184" t="str">
        <f>_xlfn.XLOOKUP(H4192,'Materiales unitario'!A$1:A$2500,'Materiales unitario'!C$1:C$2500,,0,1)</f>
        <v>un</v>
      </c>
      <c r="E4192" s="197">
        <f>_xlfn.XLOOKUP(H4192,'Materiales unitario'!$A$1:$A$2500,'Materiales unitario'!D$1:D$2500,,0,1)</f>
        <v>25525.5</v>
      </c>
      <c r="F4192" s="19">
        <v>1</v>
      </c>
      <c r="G4192" s="20">
        <f t="shared" si="122"/>
        <v>25525.5</v>
      </c>
      <c r="H4192" s="211" t="s">
        <v>221</v>
      </c>
    </row>
    <row r="4193" spans="1:8">
      <c r="A4193" s="211" t="s">
        <v>491</v>
      </c>
      <c r="B4193" s="216" t="str">
        <f ca="1">_xlfn.CONCAT(B4184,A4193)</f>
        <v>22B31E24-H</v>
      </c>
      <c r="C4193" s="17" t="str">
        <f>_xlfn.XLOOKUP(H4193,'Materiales unitario'!$A$1:$A$2500,'Materiales unitario'!B$1:B$2500,,0,1)</f>
        <v>Abrazadera en U ø5/8" tipo 2</v>
      </c>
      <c r="D4193" s="184" t="str">
        <f>_xlfn.XLOOKUP(H4193,'Materiales unitario'!A$1:A$2500,'Materiales unitario'!C$1:C$2500,,0,1)</f>
        <v>un</v>
      </c>
      <c r="E4193" s="197">
        <f>_xlfn.XLOOKUP(H4193,'Materiales unitario'!$A$1:$A$2500,'Materiales unitario'!D$1:D$2500,,0,1)</f>
        <v>25204.199999999997</v>
      </c>
      <c r="F4193" s="19">
        <v>3</v>
      </c>
      <c r="G4193" s="20">
        <f t="shared" si="122"/>
        <v>75612.599999999991</v>
      </c>
      <c r="H4193" s="211" t="s">
        <v>220</v>
      </c>
    </row>
    <row r="4194" spans="1:8">
      <c r="A4194" s="211" t="s">
        <v>492</v>
      </c>
      <c r="B4194" s="216" t="str">
        <f ca="1">_xlfn.CONCAT(B4184,A4194)</f>
        <v>22B31E24-I</v>
      </c>
      <c r="C4194" s="17" t="str">
        <f>_xlfn.XLOOKUP(H4194,'Materiales unitario'!$A$1:$A$2500,'Materiales unitario'!B$1:B$2500,,0,1)</f>
        <v>DIAGONAL EN VARILLA DE 5/8" X 0,77 MTS. NO. 1 E.E.B.</v>
      </c>
      <c r="D4194" s="184" t="str">
        <f>_xlfn.XLOOKUP(H4194,'Materiales unitario'!A$1:A$2500,'Materiales unitario'!C$1:C$2500,,0,1)</f>
        <v>un</v>
      </c>
      <c r="E4194" s="197">
        <f>_xlfn.XLOOKUP(H4194,'Materiales unitario'!$A$1:$A$2500,'Materiales unitario'!D$1:D$2500,,0,1)</f>
        <v>17552.5</v>
      </c>
      <c r="F4194" s="19">
        <v>5</v>
      </c>
      <c r="G4194" s="20">
        <f t="shared" si="122"/>
        <v>87762.5</v>
      </c>
      <c r="H4194" s="211" t="s">
        <v>313</v>
      </c>
    </row>
    <row r="4195" spans="1:8">
      <c r="A4195" s="211" t="s">
        <v>493</v>
      </c>
      <c r="B4195" s="216" t="str">
        <f ca="1">_xlfn.CONCAT(B4184,A4195)</f>
        <v>22B31E24-J</v>
      </c>
      <c r="C4195" s="17" t="str">
        <f>_xlfn.XLOOKUP(H4195,'Materiales unitario'!$A$1:$A$2500,'Materiales unitario'!B$1:B$2500,,0,1)</f>
        <v>Conector Terminal de Compresión tipo vastago, tipo 4</v>
      </c>
      <c r="D4195" s="184" t="str">
        <f>_xlfn.XLOOKUP(H4195,'Materiales unitario'!A$1:A$2500,'Materiales unitario'!C$1:C$2500,,0,1)</f>
        <v>un</v>
      </c>
      <c r="E4195" s="197">
        <f>_xlfn.XLOOKUP(H4195,'Materiales unitario'!$A$1:$A$2500,'Materiales unitario'!D$1:D$2500,,0,1)</f>
        <v>11305</v>
      </c>
      <c r="F4195" s="19">
        <v>6</v>
      </c>
      <c r="G4195" s="20">
        <f t="shared" si="122"/>
        <v>67830</v>
      </c>
      <c r="H4195" s="211" t="s">
        <v>304</v>
      </c>
    </row>
    <row r="4196" spans="1:8">
      <c r="A4196" s="211" t="s">
        <v>494</v>
      </c>
      <c r="B4196" s="216" t="str">
        <f ca="1">_xlfn.CONCAT(B4184,A4196)</f>
        <v>22B31E24-K</v>
      </c>
      <c r="C4196" s="17" t="str">
        <f>_xlfn.XLOOKUP(H4196,'Materiales unitario'!$A$1:$A$2500,'Materiales unitario'!B$1:B$2500,,0,1)</f>
        <v>ESPARRAGO DE 5/8" X 6" - 4 T</v>
      </c>
      <c r="D4196" s="184" t="str">
        <f>_xlfn.XLOOKUP(H4196,'Materiales unitario'!A$1:A$2500,'Materiales unitario'!C$1:C$2500,,0,1)</f>
        <v>un</v>
      </c>
      <c r="E4196" s="197">
        <f>_xlfn.XLOOKUP(H4196,'Materiales unitario'!$A$1:$A$2500,'Materiales unitario'!D$1:D$2500,,0,1)</f>
        <v>5057.5</v>
      </c>
      <c r="F4196" s="19">
        <v>4</v>
      </c>
      <c r="G4196" s="20">
        <f t="shared" si="122"/>
        <v>20230</v>
      </c>
      <c r="H4196" s="211" t="s">
        <v>320</v>
      </c>
    </row>
    <row r="4197" spans="1:8">
      <c r="A4197" s="211" t="s">
        <v>495</v>
      </c>
      <c r="B4197" s="216" t="str">
        <f ca="1">_xlfn.CONCAT(B4184,A4197)</f>
        <v>22B31E24-L</v>
      </c>
      <c r="C4197" s="17" t="str">
        <f>_xlfn.XLOOKUP(H4197,'Materiales unitario'!$A$1:$A$2500,'Materiales unitario'!B$1:B$2500,,0,1)</f>
        <v xml:space="preserve">ESPARRAGO DE 5/8" X 8" - 4T, </v>
      </c>
      <c r="D4197" s="184" t="str">
        <f>_xlfn.XLOOKUP(H4197,'Materiales unitario'!A$1:A$2500,'Materiales unitario'!C$1:C$2500,,0,1)</f>
        <v>un</v>
      </c>
      <c r="E4197" s="197">
        <f>_xlfn.XLOOKUP(H4197,'Materiales unitario'!$A$1:$A$2500,'Materiales unitario'!D$1:D$2500,,0,1)</f>
        <v>6069</v>
      </c>
      <c r="F4197" s="19">
        <v>4</v>
      </c>
      <c r="G4197" s="20">
        <f t="shared" si="122"/>
        <v>24276</v>
      </c>
      <c r="H4197" s="211" t="s">
        <v>321</v>
      </c>
    </row>
    <row r="4198" spans="1:8">
      <c r="A4198" s="211" t="s">
        <v>496</v>
      </c>
      <c r="B4198" s="216" t="str">
        <f ca="1">_xlfn.CONCAT(B4184,A4198)</f>
        <v>22B31E24-M</v>
      </c>
      <c r="C4198" s="17" t="str">
        <f>_xlfn.XLOOKUP(H4198,'Materiales unitario'!$A$1:$A$2500,'Materiales unitario'!B$1:B$2500,,0,1)</f>
        <v>CRUCETA DE 2-1/2" X 1/4" X 2,50 MTS</v>
      </c>
      <c r="D4198" s="184" t="str">
        <f>_xlfn.XLOOKUP(H4198,'Materiales unitario'!A$1:A$2500,'Materiales unitario'!C$1:C$2500,,0,1)</f>
        <v>un</v>
      </c>
      <c r="E4198" s="197">
        <f>_xlfn.XLOOKUP(H4198,'Materiales unitario'!$A$1:$A$2500,'Materiales unitario'!D$1:D$2500,,0,1)</f>
        <v>189507.5</v>
      </c>
      <c r="F4198" s="19">
        <v>3</v>
      </c>
      <c r="G4198" s="20">
        <f t="shared" si="122"/>
        <v>568522.5</v>
      </c>
      <c r="H4198" s="211" t="s">
        <v>309</v>
      </c>
    </row>
    <row r="4199" spans="1:8">
      <c r="A4199" s="211" t="s">
        <v>497</v>
      </c>
      <c r="B4199" s="216" t="str">
        <f ca="1">_xlfn.CONCAT(B4184,A4199)</f>
        <v>22B31E24-N</v>
      </c>
      <c r="C4199" s="17" t="str">
        <f>_xlfn.XLOOKUP(H4199,'Materiales unitario'!$A$1:$A$2500,'Materiales unitario'!B$1:B$2500,,0,1)</f>
        <v>Cortacircuito tipo expulsión 15KV -20KA 100Amps</v>
      </c>
      <c r="D4199" s="184" t="str">
        <f>_xlfn.XLOOKUP(H4199,'Materiales unitario'!A$1:A$2500,'Materiales unitario'!C$1:C$2500,,0,1)</f>
        <v>un</v>
      </c>
      <c r="E4199" s="197">
        <f>_xlfn.XLOOKUP(H4199,'Materiales unitario'!$A$1:$A$2500,'Materiales unitario'!D$1:D$2500,,0,1)</f>
        <v>200039</v>
      </c>
      <c r="F4199" s="19">
        <v>3</v>
      </c>
      <c r="G4199" s="20">
        <f t="shared" si="122"/>
        <v>600117</v>
      </c>
      <c r="H4199" s="211" t="s">
        <v>308</v>
      </c>
    </row>
    <row r="4200" spans="1:8">
      <c r="A4200" s="211" t="s">
        <v>498</v>
      </c>
      <c r="B4200" s="216" t="str">
        <f ca="1">_xlfn.CONCAT(B4184,A4200)</f>
        <v>22B31E24-O</v>
      </c>
      <c r="C4200" s="17" t="str">
        <f>_xlfn.XLOOKUP(H4200,'Materiales unitario'!$A$1:$A$2500,'Materiales unitario'!B$1:B$2500,,0,1)</f>
        <v>Poste de concreto 12 mts 750 Kgf</v>
      </c>
      <c r="D4200" s="184" t="str">
        <f>_xlfn.XLOOKUP(H4200,'Materiales unitario'!A$1:A$2500,'Materiales unitario'!C$1:C$2500,,0,1)</f>
        <v>un</v>
      </c>
      <c r="E4200" s="197">
        <f>_xlfn.XLOOKUP(H4200,'Materiales unitario'!$A$1:$A$2500,'Materiales unitario'!D$1:D$2500,,0,1)</f>
        <v>1130083.5</v>
      </c>
      <c r="F4200" s="19">
        <v>2</v>
      </c>
      <c r="G4200" s="20">
        <f t="shared" si="122"/>
        <v>2260167</v>
      </c>
      <c r="H4200" s="211" t="s">
        <v>349</v>
      </c>
    </row>
    <row r="4201" spans="1:8">
      <c r="A4201" s="211" t="s">
        <v>499</v>
      </c>
      <c r="B4201" s="216" t="str">
        <f ca="1">_xlfn.CONCAT(B4184,A4201)</f>
        <v>22B31E24-P</v>
      </c>
      <c r="C4201" s="17" t="str">
        <f>_xlfn.XLOOKUP(H4201,'Materiales unitario'!$A$1:$A$2500,'Materiales unitario'!B$1:B$2500,,0,1)</f>
        <v>Transporte al sitio de la obra</v>
      </c>
      <c r="D4201" s="184" t="str">
        <f>_xlfn.XLOOKUP(H4201,'Materiales unitario'!A$1:A$2500,'Materiales unitario'!C$1:C$2500,,0,1)</f>
        <v>un</v>
      </c>
      <c r="E4201" s="197">
        <f>_xlfn.XLOOKUP(H4201,'Materiales unitario'!$A$1:$A$2500,'Materiales unitario'!D$1:D$2500,,0,1)</f>
        <v>172200</v>
      </c>
      <c r="F4201" s="19">
        <v>0.6</v>
      </c>
      <c r="G4201" s="20">
        <f t="shared" si="122"/>
        <v>103320</v>
      </c>
      <c r="H4201" s="211" t="s">
        <v>384</v>
      </c>
    </row>
    <row r="4202" spans="1:8">
      <c r="A4202" s="211" t="s">
        <v>500</v>
      </c>
      <c r="B4202" s="216" t="str">
        <f ca="1">_xlfn.CONCAT(B4184,A4202)</f>
        <v>22B31E24-Q</v>
      </c>
      <c r="C4202" s="17" t="str">
        <f>_xlfn.XLOOKUP(H4202,'Materiales unitario'!$A$1:$A$2500,'Materiales unitario'!B$1:B$2500,,0,1)</f>
        <v>Caja de borneras para acometida BT. ET-925 hermética</v>
      </c>
      <c r="D4202" s="184" t="str">
        <f>_xlfn.XLOOKUP(H4202,'Materiales unitario'!A$1:A$2500,'Materiales unitario'!C$1:C$2500,,0,1)</f>
        <v>un</v>
      </c>
      <c r="E4202" s="197">
        <f>_xlfn.XLOOKUP(H4202,'Materiales unitario'!$A$1:$A$2500,'Materiales unitario'!D$1:D$2500,,0,1)</f>
        <v>449106</v>
      </c>
      <c r="F4202" s="19">
        <v>1</v>
      </c>
      <c r="G4202" s="20">
        <f t="shared" si="122"/>
        <v>449106</v>
      </c>
      <c r="H4202" s="211" t="s">
        <v>279</v>
      </c>
    </row>
    <row r="4203" spans="1:8">
      <c r="A4203" s="211" t="s">
        <v>501</v>
      </c>
      <c r="B4203" s="216" t="str">
        <f ca="1">_xlfn.CONCAT(B4184,A4203)</f>
        <v>22B31E24-R</v>
      </c>
      <c r="C4203" s="17" t="str">
        <f>_xlfn.XLOOKUP(H4203,'Materiales unitario'!$A$1:$A$2500,'Materiales unitario'!B$1:B$2500,,0,1)</f>
        <v>Lum 70-150W con fotocelda + soporte + brazo 1,5m</v>
      </c>
      <c r="D4203" s="184" t="str">
        <f>_xlfn.XLOOKUP(H4203,'Materiales unitario'!A$1:A$2500,'Materiales unitario'!C$1:C$2500,,0,1)</f>
        <v>gb</v>
      </c>
      <c r="E4203" s="197">
        <f>_xlfn.XLOOKUP(H4203,'Materiales unitario'!$A$1:$A$2500,'Materiales unitario'!D$1:D$2500,,0,1)</f>
        <v>364700</v>
      </c>
      <c r="F4203" s="19">
        <v>1</v>
      </c>
      <c r="G4203" s="20">
        <f t="shared" si="122"/>
        <v>364700</v>
      </c>
      <c r="H4203" s="211" t="s">
        <v>1102</v>
      </c>
    </row>
    <row r="4204" spans="1:8">
      <c r="A4204" s="211" t="s">
        <v>502</v>
      </c>
      <c r="B4204" s="216" t="str">
        <f ca="1">_xlfn.CONCAT(B4184,A4204)</f>
        <v>22B31E24-S</v>
      </c>
      <c r="C4204" s="17"/>
      <c r="D4204" s="184"/>
      <c r="E4204" s="197"/>
      <c r="F4204" s="19"/>
      <c r="G4204" s="20"/>
    </row>
    <row r="4205" spans="1:8">
      <c r="A4205" s="211" t="s">
        <v>503</v>
      </c>
      <c r="B4205" s="216" t="str">
        <f ca="1">_xlfn.CONCAT(B4184,A4205)</f>
        <v>22B31E24-T</v>
      </c>
      <c r="C4205" s="17"/>
      <c r="D4205" s="184"/>
      <c r="E4205" s="197"/>
      <c r="F4205" s="19"/>
      <c r="G4205" s="20"/>
    </row>
    <row r="4206" spans="1:8" ht="14.25" thickBot="1">
      <c r="A4206" s="211" t="s">
        <v>504</v>
      </c>
      <c r="B4206" s="216" t="str">
        <f ca="1">_xlfn.CONCAT(B4184,A4206)</f>
        <v>22B31E24-U</v>
      </c>
      <c r="C4206" s="17"/>
      <c r="D4206" s="184"/>
      <c r="E4206" s="197"/>
      <c r="F4206" s="19"/>
      <c r="G4206" s="20"/>
    </row>
    <row r="4207" spans="1:8" ht="14.25" thickBot="1">
      <c r="A4207" s="211" t="s">
        <v>505</v>
      </c>
      <c r="B4207" s="216" t="str">
        <f ca="1">_xlfn.CONCAT(B4184,A4207)</f>
        <v>22B31E24-V</v>
      </c>
      <c r="C4207" s="17" t="s">
        <v>17</v>
      </c>
      <c r="D4207" s="192" t="s">
        <v>17</v>
      </c>
      <c r="E4207" s="18"/>
      <c r="F4207" s="22" t="s">
        <v>18</v>
      </c>
      <c r="G4207" s="23">
        <f>SUM(G4186:G4206)</f>
        <v>6238389.5999999996</v>
      </c>
    </row>
    <row r="4208" spans="1:8" ht="15.75" thickBot="1">
      <c r="A4208" s="211" t="s">
        <v>506</v>
      </c>
      <c r="B4208" s="216" t="str">
        <f ca="1">_xlfn.CONCAT(B4184,A4208)</f>
        <v>22B31E24-W</v>
      </c>
      <c r="C4208" s="10" t="s">
        <v>19</v>
      </c>
      <c r="D4208" s="190"/>
      <c r="E4208" s="11"/>
      <c r="F4208" s="12"/>
      <c r="G4208" s="13"/>
    </row>
    <row r="4209" spans="1:8" ht="14.25" thickBot="1">
      <c r="A4209" s="211" t="s">
        <v>507</v>
      </c>
      <c r="B4209" s="216" t="str">
        <f ca="1">_xlfn.CONCAT(B4184,A4209)</f>
        <v>22B31E24-X</v>
      </c>
      <c r="C4209" s="14" t="s">
        <v>1</v>
      </c>
      <c r="D4209" s="15"/>
      <c r="E4209" s="15" t="s">
        <v>20</v>
      </c>
      <c r="F4209" s="16" t="s">
        <v>21</v>
      </c>
      <c r="G4209" s="15" t="s">
        <v>5</v>
      </c>
      <c r="H4209" s="215"/>
    </row>
    <row r="4210" spans="1:8">
      <c r="A4210" s="211" t="s">
        <v>508</v>
      </c>
      <c r="B4210" s="216" t="str">
        <f ca="1">_xlfn.CONCAT(B4184,A4210)</f>
        <v>22B31E24-Y</v>
      </c>
      <c r="C4210" s="24" t="s">
        <v>22</v>
      </c>
      <c r="D4210" s="184"/>
      <c r="E4210" s="25">
        <f>_xlfn.XLOOKUP(C4210,'H-MO'!B$7:B$30,'H-MO'!D$7:D$30,,0,1)</f>
        <v>2436.5624999999995</v>
      </c>
      <c r="F4210" s="19">
        <v>18</v>
      </c>
      <c r="G4210" s="33">
        <f t="shared" ref="G4210:G4215" si="123">+E4210*F4210</f>
        <v>43858.124999999993</v>
      </c>
    </row>
    <row r="4211" spans="1:8">
      <c r="A4211" s="211" t="s">
        <v>509</v>
      </c>
      <c r="B4211" s="216" t="str">
        <f ca="1">_xlfn.CONCAT(B4184,A4211)</f>
        <v>22B31E24-Z</v>
      </c>
      <c r="C4211" s="24" t="s">
        <v>23</v>
      </c>
      <c r="D4211" s="184"/>
      <c r="E4211" s="25">
        <f>_xlfn.XLOOKUP(C4211,'H-MO'!B$7:B$30,'H-MO'!D$7:D$30,,0,1)</f>
        <v>1461.9374999999998</v>
      </c>
      <c r="F4211" s="19">
        <v>2</v>
      </c>
      <c r="G4211" s="33">
        <f t="shared" si="123"/>
        <v>2923.8749999999995</v>
      </c>
    </row>
    <row r="4212" spans="1:8">
      <c r="A4212" s="211" t="s">
        <v>510</v>
      </c>
      <c r="B4212" s="216" t="str">
        <f ca="1">_xlfn.CONCAT(B4184,A4212)</f>
        <v>22B31E24-aa</v>
      </c>
      <c r="C4212" s="24" t="s">
        <v>24</v>
      </c>
      <c r="D4212" s="185"/>
      <c r="E4212" s="25">
        <f>_xlfn.XLOOKUP(C4212,'H-MO'!B$7:B$30,'H-MO'!D$7:D$30,,0,1)</f>
        <v>29238.749999999996</v>
      </c>
      <c r="F4212" s="28">
        <v>5</v>
      </c>
      <c r="G4212" s="33">
        <f t="shared" si="123"/>
        <v>146193.74999999997</v>
      </c>
    </row>
    <row r="4213" spans="1:8">
      <c r="A4213" s="211" t="s">
        <v>511</v>
      </c>
      <c r="B4213" s="216" t="str">
        <f ca="1">_xlfn.CONCAT(B4184,A4213)</f>
        <v>22B31E24-ab</v>
      </c>
      <c r="C4213" s="24" t="s">
        <v>25</v>
      </c>
      <c r="D4213" s="185"/>
      <c r="E4213" s="25">
        <f>_xlfn.XLOOKUP(C4213,'H-MO'!B$7:B$30,'H-MO'!D$7:D$30,,0,1)</f>
        <v>2761.4374999999995</v>
      </c>
      <c r="F4213" s="28">
        <v>5</v>
      </c>
      <c r="G4213" s="33">
        <f t="shared" si="123"/>
        <v>13807.187499999998</v>
      </c>
    </row>
    <row r="4214" spans="1:8">
      <c r="A4214" s="211" t="s">
        <v>512</v>
      </c>
      <c r="B4214" s="216" t="str">
        <f ca="1">_xlfn.CONCAT(B4184,A4214)</f>
        <v>22B31E24-ac</v>
      </c>
      <c r="C4214" s="24"/>
      <c r="D4214" s="185"/>
      <c r="E4214" s="29"/>
      <c r="F4214" s="28"/>
      <c r="G4214" s="33">
        <f t="shared" si="123"/>
        <v>0</v>
      </c>
    </row>
    <row r="4215" spans="1:8" ht="14.25" thickBot="1">
      <c r="A4215" s="211" t="s">
        <v>513</v>
      </c>
      <c r="B4215" s="216" t="str">
        <f ca="1">_xlfn.CONCAT(B4184,A4215)</f>
        <v>22B31E24-ad</v>
      </c>
      <c r="C4215" s="24"/>
      <c r="D4215" s="185"/>
      <c r="E4215" s="29"/>
      <c r="F4215" s="28"/>
      <c r="G4215" s="33">
        <f t="shared" si="123"/>
        <v>0</v>
      </c>
    </row>
    <row r="4216" spans="1:8" ht="14.25" thickBot="1">
      <c r="A4216" s="211" t="s">
        <v>514</v>
      </c>
      <c r="B4216" s="216" t="str">
        <f ca="1">_xlfn.CONCAT(B4184,A4216)</f>
        <v>22B31E24-ae</v>
      </c>
      <c r="C4216" s="17"/>
      <c r="D4216" s="192"/>
      <c r="E4216" s="18"/>
      <c r="F4216" s="22" t="s">
        <v>26</v>
      </c>
      <c r="G4216" s="23">
        <f>SUM(G4210:G4215)</f>
        <v>206782.93749999997</v>
      </c>
    </row>
    <row r="4217" spans="1:8" ht="15.75" thickBot="1">
      <c r="A4217" s="211" t="s">
        <v>515</v>
      </c>
      <c r="B4217" s="216" t="str">
        <f ca="1">_xlfn.CONCAT(B4184,A4217)</f>
        <v>22B31E24-af</v>
      </c>
      <c r="C4217" s="10" t="s">
        <v>27</v>
      </c>
      <c r="D4217" s="190"/>
      <c r="E4217" s="11"/>
      <c r="F4217" s="12"/>
      <c r="G4217" s="13"/>
    </row>
    <row r="4218" spans="1:8" ht="14.25" thickBot="1">
      <c r="A4218" s="211" t="s">
        <v>516</v>
      </c>
      <c r="B4218" s="216" t="str">
        <f ca="1">_xlfn.CONCAT(B4184,A4218)</f>
        <v>22B31E24-ag</v>
      </c>
      <c r="C4218" s="14" t="s">
        <v>1</v>
      </c>
      <c r="D4218" s="15" t="s">
        <v>28</v>
      </c>
      <c r="E4218" s="15" t="s">
        <v>20</v>
      </c>
      <c r="F4218" s="16" t="s">
        <v>21</v>
      </c>
      <c r="G4218" s="15" t="s">
        <v>5</v>
      </c>
      <c r="H4218" s="215"/>
    </row>
    <row r="4219" spans="1:8">
      <c r="A4219" s="211" t="s">
        <v>517</v>
      </c>
      <c r="B4219" s="216" t="str">
        <f ca="1">_xlfn.CONCAT(B4184,A4219)</f>
        <v>22B31E24-ah</v>
      </c>
      <c r="C4219" s="30" t="s">
        <v>29</v>
      </c>
      <c r="D4219" s="186">
        <f>'H-MO'!$N$77</f>
        <v>725918.52892505517</v>
      </c>
      <c r="E4219" s="31">
        <f>+D4219/8</f>
        <v>90739.816115631897</v>
      </c>
      <c r="F4219" s="32">
        <v>25</v>
      </c>
      <c r="G4219" s="33">
        <f>+E4219*F4219</f>
        <v>2268495.4028907972</v>
      </c>
    </row>
    <row r="4220" spans="1:8">
      <c r="A4220" s="211" t="s">
        <v>518</v>
      </c>
      <c r="B4220" s="216" t="str">
        <f ca="1">_xlfn.CONCAT(B4184,A4220)</f>
        <v>22B31E24-ai</v>
      </c>
      <c r="C4220" s="34" t="s">
        <v>30</v>
      </c>
      <c r="D4220" s="187">
        <f>'H-MO'!$N$86</f>
        <v>685561.39085756091</v>
      </c>
      <c r="E4220" s="29">
        <f>+D4220/8</f>
        <v>85695.173857195114</v>
      </c>
      <c r="F4220" s="28">
        <v>0</v>
      </c>
      <c r="G4220" s="33">
        <f>+E4220*F4220</f>
        <v>0</v>
      </c>
    </row>
    <row r="4221" spans="1:8" ht="14.25" thickBot="1">
      <c r="A4221" s="211" t="s">
        <v>519</v>
      </c>
      <c r="B4221" s="216" t="str">
        <f ca="1">_xlfn.CONCAT(B4184,A4221)</f>
        <v>22B31E24-aj</v>
      </c>
      <c r="C4221" s="34"/>
      <c r="D4221" s="187"/>
      <c r="E4221" s="29"/>
      <c r="F4221" s="28"/>
      <c r="G4221" s="33">
        <f>+E4221*F4221</f>
        <v>0</v>
      </c>
    </row>
    <row r="4222" spans="1:8" ht="14.25" thickBot="1">
      <c r="A4222" s="211" t="s">
        <v>520</v>
      </c>
      <c r="B4222" s="216" t="str">
        <f ca="1">_xlfn.CONCAT(B4184,A4222)</f>
        <v>22B31E24-ak</v>
      </c>
      <c r="C4222" s="34"/>
      <c r="D4222" s="185"/>
      <c r="E4222" s="26"/>
      <c r="F4222" s="36" t="s">
        <v>31</v>
      </c>
      <c r="G4222" s="23">
        <f>SUM(G4219:G4221)</f>
        <v>2268495.4028907972</v>
      </c>
    </row>
    <row r="4223" spans="1:8" ht="14.25" thickBot="1">
      <c r="A4223" s="211" t="s">
        <v>521</v>
      </c>
      <c r="B4223" s="216" t="str">
        <f ca="1">_xlfn.CONCAT(B4184,A4223)</f>
        <v>22B31E24-al</v>
      </c>
      <c r="C4223" s="37"/>
      <c r="E4223" s="38"/>
      <c r="F4223" s="22"/>
      <c r="G4223" s="39"/>
    </row>
    <row r="4224" spans="1:8" ht="16.5" thickBot="1">
      <c r="A4224" s="211" t="s">
        <v>522</v>
      </c>
      <c r="B4224" s="216" t="str">
        <f ca="1">_xlfn.CONCAT(B4184,A4224)</f>
        <v>22B31E24-am</v>
      </c>
      <c r="C4224" s="40"/>
      <c r="D4224" s="193"/>
      <c r="E4224" s="41"/>
      <c r="F4224" s="42"/>
      <c r="G4224" s="43">
        <f>+G4207+G4216+G4222</f>
        <v>8713667.9403907973</v>
      </c>
    </row>
    <row r="4225" spans="1:8" ht="21.75" thickBot="1">
      <c r="B4225" s="212" t="s">
        <v>550</v>
      </c>
      <c r="C4225" s="2"/>
      <c r="D4225" s="183"/>
      <c r="F4225" s="4"/>
      <c r="G4225" s="5"/>
    </row>
    <row r="4226" spans="1:8" ht="18.75">
      <c r="A4226" s="213"/>
      <c r="B4226" s="214">
        <v>97</v>
      </c>
      <c r="C4226" s="242" t="str">
        <f ca="1">_xlfn.XLOOKUP(B4226,Cantidades!$A$10:$A$314,Cantidades!$C$10:$C$314,,0,1)</f>
        <v>Suministro e instalación de interruptor automático 2x20A 2x30A enchufable</v>
      </c>
      <c r="D4226" s="243"/>
      <c r="E4226" s="243"/>
      <c r="F4226" s="243"/>
      <c r="G4226" s="244"/>
      <c r="H4226" s="213"/>
    </row>
    <row r="4227" spans="1:8" ht="19.5" thickBot="1">
      <c r="A4227" s="215"/>
      <c r="B4227" s="216" t="s">
        <v>550</v>
      </c>
      <c r="C4227" s="177"/>
      <c r="D4227" s="189"/>
      <c r="E4227" s="178"/>
      <c r="F4227" s="179" t="s">
        <v>636</v>
      </c>
      <c r="G4227" s="209" t="str">
        <f ca="1">B4228</f>
        <v>38EC7547-</v>
      </c>
      <c r="H4227" s="215"/>
    </row>
    <row r="4228" spans="1:8" ht="15.75" thickBot="1">
      <c r="B4228" s="212" t="str">
        <f ca="1">_xlfn.XLOOKUP(C4226,Cantidades!$C$1:$C$314,Cantidades!$B$1:$B$314,"",0,1)</f>
        <v>38EC7547-</v>
      </c>
      <c r="C4228" s="10" t="s">
        <v>0</v>
      </c>
      <c r="D4228" s="190"/>
      <c r="E4228" s="11"/>
      <c r="F4228" s="12"/>
      <c r="G4228" s="13"/>
    </row>
    <row r="4229" spans="1:8" ht="14.25" thickBot="1">
      <c r="A4229" s="215"/>
      <c r="B4229" s="216" t="s">
        <v>550</v>
      </c>
      <c r="C4229" s="14" t="s">
        <v>1</v>
      </c>
      <c r="D4229" s="15" t="s">
        <v>2</v>
      </c>
      <c r="E4229" s="15" t="s">
        <v>3</v>
      </c>
      <c r="F4229" s="16" t="s">
        <v>4</v>
      </c>
      <c r="G4229" s="15" t="s">
        <v>5</v>
      </c>
      <c r="H4229" s="215"/>
    </row>
    <row r="4230" spans="1:8" ht="15">
      <c r="A4230" s="211" t="s">
        <v>484</v>
      </c>
      <c r="B4230" s="216" t="str">
        <f ca="1">_xlfn.CONCAT(B4228,A4230)</f>
        <v>38EC7547-A</v>
      </c>
      <c r="C4230" s="17" t="str">
        <f>_xlfn.XLOOKUP(H4230,'Materiales unitario'!$A$1:$A$2500,'Materiales unitario'!B$1:B$2500,,0,1)</f>
        <v xml:space="preserve">Automático enchufable.  Safic DSE 2x15 -30A. 10KA </v>
      </c>
      <c r="D4230" s="184" t="str">
        <f>_xlfn.XLOOKUP(H4230,'Materiales unitario'!A$1:A$2500,'Materiales unitario'!C$1:C$2500,,0,1)</f>
        <v>un</v>
      </c>
      <c r="E4230" s="197">
        <f>_xlfn.XLOOKUP(H4230,'Materiales unitario'!$A$1:$A$2500,'Materiales unitario'!D$1:D$2500,,0,1)</f>
        <v>55335</v>
      </c>
      <c r="F4230" s="19">
        <v>1</v>
      </c>
      <c r="G4230" s="20">
        <f>+E4230*F4230</f>
        <v>55335</v>
      </c>
      <c r="H4230" s="217" t="s">
        <v>234</v>
      </c>
    </row>
    <row r="4231" spans="1:8" ht="15">
      <c r="A4231" s="211" t="s">
        <v>485</v>
      </c>
      <c r="B4231" s="216" t="str">
        <f ca="1">_xlfn.CONCAT(B4228,A4231)</f>
        <v>38EC7547-B</v>
      </c>
      <c r="C4231" s="17"/>
      <c r="D4231" s="184"/>
      <c r="E4231" s="197"/>
      <c r="F4231" s="19"/>
      <c r="G4231" s="20"/>
      <c r="H4231" s="217"/>
    </row>
    <row r="4232" spans="1:8">
      <c r="A4232" s="211" t="s">
        <v>486</v>
      </c>
      <c r="B4232" s="216" t="str">
        <f ca="1">_xlfn.CONCAT(B4228,A4232)</f>
        <v>38EC7547-C</v>
      </c>
      <c r="C4232" s="17"/>
      <c r="D4232" s="184"/>
      <c r="E4232" s="197"/>
      <c r="F4232" s="19"/>
      <c r="G4232" s="20"/>
    </row>
    <row r="4233" spans="1:8">
      <c r="A4233" s="211" t="s">
        <v>487</v>
      </c>
      <c r="B4233" s="216" t="str">
        <f ca="1">_xlfn.CONCAT(B4228,A4233)</f>
        <v>38EC7547-D</v>
      </c>
      <c r="C4233" s="17"/>
      <c r="D4233" s="184"/>
      <c r="E4233" s="197"/>
      <c r="F4233" s="19"/>
      <c r="G4233" s="20"/>
    </row>
    <row r="4234" spans="1:8">
      <c r="A4234" s="211" t="s">
        <v>488</v>
      </c>
      <c r="B4234" s="216" t="str">
        <f ca="1">_xlfn.CONCAT(B4228,A4234)</f>
        <v>38EC7547-E</v>
      </c>
      <c r="C4234" s="17"/>
      <c r="D4234" s="184"/>
      <c r="E4234" s="197"/>
      <c r="F4234" s="19"/>
      <c r="G4234" s="20"/>
    </row>
    <row r="4235" spans="1:8">
      <c r="A4235" s="211" t="s">
        <v>489</v>
      </c>
      <c r="B4235" s="216" t="str">
        <f ca="1">_xlfn.CONCAT(B4228,A4235)</f>
        <v>38EC7547-F</v>
      </c>
      <c r="C4235" s="17"/>
      <c r="D4235" s="184"/>
      <c r="E4235" s="197"/>
      <c r="F4235" s="19"/>
      <c r="G4235" s="20"/>
    </row>
    <row r="4236" spans="1:8">
      <c r="A4236" s="211" t="s">
        <v>490</v>
      </c>
      <c r="B4236" s="216" t="str">
        <f ca="1">_xlfn.CONCAT(B4228,A4236)</f>
        <v>38EC7547-G</v>
      </c>
      <c r="C4236" s="17"/>
      <c r="D4236" s="184"/>
      <c r="E4236" s="197"/>
      <c r="F4236" s="19"/>
      <c r="G4236" s="20"/>
    </row>
    <row r="4237" spans="1:8">
      <c r="A4237" s="211" t="s">
        <v>491</v>
      </c>
      <c r="B4237" s="216" t="str">
        <f ca="1">_xlfn.CONCAT(B4228,A4237)</f>
        <v>38EC7547-H</v>
      </c>
      <c r="C4237" s="17"/>
      <c r="D4237" s="184"/>
      <c r="E4237" s="197"/>
      <c r="F4237" s="19"/>
      <c r="G4237" s="20"/>
    </row>
    <row r="4238" spans="1:8">
      <c r="A4238" s="211" t="s">
        <v>492</v>
      </c>
      <c r="B4238" s="216" t="str">
        <f ca="1">_xlfn.CONCAT(B4228,A4238)</f>
        <v>38EC7547-I</v>
      </c>
      <c r="C4238" s="17"/>
      <c r="D4238" s="184"/>
      <c r="E4238" s="197"/>
      <c r="F4238" s="19"/>
      <c r="G4238" s="20"/>
    </row>
    <row r="4239" spans="1:8">
      <c r="A4239" s="211" t="s">
        <v>493</v>
      </c>
      <c r="B4239" s="216" t="str">
        <f ca="1">_xlfn.CONCAT(B4228,A4239)</f>
        <v>38EC7547-J</v>
      </c>
      <c r="C4239" s="17"/>
      <c r="D4239" s="184"/>
      <c r="E4239" s="197"/>
      <c r="F4239" s="19"/>
      <c r="G4239" s="20"/>
    </row>
    <row r="4240" spans="1:8">
      <c r="A4240" s="211" t="s">
        <v>494</v>
      </c>
      <c r="B4240" s="216" t="str">
        <f ca="1">_xlfn.CONCAT(B4228,A4240)</f>
        <v>38EC7547-K</v>
      </c>
      <c r="C4240" s="17"/>
      <c r="D4240" s="184"/>
      <c r="E4240" s="197"/>
      <c r="F4240" s="19"/>
      <c r="G4240" s="20"/>
    </row>
    <row r="4241" spans="1:8">
      <c r="A4241" s="211" t="s">
        <v>495</v>
      </c>
      <c r="B4241" s="216" t="str">
        <f ca="1">_xlfn.CONCAT(B4228,A4241)</f>
        <v>38EC7547-L</v>
      </c>
      <c r="C4241" s="17"/>
      <c r="D4241" s="184"/>
      <c r="E4241" s="197"/>
      <c r="F4241" s="19"/>
      <c r="G4241" s="20"/>
    </row>
    <row r="4242" spans="1:8">
      <c r="A4242" s="211" t="s">
        <v>496</v>
      </c>
      <c r="B4242" s="216" t="str">
        <f ca="1">_xlfn.CONCAT(B4228,A4242)</f>
        <v>38EC7547-M</v>
      </c>
      <c r="C4242" s="17"/>
      <c r="D4242" s="184"/>
      <c r="E4242" s="197"/>
      <c r="F4242" s="19"/>
      <c r="G4242" s="20"/>
    </row>
    <row r="4243" spans="1:8">
      <c r="A4243" s="211" t="s">
        <v>497</v>
      </c>
      <c r="B4243" s="216" t="str">
        <f ca="1">_xlfn.CONCAT(B4228,A4243)</f>
        <v>38EC7547-N</v>
      </c>
      <c r="C4243" s="17"/>
      <c r="D4243" s="184"/>
      <c r="E4243" s="197"/>
      <c r="F4243" s="19"/>
      <c r="G4243" s="20"/>
    </row>
    <row r="4244" spans="1:8">
      <c r="A4244" s="211" t="s">
        <v>498</v>
      </c>
      <c r="B4244" s="216" t="str">
        <f ca="1">_xlfn.CONCAT(B4228,A4244)</f>
        <v>38EC7547-O</v>
      </c>
      <c r="C4244" s="17"/>
      <c r="D4244" s="184"/>
      <c r="E4244" s="197"/>
      <c r="F4244" s="19"/>
      <c r="G4244" s="20"/>
    </row>
    <row r="4245" spans="1:8">
      <c r="A4245" s="211" t="s">
        <v>499</v>
      </c>
      <c r="B4245" s="216" t="str">
        <f ca="1">_xlfn.CONCAT(B4228,A4245)</f>
        <v>38EC7547-P</v>
      </c>
      <c r="C4245" s="17"/>
      <c r="D4245" s="184"/>
      <c r="E4245" s="197"/>
      <c r="F4245" s="19"/>
      <c r="G4245" s="20"/>
    </row>
    <row r="4246" spans="1:8">
      <c r="A4246" s="211" t="s">
        <v>500</v>
      </c>
      <c r="B4246" s="216" t="str">
        <f ca="1">_xlfn.CONCAT(B4228,A4246)</f>
        <v>38EC7547-Q</v>
      </c>
      <c r="C4246" s="17"/>
      <c r="D4246" s="184"/>
      <c r="E4246" s="197"/>
      <c r="F4246" s="19"/>
      <c r="G4246" s="20"/>
    </row>
    <row r="4247" spans="1:8">
      <c r="A4247" s="211" t="s">
        <v>501</v>
      </c>
      <c r="B4247" s="216" t="str">
        <f ca="1">_xlfn.CONCAT(B4228,A4247)</f>
        <v>38EC7547-R</v>
      </c>
      <c r="C4247" s="17"/>
      <c r="D4247" s="184"/>
      <c r="E4247" s="197"/>
      <c r="F4247" s="19"/>
      <c r="G4247" s="20"/>
    </row>
    <row r="4248" spans="1:8">
      <c r="A4248" s="211" t="s">
        <v>502</v>
      </c>
      <c r="B4248" s="216" t="str">
        <f ca="1">_xlfn.CONCAT(B4228,A4248)</f>
        <v>38EC7547-S</v>
      </c>
      <c r="C4248" s="17"/>
      <c r="D4248" s="184"/>
      <c r="E4248" s="197"/>
      <c r="F4248" s="19"/>
      <c r="G4248" s="20"/>
    </row>
    <row r="4249" spans="1:8">
      <c r="A4249" s="211" t="s">
        <v>503</v>
      </c>
      <c r="B4249" s="216" t="str">
        <f ca="1">_xlfn.CONCAT(B4228,A4249)</f>
        <v>38EC7547-T</v>
      </c>
      <c r="C4249" s="17"/>
      <c r="D4249" s="184"/>
      <c r="E4249" s="197"/>
      <c r="F4249" s="19"/>
      <c r="G4249" s="20"/>
    </row>
    <row r="4250" spans="1:8" ht="14.25" thickBot="1">
      <c r="A4250" s="211" t="s">
        <v>504</v>
      </c>
      <c r="B4250" s="216" t="str">
        <f ca="1">_xlfn.CONCAT(B4228,A4250)</f>
        <v>38EC7547-U</v>
      </c>
      <c r="C4250" s="17"/>
      <c r="D4250" s="184"/>
      <c r="E4250" s="197"/>
      <c r="F4250" s="19"/>
      <c r="G4250" s="20"/>
    </row>
    <row r="4251" spans="1:8" ht="14.25" thickBot="1">
      <c r="A4251" s="211" t="s">
        <v>505</v>
      </c>
      <c r="B4251" s="216" t="str">
        <f ca="1">_xlfn.CONCAT(B4228,A4251)</f>
        <v>38EC7547-V</v>
      </c>
      <c r="C4251" s="17" t="s">
        <v>17</v>
      </c>
      <c r="D4251" s="192" t="s">
        <v>17</v>
      </c>
      <c r="E4251" s="18"/>
      <c r="F4251" s="22" t="s">
        <v>18</v>
      </c>
      <c r="G4251" s="23">
        <f>SUM(G4230:G4250)</f>
        <v>55335</v>
      </c>
    </row>
    <row r="4252" spans="1:8" ht="15.75" thickBot="1">
      <c r="A4252" s="211" t="s">
        <v>506</v>
      </c>
      <c r="B4252" s="216" t="str">
        <f ca="1">_xlfn.CONCAT(B4228,A4252)</f>
        <v>38EC7547-W</v>
      </c>
      <c r="C4252" s="10" t="s">
        <v>19</v>
      </c>
      <c r="D4252" s="190"/>
      <c r="E4252" s="11"/>
      <c r="F4252" s="12"/>
      <c r="G4252" s="13"/>
    </row>
    <row r="4253" spans="1:8" ht="14.25" thickBot="1">
      <c r="A4253" s="211" t="s">
        <v>507</v>
      </c>
      <c r="B4253" s="216" t="str">
        <f ca="1">_xlfn.CONCAT(B4228,A4253)</f>
        <v>38EC7547-X</v>
      </c>
      <c r="C4253" s="14" t="s">
        <v>1</v>
      </c>
      <c r="D4253" s="15"/>
      <c r="E4253" s="15" t="s">
        <v>20</v>
      </c>
      <c r="F4253" s="16" t="s">
        <v>21</v>
      </c>
      <c r="G4253" s="15" t="s">
        <v>5</v>
      </c>
      <c r="H4253" s="215"/>
    </row>
    <row r="4254" spans="1:8">
      <c r="A4254" s="211" t="s">
        <v>508</v>
      </c>
      <c r="B4254" s="216" t="str">
        <f ca="1">_xlfn.CONCAT(B4228,A4254)</f>
        <v>38EC7547-Y</v>
      </c>
      <c r="C4254" s="24" t="s">
        <v>22</v>
      </c>
      <c r="D4254" s="184"/>
      <c r="E4254" s="25">
        <f>_xlfn.XLOOKUP(C4254,'H-MO'!B$7:B$30,'H-MO'!D$7:D$30,,0,1)</f>
        <v>2436.5624999999995</v>
      </c>
      <c r="F4254" s="19">
        <v>0.1</v>
      </c>
      <c r="G4254" s="33">
        <f t="shared" ref="G4254:G4259" si="124">+E4254*F4254</f>
        <v>243.65624999999997</v>
      </c>
    </row>
    <row r="4255" spans="1:8">
      <c r="A4255" s="211" t="s">
        <v>509</v>
      </c>
      <c r="B4255" s="216" t="str">
        <f ca="1">_xlfn.CONCAT(B4228,A4255)</f>
        <v>38EC7547-Z</v>
      </c>
      <c r="C4255" s="24" t="s">
        <v>23</v>
      </c>
      <c r="D4255" s="184"/>
      <c r="E4255" s="25">
        <f>_xlfn.XLOOKUP(C4255,'H-MO'!B$7:B$30,'H-MO'!D$7:D$30,,0,1)</f>
        <v>1461.9374999999998</v>
      </c>
      <c r="F4255" s="19">
        <v>0.1</v>
      </c>
      <c r="G4255" s="33">
        <f t="shared" si="124"/>
        <v>146.19374999999999</v>
      </c>
    </row>
    <row r="4256" spans="1:8">
      <c r="A4256" s="211" t="s">
        <v>510</v>
      </c>
      <c r="B4256" s="216" t="str">
        <f ca="1">_xlfn.CONCAT(B4228,A4256)</f>
        <v>38EC7547-aa</v>
      </c>
      <c r="C4256" s="24" t="s">
        <v>24</v>
      </c>
      <c r="D4256" s="185"/>
      <c r="E4256" s="25">
        <f>_xlfn.XLOOKUP(C4256,'H-MO'!B$7:B$30,'H-MO'!D$7:D$30,,0,1)</f>
        <v>29238.749999999996</v>
      </c>
      <c r="F4256" s="28">
        <v>0.05</v>
      </c>
      <c r="G4256" s="33">
        <f t="shared" si="124"/>
        <v>1461.9375</v>
      </c>
    </row>
    <row r="4257" spans="1:8">
      <c r="A4257" s="211" t="s">
        <v>511</v>
      </c>
      <c r="B4257" s="216" t="str">
        <f ca="1">_xlfn.CONCAT(B4228,A4257)</f>
        <v>38EC7547-ab</v>
      </c>
      <c r="C4257" s="24" t="s">
        <v>25</v>
      </c>
      <c r="D4257" s="185"/>
      <c r="E4257" s="25">
        <f>_xlfn.XLOOKUP(C4257,'H-MO'!B$7:B$30,'H-MO'!D$7:D$30,,0,1)</f>
        <v>2761.4374999999995</v>
      </c>
      <c r="F4257" s="28">
        <v>0.01</v>
      </c>
      <c r="G4257" s="33">
        <f t="shared" si="124"/>
        <v>27.614374999999995</v>
      </c>
    </row>
    <row r="4258" spans="1:8">
      <c r="A4258" s="211" t="s">
        <v>512</v>
      </c>
      <c r="B4258" s="216" t="str">
        <f ca="1">_xlfn.CONCAT(B4228,A4258)</f>
        <v>38EC7547-ac</v>
      </c>
      <c r="C4258" s="24"/>
      <c r="D4258" s="185"/>
      <c r="E4258" s="29"/>
      <c r="F4258" s="28"/>
      <c r="G4258" s="33">
        <f t="shared" si="124"/>
        <v>0</v>
      </c>
    </row>
    <row r="4259" spans="1:8" ht="14.25" thickBot="1">
      <c r="A4259" s="211" t="s">
        <v>513</v>
      </c>
      <c r="B4259" s="216" t="str">
        <f ca="1">_xlfn.CONCAT(B4228,A4259)</f>
        <v>38EC7547-ad</v>
      </c>
      <c r="C4259" s="24"/>
      <c r="D4259" s="185"/>
      <c r="E4259" s="29"/>
      <c r="F4259" s="28"/>
      <c r="G4259" s="33">
        <f t="shared" si="124"/>
        <v>0</v>
      </c>
    </row>
    <row r="4260" spans="1:8" ht="14.25" thickBot="1">
      <c r="A4260" s="211" t="s">
        <v>514</v>
      </c>
      <c r="B4260" s="216" t="str">
        <f ca="1">_xlfn.CONCAT(B4228,A4260)</f>
        <v>38EC7547-ae</v>
      </c>
      <c r="C4260" s="17"/>
      <c r="D4260" s="192"/>
      <c r="E4260" s="18"/>
      <c r="F4260" s="22" t="s">
        <v>26</v>
      </c>
      <c r="G4260" s="23">
        <f>SUM(G4254:G4259)</f>
        <v>1879.401875</v>
      </c>
    </row>
    <row r="4261" spans="1:8" ht="15.75" thickBot="1">
      <c r="A4261" s="211" t="s">
        <v>515</v>
      </c>
      <c r="B4261" s="216" t="str">
        <f ca="1">_xlfn.CONCAT(B4228,A4261)</f>
        <v>38EC7547-af</v>
      </c>
      <c r="C4261" s="10" t="s">
        <v>27</v>
      </c>
      <c r="D4261" s="190"/>
      <c r="E4261" s="11"/>
      <c r="F4261" s="12"/>
      <c r="G4261" s="13"/>
    </row>
    <row r="4262" spans="1:8" ht="14.25" thickBot="1">
      <c r="A4262" s="211" t="s">
        <v>516</v>
      </c>
      <c r="B4262" s="216" t="str">
        <f ca="1">_xlfn.CONCAT(B4228,A4262)</f>
        <v>38EC7547-ag</v>
      </c>
      <c r="C4262" s="14" t="s">
        <v>1</v>
      </c>
      <c r="D4262" s="15" t="s">
        <v>28</v>
      </c>
      <c r="E4262" s="15" t="s">
        <v>20</v>
      </c>
      <c r="F4262" s="16" t="s">
        <v>21</v>
      </c>
      <c r="G4262" s="15" t="s">
        <v>5</v>
      </c>
      <c r="H4262" s="215"/>
    </row>
    <row r="4263" spans="1:8">
      <c r="A4263" s="211" t="s">
        <v>517</v>
      </c>
      <c r="B4263" s="216" t="str">
        <f ca="1">_xlfn.CONCAT(B4228,A4263)</f>
        <v>38EC7547-ah</v>
      </c>
      <c r="C4263" s="30" t="s">
        <v>29</v>
      </c>
      <c r="D4263" s="186">
        <f>'H-MO'!$N$77</f>
        <v>725918.52892505517</v>
      </c>
      <c r="E4263" s="31">
        <f>+D4263/8</f>
        <v>90739.816115631897</v>
      </c>
      <c r="F4263" s="32">
        <v>0.12</v>
      </c>
      <c r="G4263" s="33">
        <f>+E4263*F4263</f>
        <v>10888.777933875826</v>
      </c>
    </row>
    <row r="4264" spans="1:8">
      <c r="A4264" s="211" t="s">
        <v>518</v>
      </c>
      <c r="B4264" s="216" t="str">
        <f ca="1">_xlfn.CONCAT(B4228,A4264)</f>
        <v>38EC7547-ai</v>
      </c>
      <c r="C4264" s="34" t="s">
        <v>30</v>
      </c>
      <c r="D4264" s="187">
        <f>'H-MO'!$N$86</f>
        <v>685561.39085756091</v>
      </c>
      <c r="E4264" s="29">
        <f>+D4264/8</f>
        <v>85695.173857195114</v>
      </c>
      <c r="F4264" s="28">
        <v>0</v>
      </c>
      <c r="G4264" s="33">
        <f>+E4264*F4264</f>
        <v>0</v>
      </c>
    </row>
    <row r="4265" spans="1:8" ht="14.25" thickBot="1">
      <c r="A4265" s="211" t="s">
        <v>519</v>
      </c>
      <c r="B4265" s="216" t="str">
        <f ca="1">_xlfn.CONCAT(B4228,A4265)</f>
        <v>38EC7547-aj</v>
      </c>
      <c r="C4265" s="34"/>
      <c r="D4265" s="187"/>
      <c r="E4265" s="29"/>
      <c r="F4265" s="28"/>
      <c r="G4265" s="33">
        <f>+E4265*F4265</f>
        <v>0</v>
      </c>
    </row>
    <row r="4266" spans="1:8" ht="14.25" thickBot="1">
      <c r="A4266" s="211" t="s">
        <v>520</v>
      </c>
      <c r="B4266" s="216" t="str">
        <f ca="1">_xlfn.CONCAT(B4228,A4266)</f>
        <v>38EC7547-ak</v>
      </c>
      <c r="C4266" s="34"/>
      <c r="D4266" s="185"/>
      <c r="E4266" s="26"/>
      <c r="F4266" s="36" t="s">
        <v>31</v>
      </c>
      <c r="G4266" s="23">
        <f>SUM(G4263:G4265)</f>
        <v>10888.777933875826</v>
      </c>
    </row>
    <row r="4267" spans="1:8" ht="14.25" thickBot="1">
      <c r="A4267" s="211" t="s">
        <v>521</v>
      </c>
      <c r="B4267" s="216" t="str">
        <f ca="1">_xlfn.CONCAT(B4228,A4267)</f>
        <v>38EC7547-al</v>
      </c>
      <c r="C4267" s="37"/>
      <c r="E4267" s="38"/>
      <c r="F4267" s="22"/>
      <c r="G4267" s="39"/>
    </row>
    <row r="4268" spans="1:8" ht="16.5" thickBot="1">
      <c r="A4268" s="211" t="s">
        <v>522</v>
      </c>
      <c r="B4268" s="216" t="str">
        <f ca="1">_xlfn.CONCAT(B4228,A4268)</f>
        <v>38EC7547-am</v>
      </c>
      <c r="C4268" s="40"/>
      <c r="D4268" s="193"/>
      <c r="E4268" s="41"/>
      <c r="F4268" s="42"/>
      <c r="G4268" s="43">
        <f>+G4251+G4260+G4266</f>
        <v>68103.179808875837</v>
      </c>
    </row>
    <row r="4269" spans="1:8" ht="21.75" thickBot="1">
      <c r="B4269" s="212" t="s">
        <v>550</v>
      </c>
      <c r="C4269" s="2"/>
      <c r="D4269" s="183"/>
      <c r="F4269" s="4"/>
      <c r="G4269" s="5"/>
    </row>
    <row r="4270" spans="1:8" ht="18.75">
      <c r="A4270" s="213"/>
      <c r="B4270" s="214">
        <v>98</v>
      </c>
      <c r="C4270" s="242" t="str">
        <f ca="1">_xlfn.XLOOKUP(B4270,Cantidades!$A$10:$A$314,Cantidades!$C$10:$C$314,,0,1)</f>
        <v>Suministro e instalación de interruptor automático 3x20A enchufable</v>
      </c>
      <c r="D4270" s="243"/>
      <c r="E4270" s="243"/>
      <c r="F4270" s="243"/>
      <c r="G4270" s="244"/>
      <c r="H4270" s="213"/>
    </row>
    <row r="4271" spans="1:8" ht="19.5" thickBot="1">
      <c r="A4271" s="215"/>
      <c r="B4271" s="216" t="s">
        <v>550</v>
      </c>
      <c r="C4271" s="177"/>
      <c r="D4271" s="189"/>
      <c r="E4271" s="178"/>
      <c r="F4271" s="179" t="s">
        <v>636</v>
      </c>
      <c r="G4271" s="209" t="str">
        <f ca="1">B4272</f>
        <v>B7C2560-</v>
      </c>
      <c r="H4271" s="215"/>
    </row>
    <row r="4272" spans="1:8" ht="15.75" thickBot="1">
      <c r="B4272" s="212" t="str">
        <f ca="1">_xlfn.XLOOKUP(C4270,Cantidades!$C$1:$C$314,Cantidades!$B$1:$B$314,"",0,1)</f>
        <v>B7C2560-</v>
      </c>
      <c r="C4272" s="10" t="s">
        <v>0</v>
      </c>
      <c r="D4272" s="190"/>
      <c r="E4272" s="11"/>
      <c r="F4272" s="12"/>
      <c r="G4272" s="13"/>
    </row>
    <row r="4273" spans="1:8" ht="14.25" thickBot="1">
      <c r="A4273" s="215"/>
      <c r="B4273" s="216" t="s">
        <v>550</v>
      </c>
      <c r="C4273" s="14" t="s">
        <v>1</v>
      </c>
      <c r="D4273" s="15" t="s">
        <v>2</v>
      </c>
      <c r="E4273" s="15" t="s">
        <v>3</v>
      </c>
      <c r="F4273" s="16" t="s">
        <v>4</v>
      </c>
      <c r="G4273" s="15" t="s">
        <v>5</v>
      </c>
      <c r="H4273" s="215"/>
    </row>
    <row r="4274" spans="1:8" ht="15">
      <c r="A4274" s="211" t="s">
        <v>484</v>
      </c>
      <c r="B4274" s="216" t="str">
        <f ca="1">_xlfn.CONCAT(B4272,A4274)</f>
        <v>B7C2560-A</v>
      </c>
      <c r="C4274" s="17" t="str">
        <f>_xlfn.XLOOKUP(H4274,'Materiales unitario'!$A$1:$A$2500,'Materiales unitario'!B$1:B$2500,,0,1)</f>
        <v xml:space="preserve">Automático enchufable.  Safic DSE 3x15 -30A. 10KA </v>
      </c>
      <c r="D4274" s="184" t="str">
        <f>_xlfn.XLOOKUP(H4274,'Materiales unitario'!A$1:A$2500,'Materiales unitario'!C$1:C$2500,,0,1)</f>
        <v>un</v>
      </c>
      <c r="E4274" s="197">
        <f>_xlfn.XLOOKUP(H4274,'Materiales unitario'!$A$1:$A$2500,'Materiales unitario'!D$1:D$2500,,0,1)</f>
        <v>86870</v>
      </c>
      <c r="F4274" s="19">
        <v>1</v>
      </c>
      <c r="G4274" s="20">
        <f>+E4274*F4274</f>
        <v>86870</v>
      </c>
      <c r="H4274" s="217" t="s">
        <v>235</v>
      </c>
    </row>
    <row r="4275" spans="1:8" ht="15">
      <c r="A4275" s="211" t="s">
        <v>485</v>
      </c>
      <c r="B4275" s="216" t="str">
        <f ca="1">_xlfn.CONCAT(B4272,A4275)</f>
        <v>B7C2560-B</v>
      </c>
      <c r="C4275" s="17"/>
      <c r="D4275" s="184"/>
      <c r="E4275" s="197"/>
      <c r="F4275" s="19"/>
      <c r="G4275" s="20"/>
      <c r="H4275" s="217"/>
    </row>
    <row r="4276" spans="1:8">
      <c r="A4276" s="211" t="s">
        <v>486</v>
      </c>
      <c r="B4276" s="216" t="str">
        <f ca="1">_xlfn.CONCAT(B4272,A4276)</f>
        <v>B7C2560-C</v>
      </c>
      <c r="C4276" s="17"/>
      <c r="D4276" s="184"/>
      <c r="E4276" s="197"/>
      <c r="F4276" s="19"/>
      <c r="G4276" s="20"/>
    </row>
    <row r="4277" spans="1:8">
      <c r="A4277" s="211" t="s">
        <v>487</v>
      </c>
      <c r="B4277" s="216" t="str">
        <f ca="1">_xlfn.CONCAT(B4272,A4277)</f>
        <v>B7C2560-D</v>
      </c>
      <c r="C4277" s="17"/>
      <c r="D4277" s="184"/>
      <c r="E4277" s="197"/>
      <c r="F4277" s="19"/>
      <c r="G4277" s="20"/>
    </row>
    <row r="4278" spans="1:8">
      <c r="A4278" s="211" t="s">
        <v>488</v>
      </c>
      <c r="B4278" s="216" t="str">
        <f ca="1">_xlfn.CONCAT(B4272,A4278)</f>
        <v>B7C2560-E</v>
      </c>
      <c r="C4278" s="17"/>
      <c r="D4278" s="184"/>
      <c r="E4278" s="197"/>
      <c r="F4278" s="19"/>
      <c r="G4278" s="20"/>
    </row>
    <row r="4279" spans="1:8">
      <c r="A4279" s="211" t="s">
        <v>489</v>
      </c>
      <c r="B4279" s="216" t="str">
        <f ca="1">_xlfn.CONCAT(B4272,A4279)</f>
        <v>B7C2560-F</v>
      </c>
      <c r="C4279" s="17"/>
      <c r="D4279" s="184"/>
      <c r="E4279" s="197"/>
      <c r="F4279" s="19"/>
      <c r="G4279" s="20"/>
    </row>
    <row r="4280" spans="1:8">
      <c r="A4280" s="211" t="s">
        <v>490</v>
      </c>
      <c r="B4280" s="216" t="str">
        <f ca="1">_xlfn.CONCAT(B4272,A4280)</f>
        <v>B7C2560-G</v>
      </c>
      <c r="C4280" s="17"/>
      <c r="D4280" s="184"/>
      <c r="E4280" s="197"/>
      <c r="F4280" s="19"/>
      <c r="G4280" s="20"/>
    </row>
    <row r="4281" spans="1:8">
      <c r="A4281" s="211" t="s">
        <v>491</v>
      </c>
      <c r="B4281" s="216" t="str">
        <f ca="1">_xlfn.CONCAT(B4272,A4281)</f>
        <v>B7C2560-H</v>
      </c>
      <c r="C4281" s="17"/>
      <c r="D4281" s="184"/>
      <c r="E4281" s="197"/>
      <c r="F4281" s="19"/>
      <c r="G4281" s="20"/>
    </row>
    <row r="4282" spans="1:8">
      <c r="A4282" s="211" t="s">
        <v>492</v>
      </c>
      <c r="B4282" s="216" t="str">
        <f ca="1">_xlfn.CONCAT(B4272,A4282)</f>
        <v>B7C2560-I</v>
      </c>
      <c r="C4282" s="17"/>
      <c r="D4282" s="184"/>
      <c r="E4282" s="197"/>
      <c r="F4282" s="19"/>
      <c r="G4282" s="20"/>
    </row>
    <row r="4283" spans="1:8">
      <c r="A4283" s="211" t="s">
        <v>493</v>
      </c>
      <c r="B4283" s="216" t="str">
        <f ca="1">_xlfn.CONCAT(B4272,A4283)</f>
        <v>B7C2560-J</v>
      </c>
      <c r="C4283" s="17"/>
      <c r="D4283" s="184"/>
      <c r="E4283" s="197"/>
      <c r="F4283" s="19"/>
      <c r="G4283" s="20"/>
    </row>
    <row r="4284" spans="1:8">
      <c r="A4284" s="211" t="s">
        <v>494</v>
      </c>
      <c r="B4284" s="216" t="str">
        <f ca="1">_xlfn.CONCAT(B4272,A4284)</f>
        <v>B7C2560-K</v>
      </c>
      <c r="C4284" s="17"/>
      <c r="D4284" s="184"/>
      <c r="E4284" s="197"/>
      <c r="F4284" s="19"/>
      <c r="G4284" s="20"/>
    </row>
    <row r="4285" spans="1:8">
      <c r="A4285" s="211" t="s">
        <v>495</v>
      </c>
      <c r="B4285" s="216" t="str">
        <f ca="1">_xlfn.CONCAT(B4272,A4285)</f>
        <v>B7C2560-L</v>
      </c>
      <c r="C4285" s="17"/>
      <c r="D4285" s="184"/>
      <c r="E4285" s="197"/>
      <c r="F4285" s="19"/>
      <c r="G4285" s="20"/>
    </row>
    <row r="4286" spans="1:8">
      <c r="A4286" s="211" t="s">
        <v>496</v>
      </c>
      <c r="B4286" s="216" t="str">
        <f ca="1">_xlfn.CONCAT(B4272,A4286)</f>
        <v>B7C2560-M</v>
      </c>
      <c r="C4286" s="17"/>
      <c r="D4286" s="184"/>
      <c r="E4286" s="197"/>
      <c r="F4286" s="19"/>
      <c r="G4286" s="20"/>
    </row>
    <row r="4287" spans="1:8">
      <c r="A4287" s="211" t="s">
        <v>497</v>
      </c>
      <c r="B4287" s="216" t="str">
        <f ca="1">_xlfn.CONCAT(B4272,A4287)</f>
        <v>B7C2560-N</v>
      </c>
      <c r="C4287" s="17"/>
      <c r="D4287" s="184"/>
      <c r="E4287" s="197"/>
      <c r="F4287" s="19"/>
      <c r="G4287" s="20"/>
    </row>
    <row r="4288" spans="1:8">
      <c r="A4288" s="211" t="s">
        <v>498</v>
      </c>
      <c r="B4288" s="216" t="str">
        <f ca="1">_xlfn.CONCAT(B4272,A4288)</f>
        <v>B7C2560-O</v>
      </c>
      <c r="C4288" s="17"/>
      <c r="D4288" s="184"/>
      <c r="E4288" s="197"/>
      <c r="F4288" s="19"/>
      <c r="G4288" s="20"/>
    </row>
    <row r="4289" spans="1:8">
      <c r="A4289" s="211" t="s">
        <v>499</v>
      </c>
      <c r="B4289" s="216" t="str">
        <f ca="1">_xlfn.CONCAT(B4272,A4289)</f>
        <v>B7C2560-P</v>
      </c>
      <c r="C4289" s="17"/>
      <c r="D4289" s="184"/>
      <c r="E4289" s="197"/>
      <c r="F4289" s="19"/>
      <c r="G4289" s="20"/>
    </row>
    <row r="4290" spans="1:8">
      <c r="A4290" s="211" t="s">
        <v>500</v>
      </c>
      <c r="B4290" s="216" t="str">
        <f ca="1">_xlfn.CONCAT(B4272,A4290)</f>
        <v>B7C2560-Q</v>
      </c>
      <c r="C4290" s="17"/>
      <c r="D4290" s="184"/>
      <c r="E4290" s="197"/>
      <c r="F4290" s="19"/>
      <c r="G4290" s="20"/>
    </row>
    <row r="4291" spans="1:8">
      <c r="A4291" s="211" t="s">
        <v>501</v>
      </c>
      <c r="B4291" s="216" t="str">
        <f ca="1">_xlfn.CONCAT(B4272,A4291)</f>
        <v>B7C2560-R</v>
      </c>
      <c r="C4291" s="17"/>
      <c r="D4291" s="184"/>
      <c r="E4291" s="197"/>
      <c r="F4291" s="19"/>
      <c r="G4291" s="20"/>
    </row>
    <row r="4292" spans="1:8">
      <c r="A4292" s="211" t="s">
        <v>502</v>
      </c>
      <c r="B4292" s="216" t="str">
        <f ca="1">_xlfn.CONCAT(B4272,A4292)</f>
        <v>B7C2560-S</v>
      </c>
      <c r="C4292" s="17"/>
      <c r="D4292" s="184"/>
      <c r="E4292" s="197"/>
      <c r="F4292" s="19"/>
      <c r="G4292" s="20"/>
    </row>
    <row r="4293" spans="1:8">
      <c r="A4293" s="211" t="s">
        <v>503</v>
      </c>
      <c r="B4293" s="216" t="str">
        <f ca="1">_xlfn.CONCAT(B4272,A4293)</f>
        <v>B7C2560-T</v>
      </c>
      <c r="C4293" s="17"/>
      <c r="D4293" s="184"/>
      <c r="E4293" s="197"/>
      <c r="F4293" s="19"/>
      <c r="G4293" s="20"/>
    </row>
    <row r="4294" spans="1:8" ht="14.25" thickBot="1">
      <c r="A4294" s="211" t="s">
        <v>504</v>
      </c>
      <c r="B4294" s="216" t="str">
        <f ca="1">_xlfn.CONCAT(B4272,A4294)</f>
        <v>B7C2560-U</v>
      </c>
      <c r="C4294" s="17"/>
      <c r="D4294" s="184"/>
      <c r="E4294" s="197"/>
      <c r="F4294" s="19"/>
      <c r="G4294" s="20"/>
    </row>
    <row r="4295" spans="1:8" ht="14.25" thickBot="1">
      <c r="A4295" s="211" t="s">
        <v>505</v>
      </c>
      <c r="B4295" s="216" t="str">
        <f ca="1">_xlfn.CONCAT(B4272,A4295)</f>
        <v>B7C2560-V</v>
      </c>
      <c r="C4295" s="17" t="s">
        <v>17</v>
      </c>
      <c r="D4295" s="192" t="s">
        <v>17</v>
      </c>
      <c r="E4295" s="18"/>
      <c r="F4295" s="22" t="s">
        <v>18</v>
      </c>
      <c r="G4295" s="23">
        <f>SUM(G4274:G4294)</f>
        <v>86870</v>
      </c>
    </row>
    <row r="4296" spans="1:8" ht="15.75" thickBot="1">
      <c r="A4296" s="211" t="s">
        <v>506</v>
      </c>
      <c r="B4296" s="216" t="str">
        <f ca="1">_xlfn.CONCAT(B4272,A4296)</f>
        <v>B7C2560-W</v>
      </c>
      <c r="C4296" s="10" t="s">
        <v>19</v>
      </c>
      <c r="D4296" s="190"/>
      <c r="E4296" s="11"/>
      <c r="F4296" s="12"/>
      <c r="G4296" s="13"/>
    </row>
    <row r="4297" spans="1:8" ht="14.25" thickBot="1">
      <c r="A4297" s="211" t="s">
        <v>507</v>
      </c>
      <c r="B4297" s="216" t="str">
        <f ca="1">_xlfn.CONCAT(B4272,A4297)</f>
        <v>B7C2560-X</v>
      </c>
      <c r="C4297" s="14" t="s">
        <v>1</v>
      </c>
      <c r="D4297" s="15"/>
      <c r="E4297" s="15" t="s">
        <v>20</v>
      </c>
      <c r="F4297" s="16" t="s">
        <v>21</v>
      </c>
      <c r="G4297" s="15" t="s">
        <v>5</v>
      </c>
      <c r="H4297" s="215"/>
    </row>
    <row r="4298" spans="1:8">
      <c r="A4298" s="211" t="s">
        <v>508</v>
      </c>
      <c r="B4298" s="216" t="str">
        <f ca="1">_xlfn.CONCAT(B4272,A4298)</f>
        <v>B7C2560-Y</v>
      </c>
      <c r="C4298" s="24" t="s">
        <v>22</v>
      </c>
      <c r="D4298" s="184"/>
      <c r="E4298" s="25">
        <f>_xlfn.XLOOKUP(C4298,'H-MO'!B$7:B$30,'H-MO'!D$7:D$30,,0,1)</f>
        <v>2436.5624999999995</v>
      </c>
      <c r="F4298" s="19">
        <v>0.1</v>
      </c>
      <c r="G4298" s="33">
        <f t="shared" ref="G4298:G4303" si="125">+E4298*F4298</f>
        <v>243.65624999999997</v>
      </c>
    </row>
    <row r="4299" spans="1:8">
      <c r="A4299" s="211" t="s">
        <v>509</v>
      </c>
      <c r="B4299" s="216" t="str">
        <f ca="1">_xlfn.CONCAT(B4272,A4299)</f>
        <v>B7C2560-Z</v>
      </c>
      <c r="C4299" s="24" t="s">
        <v>23</v>
      </c>
      <c r="D4299" s="184"/>
      <c r="E4299" s="25">
        <f>_xlfn.XLOOKUP(C4299,'H-MO'!B$7:B$30,'H-MO'!D$7:D$30,,0,1)</f>
        <v>1461.9374999999998</v>
      </c>
      <c r="F4299" s="19">
        <v>0.1</v>
      </c>
      <c r="G4299" s="33">
        <f t="shared" si="125"/>
        <v>146.19374999999999</v>
      </c>
    </row>
    <row r="4300" spans="1:8">
      <c r="A4300" s="211" t="s">
        <v>510</v>
      </c>
      <c r="B4300" s="216" t="str">
        <f ca="1">_xlfn.CONCAT(B4272,A4300)</f>
        <v>B7C2560-aa</v>
      </c>
      <c r="C4300" s="24" t="s">
        <v>24</v>
      </c>
      <c r="D4300" s="185"/>
      <c r="E4300" s="25">
        <f>_xlfn.XLOOKUP(C4300,'H-MO'!B$7:B$30,'H-MO'!D$7:D$30,,0,1)</f>
        <v>29238.749999999996</v>
      </c>
      <c r="F4300" s="28">
        <v>0.05</v>
      </c>
      <c r="G4300" s="33">
        <f t="shared" si="125"/>
        <v>1461.9375</v>
      </c>
    </row>
    <row r="4301" spans="1:8">
      <c r="A4301" s="211" t="s">
        <v>511</v>
      </c>
      <c r="B4301" s="216" t="str">
        <f ca="1">_xlfn.CONCAT(B4272,A4301)</f>
        <v>B7C2560-ab</v>
      </c>
      <c r="C4301" s="24" t="s">
        <v>25</v>
      </c>
      <c r="D4301" s="185"/>
      <c r="E4301" s="25">
        <f>_xlfn.XLOOKUP(C4301,'H-MO'!B$7:B$30,'H-MO'!D$7:D$30,,0,1)</f>
        <v>2761.4374999999995</v>
      </c>
      <c r="F4301" s="28">
        <v>0.01</v>
      </c>
      <c r="G4301" s="33">
        <f t="shared" si="125"/>
        <v>27.614374999999995</v>
      </c>
    </row>
    <row r="4302" spans="1:8">
      <c r="A4302" s="211" t="s">
        <v>512</v>
      </c>
      <c r="B4302" s="216" t="str">
        <f ca="1">_xlfn.CONCAT(B4272,A4302)</f>
        <v>B7C2560-ac</v>
      </c>
      <c r="C4302" s="24"/>
      <c r="D4302" s="185"/>
      <c r="E4302" s="29"/>
      <c r="F4302" s="28"/>
      <c r="G4302" s="33">
        <f t="shared" si="125"/>
        <v>0</v>
      </c>
    </row>
    <row r="4303" spans="1:8" ht="14.25" thickBot="1">
      <c r="A4303" s="211" t="s">
        <v>513</v>
      </c>
      <c r="B4303" s="216" t="str">
        <f ca="1">_xlfn.CONCAT(B4272,A4303)</f>
        <v>B7C2560-ad</v>
      </c>
      <c r="C4303" s="24"/>
      <c r="D4303" s="185"/>
      <c r="E4303" s="29"/>
      <c r="F4303" s="28"/>
      <c r="G4303" s="33">
        <f t="shared" si="125"/>
        <v>0</v>
      </c>
    </row>
    <row r="4304" spans="1:8" ht="14.25" thickBot="1">
      <c r="A4304" s="211" t="s">
        <v>514</v>
      </c>
      <c r="B4304" s="216" t="str">
        <f ca="1">_xlfn.CONCAT(B4272,A4304)</f>
        <v>B7C2560-ae</v>
      </c>
      <c r="C4304" s="17"/>
      <c r="D4304" s="192"/>
      <c r="E4304" s="18"/>
      <c r="F4304" s="22" t="s">
        <v>26</v>
      </c>
      <c r="G4304" s="23">
        <f>SUM(G4298:G4303)</f>
        <v>1879.401875</v>
      </c>
    </row>
    <row r="4305" spans="1:8" ht="15.75" thickBot="1">
      <c r="A4305" s="211" t="s">
        <v>515</v>
      </c>
      <c r="B4305" s="216" t="str">
        <f ca="1">_xlfn.CONCAT(B4272,A4305)</f>
        <v>B7C2560-af</v>
      </c>
      <c r="C4305" s="10" t="s">
        <v>27</v>
      </c>
      <c r="D4305" s="190"/>
      <c r="E4305" s="11"/>
      <c r="F4305" s="12"/>
      <c r="G4305" s="13"/>
    </row>
    <row r="4306" spans="1:8" ht="14.25" thickBot="1">
      <c r="A4306" s="211" t="s">
        <v>516</v>
      </c>
      <c r="B4306" s="216" t="str">
        <f ca="1">_xlfn.CONCAT(B4272,A4306)</f>
        <v>B7C2560-ag</v>
      </c>
      <c r="C4306" s="14" t="s">
        <v>1</v>
      </c>
      <c r="D4306" s="15" t="s">
        <v>28</v>
      </c>
      <c r="E4306" s="15" t="s">
        <v>20</v>
      </c>
      <c r="F4306" s="16" t="s">
        <v>21</v>
      </c>
      <c r="G4306" s="15" t="s">
        <v>5</v>
      </c>
      <c r="H4306" s="215"/>
    </row>
    <row r="4307" spans="1:8">
      <c r="A4307" s="211" t="s">
        <v>517</v>
      </c>
      <c r="B4307" s="216" t="str">
        <f ca="1">_xlfn.CONCAT(B4272,A4307)</f>
        <v>B7C2560-ah</v>
      </c>
      <c r="C4307" s="30" t="s">
        <v>29</v>
      </c>
      <c r="D4307" s="186">
        <f>'H-MO'!$N$77</f>
        <v>725918.52892505517</v>
      </c>
      <c r="E4307" s="31">
        <f>+D4307/8</f>
        <v>90739.816115631897</v>
      </c>
      <c r="F4307" s="32">
        <v>0.18</v>
      </c>
      <c r="G4307" s="33">
        <f>+E4307*F4307</f>
        <v>16333.166900813741</v>
      </c>
    </row>
    <row r="4308" spans="1:8">
      <c r="A4308" s="211" t="s">
        <v>518</v>
      </c>
      <c r="B4308" s="216" t="str">
        <f ca="1">_xlfn.CONCAT(B4272,A4308)</f>
        <v>B7C2560-ai</v>
      </c>
      <c r="C4308" s="34" t="s">
        <v>30</v>
      </c>
      <c r="D4308" s="187">
        <f>'H-MO'!$N$86</f>
        <v>685561.39085756091</v>
      </c>
      <c r="E4308" s="29">
        <f>+D4308/8</f>
        <v>85695.173857195114</v>
      </c>
      <c r="F4308" s="28">
        <v>0</v>
      </c>
      <c r="G4308" s="33">
        <f>+E4308*F4308</f>
        <v>0</v>
      </c>
    </row>
    <row r="4309" spans="1:8" ht="14.25" thickBot="1">
      <c r="A4309" s="211" t="s">
        <v>519</v>
      </c>
      <c r="B4309" s="216" t="str">
        <f ca="1">_xlfn.CONCAT(B4272,A4309)</f>
        <v>B7C2560-aj</v>
      </c>
      <c r="C4309" s="34"/>
      <c r="D4309" s="187"/>
      <c r="E4309" s="29"/>
      <c r="F4309" s="28"/>
      <c r="G4309" s="33">
        <f>+E4309*F4309</f>
        <v>0</v>
      </c>
    </row>
    <row r="4310" spans="1:8" ht="14.25" thickBot="1">
      <c r="A4310" s="211" t="s">
        <v>520</v>
      </c>
      <c r="B4310" s="216" t="str">
        <f ca="1">_xlfn.CONCAT(B4272,A4310)</f>
        <v>B7C2560-ak</v>
      </c>
      <c r="C4310" s="34"/>
      <c r="D4310" s="185"/>
      <c r="E4310" s="26"/>
      <c r="F4310" s="36" t="s">
        <v>31</v>
      </c>
      <c r="G4310" s="23">
        <f>SUM(G4307:G4309)</f>
        <v>16333.166900813741</v>
      </c>
    </row>
    <row r="4311" spans="1:8" ht="14.25" thickBot="1">
      <c r="A4311" s="211" t="s">
        <v>521</v>
      </c>
      <c r="B4311" s="216" t="str">
        <f ca="1">_xlfn.CONCAT(B4272,A4311)</f>
        <v>B7C2560-al</v>
      </c>
      <c r="C4311" s="37"/>
      <c r="E4311" s="38"/>
      <c r="F4311" s="22"/>
      <c r="G4311" s="39"/>
    </row>
    <row r="4312" spans="1:8" ht="16.5" thickBot="1">
      <c r="A4312" s="211" t="s">
        <v>522</v>
      </c>
      <c r="B4312" s="216" t="str">
        <f ca="1">_xlfn.CONCAT(B4272,A4312)</f>
        <v>B7C2560-am</v>
      </c>
      <c r="C4312" s="40"/>
      <c r="D4312" s="193"/>
      <c r="E4312" s="41"/>
      <c r="F4312" s="42"/>
      <c r="G4312" s="43">
        <f>+G4295+G4304+G4310</f>
        <v>105082.56877581374</v>
      </c>
    </row>
    <row r="4313" spans="1:8" ht="21.75" thickBot="1">
      <c r="B4313" s="212" t="s">
        <v>550</v>
      </c>
      <c r="C4313" s="2"/>
      <c r="D4313" s="183"/>
      <c r="F4313" s="4"/>
      <c r="G4313" s="5"/>
    </row>
    <row r="4314" spans="1:8" ht="18.75">
      <c r="A4314" s="213"/>
      <c r="B4314" s="214">
        <v>99</v>
      </c>
      <c r="C4314" s="242" t="str">
        <f ca="1">_xlfn.XLOOKUP(B4314,Cantidades!$A$10:$A$314,Cantidades!$C$10:$C$314,,0,1)</f>
        <v>Caja de paso 20x20</v>
      </c>
      <c r="D4314" s="243"/>
      <c r="E4314" s="243"/>
      <c r="F4314" s="243"/>
      <c r="G4314" s="244"/>
      <c r="H4314" s="213"/>
    </row>
    <row r="4315" spans="1:8" ht="19.5" thickBot="1">
      <c r="A4315" s="215"/>
      <c r="B4315" s="216" t="s">
        <v>550</v>
      </c>
      <c r="C4315" s="177"/>
      <c r="D4315" s="189"/>
      <c r="E4315" s="178"/>
      <c r="F4315" s="179" t="s">
        <v>636</v>
      </c>
      <c r="G4315" s="209" t="str">
        <f ca="1">B4316</f>
        <v>2FE2D2E5-</v>
      </c>
      <c r="H4315" s="215"/>
    </row>
    <row r="4316" spans="1:8" ht="15.75" thickBot="1">
      <c r="B4316" s="212" t="str">
        <f ca="1">_xlfn.XLOOKUP(C4314,Cantidades!$C$1:$C$314,Cantidades!$B$1:$B$314,"",0,1)</f>
        <v>2FE2D2E5-</v>
      </c>
      <c r="C4316" s="10" t="s">
        <v>0</v>
      </c>
      <c r="D4316" s="190"/>
      <c r="E4316" s="11"/>
      <c r="F4316" s="12"/>
      <c r="G4316" s="13"/>
    </row>
    <row r="4317" spans="1:8" ht="14.25" thickBot="1">
      <c r="A4317" s="215"/>
      <c r="B4317" s="216" t="s">
        <v>550</v>
      </c>
      <c r="C4317" s="14" t="s">
        <v>1</v>
      </c>
      <c r="D4317" s="15" t="s">
        <v>2</v>
      </c>
      <c r="E4317" s="15" t="s">
        <v>3</v>
      </c>
      <c r="F4317" s="16" t="s">
        <v>4</v>
      </c>
      <c r="G4317" s="15" t="s">
        <v>5</v>
      </c>
      <c r="H4317" s="215"/>
    </row>
    <row r="4318" spans="1:8" ht="15">
      <c r="A4318" s="211" t="s">
        <v>484</v>
      </c>
      <c r="B4318" s="216" t="str">
        <f ca="1">_xlfn.CONCAT(B4316,A4318)</f>
        <v>2FE2D2E5-A</v>
      </c>
      <c r="C4318" s="17" t="str">
        <f>_xlfn.XLOOKUP(H4318,'Materiales unitario'!$A$1:$A$2500,'Materiales unitario'!B$1:B$2500,,0,1)</f>
        <v>Caja plastica 20x20</v>
      </c>
      <c r="D4318" s="184" t="str">
        <f>_xlfn.XLOOKUP(H4318,'Materiales unitario'!A$1:A$2500,'Materiales unitario'!C$1:C$2500,,0,1)</f>
        <v>un</v>
      </c>
      <c r="E4318" s="197">
        <f>_xlfn.XLOOKUP(H4318,'Materiales unitario'!$A$1:$A$2500,'Materiales unitario'!D$1:D$2500,,0,1)</f>
        <v>44982</v>
      </c>
      <c r="F4318" s="19">
        <v>1</v>
      </c>
      <c r="G4318" s="20">
        <f>+E4318*F4318</f>
        <v>44982</v>
      </c>
      <c r="H4318" s="217" t="s">
        <v>285</v>
      </c>
    </row>
    <row r="4319" spans="1:8" ht="15">
      <c r="A4319" s="211" t="s">
        <v>485</v>
      </c>
      <c r="B4319" s="216" t="str">
        <f ca="1">_xlfn.CONCAT(B4316,A4319)</f>
        <v>2FE2D2E5-B</v>
      </c>
      <c r="C4319" s="17" t="str">
        <f>_xlfn.XLOOKUP(H4319,'Materiales unitario'!$A$1:$A$2500,'Materiales unitario'!B$1:B$2500,,0,1)</f>
        <v>Riel DIN</v>
      </c>
      <c r="D4319" s="184" t="str">
        <f>_xlfn.XLOOKUP(H4319,'Materiales unitario'!A$1:A$2500,'Materiales unitario'!C$1:C$2500,,0,1)</f>
        <v>ml</v>
      </c>
      <c r="E4319" s="197">
        <f>_xlfn.XLOOKUP(H4319,'Materiales unitario'!$A$1:$A$2500,'Materiales unitario'!D$1:D$2500,,0,1)</f>
        <v>10200</v>
      </c>
      <c r="F4319" s="19">
        <v>0.2</v>
      </c>
      <c r="G4319" s="20">
        <f>+E4319*F4319</f>
        <v>2040</v>
      </c>
      <c r="H4319" s="217" t="s">
        <v>1116</v>
      </c>
    </row>
    <row r="4320" spans="1:8">
      <c r="A4320" s="211" t="s">
        <v>486</v>
      </c>
      <c r="B4320" s="216" t="str">
        <f ca="1">_xlfn.CONCAT(B4316,A4320)</f>
        <v>2FE2D2E5-C</v>
      </c>
      <c r="C4320" s="17"/>
      <c r="D4320" s="184"/>
      <c r="E4320" s="197"/>
      <c r="F4320" s="19"/>
      <c r="G4320" s="20"/>
    </row>
    <row r="4321" spans="1:7">
      <c r="A4321" s="211" t="s">
        <v>487</v>
      </c>
      <c r="B4321" s="216" t="str">
        <f ca="1">_xlfn.CONCAT(B4316,A4321)</f>
        <v>2FE2D2E5-D</v>
      </c>
      <c r="C4321" s="17"/>
      <c r="D4321" s="184"/>
      <c r="E4321" s="197"/>
      <c r="F4321" s="19"/>
      <c r="G4321" s="20"/>
    </row>
    <row r="4322" spans="1:7">
      <c r="A4322" s="211" t="s">
        <v>488</v>
      </c>
      <c r="B4322" s="216" t="str">
        <f ca="1">_xlfn.CONCAT(B4316,A4322)</f>
        <v>2FE2D2E5-E</v>
      </c>
      <c r="C4322" s="17"/>
      <c r="D4322" s="184"/>
      <c r="E4322" s="197"/>
      <c r="F4322" s="19"/>
      <c r="G4322" s="20"/>
    </row>
    <row r="4323" spans="1:7">
      <c r="A4323" s="211" t="s">
        <v>489</v>
      </c>
      <c r="B4323" s="216" t="str">
        <f ca="1">_xlfn.CONCAT(B4316,A4323)</f>
        <v>2FE2D2E5-F</v>
      </c>
      <c r="C4323" s="17"/>
      <c r="D4323" s="184"/>
      <c r="E4323" s="197"/>
      <c r="F4323" s="19"/>
      <c r="G4323" s="20"/>
    </row>
    <row r="4324" spans="1:7">
      <c r="A4324" s="211" t="s">
        <v>490</v>
      </c>
      <c r="B4324" s="216" t="str">
        <f ca="1">_xlfn.CONCAT(B4316,A4324)</f>
        <v>2FE2D2E5-G</v>
      </c>
      <c r="C4324" s="17"/>
      <c r="D4324" s="184"/>
      <c r="E4324" s="197"/>
      <c r="F4324" s="19"/>
      <c r="G4324" s="20"/>
    </row>
    <row r="4325" spans="1:7">
      <c r="A4325" s="211" t="s">
        <v>491</v>
      </c>
      <c r="B4325" s="216" t="str">
        <f ca="1">_xlfn.CONCAT(B4316,A4325)</f>
        <v>2FE2D2E5-H</v>
      </c>
      <c r="C4325" s="17"/>
      <c r="D4325" s="184"/>
      <c r="E4325" s="197"/>
      <c r="F4325" s="19"/>
      <c r="G4325" s="20"/>
    </row>
    <row r="4326" spans="1:7">
      <c r="A4326" s="211" t="s">
        <v>492</v>
      </c>
      <c r="B4326" s="216" t="str">
        <f ca="1">_xlfn.CONCAT(B4316,A4326)</f>
        <v>2FE2D2E5-I</v>
      </c>
      <c r="C4326" s="17"/>
      <c r="D4326" s="184"/>
      <c r="E4326" s="197"/>
      <c r="F4326" s="19"/>
      <c r="G4326" s="20"/>
    </row>
    <row r="4327" spans="1:7">
      <c r="A4327" s="211" t="s">
        <v>493</v>
      </c>
      <c r="B4327" s="216" t="str">
        <f ca="1">_xlfn.CONCAT(B4316,A4327)</f>
        <v>2FE2D2E5-J</v>
      </c>
      <c r="C4327" s="17"/>
      <c r="D4327" s="184"/>
      <c r="E4327" s="197"/>
      <c r="F4327" s="19"/>
      <c r="G4327" s="20"/>
    </row>
    <row r="4328" spans="1:7">
      <c r="A4328" s="211" t="s">
        <v>494</v>
      </c>
      <c r="B4328" s="216" t="str">
        <f ca="1">_xlfn.CONCAT(B4316,A4328)</f>
        <v>2FE2D2E5-K</v>
      </c>
      <c r="C4328" s="17"/>
      <c r="D4328" s="184"/>
      <c r="E4328" s="197"/>
      <c r="F4328" s="19"/>
      <c r="G4328" s="20"/>
    </row>
    <row r="4329" spans="1:7">
      <c r="A4329" s="211" t="s">
        <v>495</v>
      </c>
      <c r="B4329" s="216" t="str">
        <f ca="1">_xlfn.CONCAT(B4316,A4329)</f>
        <v>2FE2D2E5-L</v>
      </c>
      <c r="C4329" s="17"/>
      <c r="D4329" s="184"/>
      <c r="E4329" s="197"/>
      <c r="F4329" s="19"/>
      <c r="G4329" s="20"/>
    </row>
    <row r="4330" spans="1:7">
      <c r="A4330" s="211" t="s">
        <v>496</v>
      </c>
      <c r="B4330" s="216" t="str">
        <f ca="1">_xlfn.CONCAT(B4316,A4330)</f>
        <v>2FE2D2E5-M</v>
      </c>
      <c r="C4330" s="17"/>
      <c r="D4330" s="184"/>
      <c r="E4330" s="197"/>
      <c r="F4330" s="19"/>
      <c r="G4330" s="20"/>
    </row>
    <row r="4331" spans="1:7">
      <c r="A4331" s="211" t="s">
        <v>497</v>
      </c>
      <c r="B4331" s="216" t="str">
        <f ca="1">_xlfn.CONCAT(B4316,A4331)</f>
        <v>2FE2D2E5-N</v>
      </c>
      <c r="C4331" s="17"/>
      <c r="D4331" s="184"/>
      <c r="E4331" s="197"/>
      <c r="F4331" s="19"/>
      <c r="G4331" s="20"/>
    </row>
    <row r="4332" spans="1:7">
      <c r="A4332" s="211" t="s">
        <v>498</v>
      </c>
      <c r="B4332" s="216" t="str">
        <f ca="1">_xlfn.CONCAT(B4316,A4332)</f>
        <v>2FE2D2E5-O</v>
      </c>
      <c r="C4332" s="17"/>
      <c r="D4332" s="184"/>
      <c r="E4332" s="197"/>
      <c r="F4332" s="19"/>
      <c r="G4332" s="20"/>
    </row>
    <row r="4333" spans="1:7">
      <c r="A4333" s="211" t="s">
        <v>499</v>
      </c>
      <c r="B4333" s="216" t="str">
        <f ca="1">_xlfn.CONCAT(B4316,A4333)</f>
        <v>2FE2D2E5-P</v>
      </c>
      <c r="C4333" s="17"/>
      <c r="D4333" s="184"/>
      <c r="E4333" s="197"/>
      <c r="F4333" s="19"/>
      <c r="G4333" s="20"/>
    </row>
    <row r="4334" spans="1:7">
      <c r="A4334" s="211" t="s">
        <v>500</v>
      </c>
      <c r="B4334" s="216" t="str">
        <f ca="1">_xlfn.CONCAT(B4316,A4334)</f>
        <v>2FE2D2E5-Q</v>
      </c>
      <c r="C4334" s="17"/>
      <c r="D4334" s="184"/>
      <c r="E4334" s="197"/>
      <c r="F4334" s="19"/>
      <c r="G4334" s="20"/>
    </row>
    <row r="4335" spans="1:7">
      <c r="A4335" s="211" t="s">
        <v>501</v>
      </c>
      <c r="B4335" s="216" t="str">
        <f ca="1">_xlfn.CONCAT(B4316,A4335)</f>
        <v>2FE2D2E5-R</v>
      </c>
      <c r="C4335" s="17"/>
      <c r="D4335" s="184"/>
      <c r="E4335" s="197"/>
      <c r="F4335" s="19"/>
      <c r="G4335" s="20"/>
    </row>
    <row r="4336" spans="1:7">
      <c r="A4336" s="211" t="s">
        <v>502</v>
      </c>
      <c r="B4336" s="216" t="str">
        <f ca="1">_xlfn.CONCAT(B4316,A4336)</f>
        <v>2FE2D2E5-S</v>
      </c>
      <c r="C4336" s="17"/>
      <c r="D4336" s="184"/>
      <c r="E4336" s="197"/>
      <c r="F4336" s="19"/>
      <c r="G4336" s="20"/>
    </row>
    <row r="4337" spans="1:8">
      <c r="A4337" s="211" t="s">
        <v>503</v>
      </c>
      <c r="B4337" s="216" t="str">
        <f ca="1">_xlfn.CONCAT(B4316,A4337)</f>
        <v>2FE2D2E5-T</v>
      </c>
      <c r="C4337" s="17"/>
      <c r="D4337" s="184"/>
      <c r="E4337" s="197"/>
      <c r="F4337" s="19"/>
      <c r="G4337" s="20"/>
    </row>
    <row r="4338" spans="1:8" ht="14.25" thickBot="1">
      <c r="A4338" s="211" t="s">
        <v>504</v>
      </c>
      <c r="B4338" s="216" t="str">
        <f ca="1">_xlfn.CONCAT(B4316,A4338)</f>
        <v>2FE2D2E5-U</v>
      </c>
      <c r="C4338" s="17"/>
      <c r="D4338" s="184"/>
      <c r="E4338" s="197"/>
      <c r="F4338" s="19"/>
      <c r="G4338" s="20"/>
    </row>
    <row r="4339" spans="1:8" ht="14.25" thickBot="1">
      <c r="A4339" s="211" t="s">
        <v>505</v>
      </c>
      <c r="B4339" s="216" t="str">
        <f ca="1">_xlfn.CONCAT(B4316,A4339)</f>
        <v>2FE2D2E5-V</v>
      </c>
      <c r="C4339" s="17" t="s">
        <v>17</v>
      </c>
      <c r="D4339" s="192" t="s">
        <v>17</v>
      </c>
      <c r="E4339" s="18"/>
      <c r="F4339" s="22" t="s">
        <v>18</v>
      </c>
      <c r="G4339" s="23">
        <f>SUM(G4318:G4338)</f>
        <v>47022</v>
      </c>
    </row>
    <row r="4340" spans="1:8" ht="15.75" thickBot="1">
      <c r="A4340" s="211" t="s">
        <v>506</v>
      </c>
      <c r="B4340" s="216" t="str">
        <f ca="1">_xlfn.CONCAT(B4316,A4340)</f>
        <v>2FE2D2E5-W</v>
      </c>
      <c r="C4340" s="10" t="s">
        <v>19</v>
      </c>
      <c r="D4340" s="190"/>
      <c r="E4340" s="11"/>
      <c r="F4340" s="12"/>
      <c r="G4340" s="13"/>
    </row>
    <row r="4341" spans="1:8" ht="14.25" thickBot="1">
      <c r="A4341" s="211" t="s">
        <v>507</v>
      </c>
      <c r="B4341" s="216" t="str">
        <f ca="1">_xlfn.CONCAT(B4316,A4341)</f>
        <v>2FE2D2E5-X</v>
      </c>
      <c r="C4341" s="14" t="s">
        <v>1</v>
      </c>
      <c r="D4341" s="15"/>
      <c r="E4341" s="15" t="s">
        <v>20</v>
      </c>
      <c r="F4341" s="16" t="s">
        <v>21</v>
      </c>
      <c r="G4341" s="15" t="s">
        <v>5</v>
      </c>
      <c r="H4341" s="215"/>
    </row>
    <row r="4342" spans="1:8">
      <c r="A4342" s="211" t="s">
        <v>508</v>
      </c>
      <c r="B4342" s="216" t="str">
        <f ca="1">_xlfn.CONCAT(B4316,A4342)</f>
        <v>2FE2D2E5-Y</v>
      </c>
      <c r="C4342" s="24" t="s">
        <v>22</v>
      </c>
      <c r="D4342" s="184"/>
      <c r="E4342" s="25">
        <f>_xlfn.XLOOKUP(C4342,'H-MO'!B$7:B$30,'H-MO'!D$7:D$30,,0,1)</f>
        <v>2436.5624999999995</v>
      </c>
      <c r="F4342" s="19">
        <v>0.25</v>
      </c>
      <c r="G4342" s="33">
        <f t="shared" ref="G4342:G4347" si="126">+E4342*F4342</f>
        <v>609.14062499999989</v>
      </c>
    </row>
    <row r="4343" spans="1:8">
      <c r="A4343" s="211" t="s">
        <v>509</v>
      </c>
      <c r="B4343" s="216" t="str">
        <f ca="1">_xlfn.CONCAT(B4316,A4343)</f>
        <v>2FE2D2E5-Z</v>
      </c>
      <c r="C4343" s="24" t="s">
        <v>23</v>
      </c>
      <c r="D4343" s="184"/>
      <c r="E4343" s="25">
        <f>_xlfn.XLOOKUP(C4343,'H-MO'!B$7:B$30,'H-MO'!D$7:D$30,,0,1)</f>
        <v>1461.9374999999998</v>
      </c>
      <c r="F4343" s="19">
        <v>0.2</v>
      </c>
      <c r="G4343" s="33">
        <f t="shared" si="126"/>
        <v>292.38749999999999</v>
      </c>
    </row>
    <row r="4344" spans="1:8">
      <c r="A4344" s="211" t="s">
        <v>510</v>
      </c>
      <c r="B4344" s="216" t="str">
        <f ca="1">_xlfn.CONCAT(B4316,A4344)</f>
        <v>2FE2D2E5-aa</v>
      </c>
      <c r="C4344" s="24" t="s">
        <v>24</v>
      </c>
      <c r="D4344" s="185"/>
      <c r="E4344" s="25">
        <f>_xlfn.XLOOKUP(C4344,'H-MO'!B$7:B$30,'H-MO'!D$7:D$30,,0,1)</f>
        <v>29238.749999999996</v>
      </c>
      <c r="F4344" s="28">
        <v>0.05</v>
      </c>
      <c r="G4344" s="33">
        <f t="shared" si="126"/>
        <v>1461.9375</v>
      </c>
    </row>
    <row r="4345" spans="1:8">
      <c r="A4345" s="211" t="s">
        <v>511</v>
      </c>
      <c r="B4345" s="216" t="str">
        <f ca="1">_xlfn.CONCAT(B4316,A4345)</f>
        <v>2FE2D2E5-ab</v>
      </c>
      <c r="C4345" s="24" t="s">
        <v>25</v>
      </c>
      <c r="D4345" s="185"/>
      <c r="E4345" s="25">
        <f>_xlfn.XLOOKUP(C4345,'H-MO'!B$7:B$30,'H-MO'!D$7:D$30,,0,1)</f>
        <v>2761.4374999999995</v>
      </c>
      <c r="F4345" s="28">
        <v>0.01</v>
      </c>
      <c r="G4345" s="33">
        <f t="shared" si="126"/>
        <v>27.614374999999995</v>
      </c>
    </row>
    <row r="4346" spans="1:8">
      <c r="A4346" s="211" t="s">
        <v>512</v>
      </c>
      <c r="B4346" s="216" t="str">
        <f ca="1">_xlfn.CONCAT(B4316,A4346)</f>
        <v>2FE2D2E5-ac</v>
      </c>
      <c r="C4346" s="24"/>
      <c r="D4346" s="185"/>
      <c r="E4346" s="29"/>
      <c r="F4346" s="28"/>
      <c r="G4346" s="33">
        <f t="shared" si="126"/>
        <v>0</v>
      </c>
    </row>
    <row r="4347" spans="1:8" ht="14.25" thickBot="1">
      <c r="A4347" s="211" t="s">
        <v>513</v>
      </c>
      <c r="B4347" s="216" t="str">
        <f ca="1">_xlfn.CONCAT(B4316,A4347)</f>
        <v>2FE2D2E5-ad</v>
      </c>
      <c r="C4347" s="24"/>
      <c r="D4347" s="185"/>
      <c r="E4347" s="29"/>
      <c r="F4347" s="28"/>
      <c r="G4347" s="33">
        <f t="shared" si="126"/>
        <v>0</v>
      </c>
    </row>
    <row r="4348" spans="1:8" ht="14.25" thickBot="1">
      <c r="A4348" s="211" t="s">
        <v>514</v>
      </c>
      <c r="B4348" s="216" t="str">
        <f ca="1">_xlfn.CONCAT(B4316,A4348)</f>
        <v>2FE2D2E5-ae</v>
      </c>
      <c r="C4348" s="17"/>
      <c r="D4348" s="192"/>
      <c r="E4348" s="18"/>
      <c r="F4348" s="22" t="s">
        <v>26</v>
      </c>
      <c r="G4348" s="23">
        <f>SUM(G4342:G4347)</f>
        <v>2391.08</v>
      </c>
    </row>
    <row r="4349" spans="1:8" ht="15.75" thickBot="1">
      <c r="A4349" s="211" t="s">
        <v>515</v>
      </c>
      <c r="B4349" s="216" t="str">
        <f ca="1">_xlfn.CONCAT(B4316,A4349)</f>
        <v>2FE2D2E5-af</v>
      </c>
      <c r="C4349" s="10" t="s">
        <v>27</v>
      </c>
      <c r="D4349" s="190"/>
      <c r="E4349" s="11"/>
      <c r="F4349" s="12"/>
      <c r="G4349" s="13"/>
    </row>
    <row r="4350" spans="1:8" ht="14.25" thickBot="1">
      <c r="A4350" s="211" t="s">
        <v>516</v>
      </c>
      <c r="B4350" s="216" t="str">
        <f ca="1">_xlfn.CONCAT(B4316,A4350)</f>
        <v>2FE2D2E5-ag</v>
      </c>
      <c r="C4350" s="14" t="s">
        <v>1</v>
      </c>
      <c r="D4350" s="15" t="s">
        <v>28</v>
      </c>
      <c r="E4350" s="15" t="s">
        <v>20</v>
      </c>
      <c r="F4350" s="16" t="s">
        <v>21</v>
      </c>
      <c r="G4350" s="15" t="s">
        <v>5</v>
      </c>
      <c r="H4350" s="215"/>
    </row>
    <row r="4351" spans="1:8">
      <c r="A4351" s="211" t="s">
        <v>517</v>
      </c>
      <c r="B4351" s="216" t="str">
        <f ca="1">_xlfn.CONCAT(B4316,A4351)</f>
        <v>2FE2D2E5-ah</v>
      </c>
      <c r="C4351" s="30" t="s">
        <v>29</v>
      </c>
      <c r="D4351" s="186">
        <f>'H-MO'!$N$77</f>
        <v>725918.52892505517</v>
      </c>
      <c r="E4351" s="31">
        <f>+D4351/8</f>
        <v>90739.816115631897</v>
      </c>
      <c r="F4351" s="32">
        <v>0.25</v>
      </c>
      <c r="G4351" s="33">
        <f>+E4351*F4351</f>
        <v>22684.954028907974</v>
      </c>
    </row>
    <row r="4352" spans="1:8">
      <c r="A4352" s="211" t="s">
        <v>518</v>
      </c>
      <c r="B4352" s="216" t="str">
        <f ca="1">_xlfn.CONCAT(B4316,A4352)</f>
        <v>2FE2D2E5-ai</v>
      </c>
      <c r="C4352" s="34" t="s">
        <v>30</v>
      </c>
      <c r="D4352" s="187">
        <f>'H-MO'!$N$86</f>
        <v>685561.39085756091</v>
      </c>
      <c r="E4352" s="29">
        <f>+D4352/8</f>
        <v>85695.173857195114</v>
      </c>
      <c r="F4352" s="28">
        <v>0</v>
      </c>
      <c r="G4352" s="33">
        <f>+E4352*F4352</f>
        <v>0</v>
      </c>
    </row>
    <row r="4353" spans="1:8" ht="14.25" thickBot="1">
      <c r="A4353" s="211" t="s">
        <v>519</v>
      </c>
      <c r="B4353" s="216" t="str">
        <f ca="1">_xlfn.CONCAT(B4316,A4353)</f>
        <v>2FE2D2E5-aj</v>
      </c>
      <c r="C4353" s="34"/>
      <c r="D4353" s="187"/>
      <c r="E4353" s="29"/>
      <c r="F4353" s="28"/>
      <c r="G4353" s="33">
        <f>+E4353*F4353</f>
        <v>0</v>
      </c>
    </row>
    <row r="4354" spans="1:8" ht="14.25" thickBot="1">
      <c r="A4354" s="211" t="s">
        <v>520</v>
      </c>
      <c r="B4354" s="216" t="str">
        <f ca="1">_xlfn.CONCAT(B4316,A4354)</f>
        <v>2FE2D2E5-ak</v>
      </c>
      <c r="C4354" s="34"/>
      <c r="D4354" s="185"/>
      <c r="E4354" s="26"/>
      <c r="F4354" s="36" t="s">
        <v>31</v>
      </c>
      <c r="G4354" s="23">
        <f>SUM(G4351:G4353)</f>
        <v>22684.954028907974</v>
      </c>
    </row>
    <row r="4355" spans="1:8" ht="14.25" thickBot="1">
      <c r="A4355" s="211" t="s">
        <v>521</v>
      </c>
      <c r="B4355" s="216" t="str">
        <f ca="1">_xlfn.CONCAT(B4316,A4355)</f>
        <v>2FE2D2E5-al</v>
      </c>
      <c r="C4355" s="37"/>
      <c r="E4355" s="38"/>
      <c r="F4355" s="22"/>
      <c r="G4355" s="39"/>
    </row>
    <row r="4356" spans="1:8" ht="16.5" thickBot="1">
      <c r="A4356" s="211" t="s">
        <v>522</v>
      </c>
      <c r="B4356" s="216" t="str">
        <f ca="1">_xlfn.CONCAT(B4316,A4356)</f>
        <v>2FE2D2E5-am</v>
      </c>
      <c r="C4356" s="40"/>
      <c r="D4356" s="193"/>
      <c r="E4356" s="41"/>
      <c r="F4356" s="42"/>
      <c r="G4356" s="43">
        <f>+G4339+G4348+G4354</f>
        <v>72098.034028907976</v>
      </c>
    </row>
    <row r="4357" spans="1:8" ht="21.75" thickBot="1">
      <c r="B4357" s="212" t="s">
        <v>550</v>
      </c>
      <c r="C4357" s="2"/>
      <c r="D4357" s="183"/>
      <c r="F4357" s="4"/>
      <c r="G4357" s="5"/>
    </row>
    <row r="4358" spans="1:8" ht="18.75">
      <c r="A4358" s="213"/>
      <c r="B4358" s="214">
        <v>100</v>
      </c>
      <c r="C4358" s="242" t="str">
        <f ca="1">_xlfn.XLOOKUP(B4358,Cantidades!$A$10:$A$314,Cantidades!$C$10:$C$314,,0,1)</f>
        <v>Suministro e instalación de DPS TIPO 2, 3P, 40kA 8/20.</v>
      </c>
      <c r="D4358" s="243"/>
      <c r="E4358" s="243"/>
      <c r="F4358" s="243"/>
      <c r="G4358" s="244"/>
      <c r="H4358" s="213"/>
    </row>
    <row r="4359" spans="1:8" ht="19.5" thickBot="1">
      <c r="A4359" s="215"/>
      <c r="B4359" s="216" t="s">
        <v>550</v>
      </c>
      <c r="C4359" s="177"/>
      <c r="D4359" s="189"/>
      <c r="E4359" s="178"/>
      <c r="F4359" s="179" t="s">
        <v>636</v>
      </c>
      <c r="G4359" s="209" t="str">
        <f ca="1">B4360</f>
        <v>27452C3D-</v>
      </c>
      <c r="H4359" s="215"/>
    </row>
    <row r="4360" spans="1:8" ht="15.75" thickBot="1">
      <c r="B4360" s="212" t="str">
        <f ca="1">_xlfn.XLOOKUP(C4358,Cantidades!$C$1:$C$314,Cantidades!$B$1:$B$314,"",0,1)</f>
        <v>27452C3D-</v>
      </c>
      <c r="C4360" s="10" t="s">
        <v>0</v>
      </c>
      <c r="D4360" s="190"/>
      <c r="E4360" s="11"/>
      <c r="F4360" s="12"/>
      <c r="G4360" s="13"/>
    </row>
    <row r="4361" spans="1:8" ht="14.25" thickBot="1">
      <c r="A4361" s="215"/>
      <c r="B4361" s="216" t="s">
        <v>550</v>
      </c>
      <c r="C4361" s="14" t="s">
        <v>1</v>
      </c>
      <c r="D4361" s="15" t="s">
        <v>2</v>
      </c>
      <c r="E4361" s="15" t="s">
        <v>3</v>
      </c>
      <c r="F4361" s="16" t="s">
        <v>4</v>
      </c>
      <c r="G4361" s="15" t="s">
        <v>5</v>
      </c>
      <c r="H4361" s="215"/>
    </row>
    <row r="4362" spans="1:8" ht="15">
      <c r="A4362" s="211" t="s">
        <v>484</v>
      </c>
      <c r="B4362" s="216" t="str">
        <f ca="1">_xlfn.CONCAT(B4360,A4362)</f>
        <v>27452C3D-A</v>
      </c>
      <c r="C4362" s="17" t="str">
        <f>_xlfn.XLOOKUP(H4362,'Materiales unitario'!$A$1:$A$2500,'Materiales unitario'!B$1:B$2500,,0,1)</f>
        <v>Dps 3P 1000Vdc Projoy Tipo 2 Tuv</v>
      </c>
      <c r="D4362" s="184" t="str">
        <f>_xlfn.XLOOKUP(H4362,'Materiales unitario'!A$1:A$2500,'Materiales unitario'!C$1:C$2500,,0,1)</f>
        <v>un</v>
      </c>
      <c r="E4362" s="197">
        <f>_xlfn.XLOOKUP(H4362,'Materiales unitario'!$A$1:$A$2500,'Materiales unitario'!D$1:D$2500,,0,1)</f>
        <v>255850</v>
      </c>
      <c r="F4362" s="19">
        <v>1</v>
      </c>
      <c r="G4362" s="20">
        <f>+E4362*F4362</f>
        <v>255850</v>
      </c>
      <c r="H4362" s="217" t="s">
        <v>314</v>
      </c>
    </row>
    <row r="4363" spans="1:8" ht="15">
      <c r="A4363" s="211" t="s">
        <v>485</v>
      </c>
      <c r="B4363" s="216" t="str">
        <f ca="1">_xlfn.CONCAT(B4360,A4363)</f>
        <v>27452C3D-B</v>
      </c>
      <c r="C4363" s="17"/>
      <c r="D4363" s="184"/>
      <c r="E4363" s="197"/>
      <c r="F4363" s="19"/>
      <c r="G4363" s="20"/>
      <c r="H4363" s="217"/>
    </row>
    <row r="4364" spans="1:8">
      <c r="A4364" s="211" t="s">
        <v>486</v>
      </c>
      <c r="B4364" s="216" t="str">
        <f ca="1">_xlfn.CONCAT(B4360,A4364)</f>
        <v>27452C3D-C</v>
      </c>
      <c r="C4364" s="17"/>
      <c r="D4364" s="184"/>
      <c r="E4364" s="197"/>
      <c r="F4364" s="19"/>
      <c r="G4364" s="20"/>
    </row>
    <row r="4365" spans="1:8">
      <c r="A4365" s="211" t="s">
        <v>487</v>
      </c>
      <c r="B4365" s="216" t="str">
        <f ca="1">_xlfn.CONCAT(B4360,A4365)</f>
        <v>27452C3D-D</v>
      </c>
      <c r="C4365" s="17"/>
      <c r="D4365" s="184"/>
      <c r="E4365" s="197"/>
      <c r="F4365" s="19"/>
      <c r="G4365" s="20"/>
    </row>
    <row r="4366" spans="1:8">
      <c r="A4366" s="211" t="s">
        <v>488</v>
      </c>
      <c r="B4366" s="216" t="str">
        <f ca="1">_xlfn.CONCAT(B4360,A4366)</f>
        <v>27452C3D-E</v>
      </c>
      <c r="C4366" s="17"/>
      <c r="D4366" s="184"/>
      <c r="E4366" s="197"/>
      <c r="F4366" s="19"/>
      <c r="G4366" s="20"/>
    </row>
    <row r="4367" spans="1:8">
      <c r="A4367" s="211" t="s">
        <v>489</v>
      </c>
      <c r="B4367" s="216" t="str">
        <f ca="1">_xlfn.CONCAT(B4360,A4367)</f>
        <v>27452C3D-F</v>
      </c>
      <c r="C4367" s="17"/>
      <c r="D4367" s="184"/>
      <c r="E4367" s="197"/>
      <c r="F4367" s="19"/>
      <c r="G4367" s="20"/>
    </row>
    <row r="4368" spans="1:8">
      <c r="A4368" s="211" t="s">
        <v>490</v>
      </c>
      <c r="B4368" s="216" t="str">
        <f ca="1">_xlfn.CONCAT(B4360,A4368)</f>
        <v>27452C3D-G</v>
      </c>
      <c r="C4368" s="17"/>
      <c r="D4368" s="184"/>
      <c r="E4368" s="197"/>
      <c r="F4368" s="19"/>
      <c r="G4368" s="20"/>
    </row>
    <row r="4369" spans="1:7">
      <c r="A4369" s="211" t="s">
        <v>491</v>
      </c>
      <c r="B4369" s="216" t="str">
        <f ca="1">_xlfn.CONCAT(B4360,A4369)</f>
        <v>27452C3D-H</v>
      </c>
      <c r="C4369" s="17"/>
      <c r="D4369" s="184"/>
      <c r="E4369" s="197"/>
      <c r="F4369" s="19"/>
      <c r="G4369" s="20"/>
    </row>
    <row r="4370" spans="1:7">
      <c r="A4370" s="211" t="s">
        <v>492</v>
      </c>
      <c r="B4370" s="216" t="str">
        <f ca="1">_xlfn.CONCAT(B4360,A4370)</f>
        <v>27452C3D-I</v>
      </c>
      <c r="C4370" s="17"/>
      <c r="D4370" s="184"/>
      <c r="E4370" s="197"/>
      <c r="F4370" s="19"/>
      <c r="G4370" s="20"/>
    </row>
    <row r="4371" spans="1:7">
      <c r="A4371" s="211" t="s">
        <v>493</v>
      </c>
      <c r="B4371" s="216" t="str">
        <f ca="1">_xlfn.CONCAT(B4360,A4371)</f>
        <v>27452C3D-J</v>
      </c>
      <c r="C4371" s="17"/>
      <c r="D4371" s="184"/>
      <c r="E4371" s="197"/>
      <c r="F4371" s="19"/>
      <c r="G4371" s="20"/>
    </row>
    <row r="4372" spans="1:7">
      <c r="A4372" s="211" t="s">
        <v>494</v>
      </c>
      <c r="B4372" s="216" t="str">
        <f ca="1">_xlfn.CONCAT(B4360,A4372)</f>
        <v>27452C3D-K</v>
      </c>
      <c r="C4372" s="17"/>
      <c r="D4372" s="184"/>
      <c r="E4372" s="197"/>
      <c r="F4372" s="19"/>
      <c r="G4372" s="20"/>
    </row>
    <row r="4373" spans="1:7">
      <c r="A4373" s="211" t="s">
        <v>495</v>
      </c>
      <c r="B4373" s="216" t="str">
        <f ca="1">_xlfn.CONCAT(B4360,A4373)</f>
        <v>27452C3D-L</v>
      </c>
      <c r="C4373" s="17"/>
      <c r="D4373" s="184"/>
      <c r="E4373" s="197"/>
      <c r="F4373" s="19"/>
      <c r="G4373" s="20"/>
    </row>
    <row r="4374" spans="1:7">
      <c r="A4374" s="211" t="s">
        <v>496</v>
      </c>
      <c r="B4374" s="216" t="str">
        <f ca="1">_xlfn.CONCAT(B4360,A4374)</f>
        <v>27452C3D-M</v>
      </c>
      <c r="C4374" s="17"/>
      <c r="D4374" s="184"/>
      <c r="E4374" s="197"/>
      <c r="F4374" s="19"/>
      <c r="G4374" s="20"/>
    </row>
    <row r="4375" spans="1:7">
      <c r="A4375" s="211" t="s">
        <v>497</v>
      </c>
      <c r="B4375" s="216" t="str">
        <f ca="1">_xlfn.CONCAT(B4360,A4375)</f>
        <v>27452C3D-N</v>
      </c>
      <c r="C4375" s="17"/>
      <c r="D4375" s="184"/>
      <c r="E4375" s="197"/>
      <c r="F4375" s="19"/>
      <c r="G4375" s="20"/>
    </row>
    <row r="4376" spans="1:7">
      <c r="A4376" s="211" t="s">
        <v>498</v>
      </c>
      <c r="B4376" s="216" t="str">
        <f ca="1">_xlfn.CONCAT(B4360,A4376)</f>
        <v>27452C3D-O</v>
      </c>
      <c r="C4376" s="17"/>
      <c r="D4376" s="184"/>
      <c r="E4376" s="197"/>
      <c r="F4376" s="19"/>
      <c r="G4376" s="20"/>
    </row>
    <row r="4377" spans="1:7">
      <c r="A4377" s="211" t="s">
        <v>499</v>
      </c>
      <c r="B4377" s="216" t="str">
        <f ca="1">_xlfn.CONCAT(B4360,A4377)</f>
        <v>27452C3D-P</v>
      </c>
      <c r="C4377" s="17"/>
      <c r="D4377" s="184"/>
      <c r="E4377" s="197"/>
      <c r="F4377" s="19"/>
      <c r="G4377" s="20"/>
    </row>
    <row r="4378" spans="1:7">
      <c r="A4378" s="211" t="s">
        <v>500</v>
      </c>
      <c r="B4378" s="216" t="str">
        <f ca="1">_xlfn.CONCAT(B4360,A4378)</f>
        <v>27452C3D-Q</v>
      </c>
      <c r="C4378" s="17"/>
      <c r="D4378" s="184"/>
      <c r="E4378" s="197"/>
      <c r="F4378" s="19"/>
      <c r="G4378" s="20"/>
    </row>
    <row r="4379" spans="1:7">
      <c r="A4379" s="211" t="s">
        <v>501</v>
      </c>
      <c r="B4379" s="216" t="str">
        <f ca="1">_xlfn.CONCAT(B4360,A4379)</f>
        <v>27452C3D-R</v>
      </c>
      <c r="C4379" s="17"/>
      <c r="D4379" s="184"/>
      <c r="E4379" s="197"/>
      <c r="F4379" s="19"/>
      <c r="G4379" s="20"/>
    </row>
    <row r="4380" spans="1:7">
      <c r="A4380" s="211" t="s">
        <v>502</v>
      </c>
      <c r="B4380" s="216" t="str">
        <f ca="1">_xlfn.CONCAT(B4360,A4380)</f>
        <v>27452C3D-S</v>
      </c>
      <c r="C4380" s="17"/>
      <c r="D4380" s="184"/>
      <c r="E4380" s="197"/>
      <c r="F4380" s="19"/>
      <c r="G4380" s="20"/>
    </row>
    <row r="4381" spans="1:7">
      <c r="A4381" s="211" t="s">
        <v>503</v>
      </c>
      <c r="B4381" s="216" t="str">
        <f ca="1">_xlfn.CONCAT(B4360,A4381)</f>
        <v>27452C3D-T</v>
      </c>
      <c r="C4381" s="17"/>
      <c r="D4381" s="184"/>
      <c r="E4381" s="197"/>
      <c r="F4381" s="19"/>
      <c r="G4381" s="20"/>
    </row>
    <row r="4382" spans="1:7" ht="14.25" thickBot="1">
      <c r="A4382" s="211" t="s">
        <v>504</v>
      </c>
      <c r="B4382" s="216" t="str">
        <f ca="1">_xlfn.CONCAT(B4360,A4382)</f>
        <v>27452C3D-U</v>
      </c>
      <c r="C4382" s="17"/>
      <c r="D4382" s="184"/>
      <c r="E4382" s="197"/>
      <c r="F4382" s="19"/>
      <c r="G4382" s="20"/>
    </row>
    <row r="4383" spans="1:7" ht="14.25" thickBot="1">
      <c r="A4383" s="211" t="s">
        <v>505</v>
      </c>
      <c r="B4383" s="216" t="str">
        <f ca="1">_xlfn.CONCAT(B4360,A4383)</f>
        <v>27452C3D-V</v>
      </c>
      <c r="C4383" s="17" t="s">
        <v>17</v>
      </c>
      <c r="D4383" s="192" t="s">
        <v>17</v>
      </c>
      <c r="E4383" s="18"/>
      <c r="F4383" s="22" t="s">
        <v>18</v>
      </c>
      <c r="G4383" s="23">
        <f>SUM(G4362:G4382)</f>
        <v>255850</v>
      </c>
    </row>
    <row r="4384" spans="1:7" ht="15.75" thickBot="1">
      <c r="A4384" s="211" t="s">
        <v>506</v>
      </c>
      <c r="B4384" s="216" t="str">
        <f ca="1">_xlfn.CONCAT(B4360,A4384)</f>
        <v>27452C3D-W</v>
      </c>
      <c r="C4384" s="10" t="s">
        <v>19</v>
      </c>
      <c r="D4384" s="190"/>
      <c r="E4384" s="11"/>
      <c r="F4384" s="12"/>
      <c r="G4384" s="13"/>
    </row>
    <row r="4385" spans="1:8" ht="14.25" thickBot="1">
      <c r="A4385" s="211" t="s">
        <v>507</v>
      </c>
      <c r="B4385" s="216" t="str">
        <f ca="1">_xlfn.CONCAT(B4360,A4385)</f>
        <v>27452C3D-X</v>
      </c>
      <c r="C4385" s="14" t="s">
        <v>1</v>
      </c>
      <c r="D4385" s="15"/>
      <c r="E4385" s="15" t="s">
        <v>20</v>
      </c>
      <c r="F4385" s="16" t="s">
        <v>21</v>
      </c>
      <c r="G4385" s="15" t="s">
        <v>5</v>
      </c>
      <c r="H4385" s="215"/>
    </row>
    <row r="4386" spans="1:8">
      <c r="A4386" s="211" t="s">
        <v>508</v>
      </c>
      <c r="B4386" s="216" t="str">
        <f ca="1">_xlfn.CONCAT(B4360,A4386)</f>
        <v>27452C3D-Y</v>
      </c>
      <c r="C4386" s="24" t="s">
        <v>22</v>
      </c>
      <c r="D4386" s="184"/>
      <c r="E4386" s="25">
        <f>_xlfn.XLOOKUP(C4386,'H-MO'!B$7:B$30,'H-MO'!D$7:D$30,,0,1)</f>
        <v>2436.5624999999995</v>
      </c>
      <c r="F4386" s="19">
        <v>0.5</v>
      </c>
      <c r="G4386" s="33">
        <f t="shared" ref="G4386:G4391" si="127">+E4386*F4386</f>
        <v>1218.2812499999998</v>
      </c>
    </row>
    <row r="4387" spans="1:8">
      <c r="A4387" s="211" t="s">
        <v>509</v>
      </c>
      <c r="B4387" s="216" t="str">
        <f ca="1">_xlfn.CONCAT(B4360,A4387)</f>
        <v>27452C3D-Z</v>
      </c>
      <c r="C4387" s="24" t="s">
        <v>23</v>
      </c>
      <c r="D4387" s="184"/>
      <c r="E4387" s="25">
        <f>_xlfn.XLOOKUP(C4387,'H-MO'!B$7:B$30,'H-MO'!D$7:D$30,,0,1)</f>
        <v>1461.9374999999998</v>
      </c>
      <c r="F4387" s="19">
        <v>0.2</v>
      </c>
      <c r="G4387" s="33">
        <f t="shared" si="127"/>
        <v>292.38749999999999</v>
      </c>
    </row>
    <row r="4388" spans="1:8">
      <c r="A4388" s="211" t="s">
        <v>510</v>
      </c>
      <c r="B4388" s="216" t="str">
        <f ca="1">_xlfn.CONCAT(B4360,A4388)</f>
        <v>27452C3D-aa</v>
      </c>
      <c r="C4388" s="24" t="s">
        <v>24</v>
      </c>
      <c r="D4388" s="185"/>
      <c r="E4388" s="25">
        <f>_xlfn.XLOOKUP(C4388,'H-MO'!B$7:B$30,'H-MO'!D$7:D$30,,0,1)</f>
        <v>29238.749999999996</v>
      </c>
      <c r="F4388" s="28">
        <v>0.02</v>
      </c>
      <c r="G4388" s="33">
        <f t="shared" si="127"/>
        <v>584.77499999999998</v>
      </c>
    </row>
    <row r="4389" spans="1:8">
      <c r="A4389" s="211" t="s">
        <v>511</v>
      </c>
      <c r="B4389" s="216" t="str">
        <f ca="1">_xlfn.CONCAT(B4360,A4389)</f>
        <v>27452C3D-ab</v>
      </c>
      <c r="C4389" s="24" t="s">
        <v>25</v>
      </c>
      <c r="D4389" s="185"/>
      <c r="E4389" s="25">
        <f>_xlfn.XLOOKUP(C4389,'H-MO'!B$7:B$30,'H-MO'!D$7:D$30,,0,1)</f>
        <v>2761.4374999999995</v>
      </c>
      <c r="F4389" s="28">
        <v>0.05</v>
      </c>
      <c r="G4389" s="33">
        <f t="shared" si="127"/>
        <v>138.07187499999998</v>
      </c>
    </row>
    <row r="4390" spans="1:8">
      <c r="A4390" s="211" t="s">
        <v>512</v>
      </c>
      <c r="B4390" s="216" t="str">
        <f ca="1">_xlfn.CONCAT(B4360,A4390)</f>
        <v>27452C3D-ac</v>
      </c>
      <c r="C4390" s="24"/>
      <c r="D4390" s="185"/>
      <c r="E4390" s="29"/>
      <c r="F4390" s="28">
        <v>0</v>
      </c>
      <c r="G4390" s="33">
        <f t="shared" si="127"/>
        <v>0</v>
      </c>
    </row>
    <row r="4391" spans="1:8" ht="14.25" thickBot="1">
      <c r="A4391" s="211" t="s">
        <v>513</v>
      </c>
      <c r="B4391" s="216" t="str">
        <f ca="1">_xlfn.CONCAT(B4360,A4391)</f>
        <v>27452C3D-ad</v>
      </c>
      <c r="C4391" s="24"/>
      <c r="D4391" s="185"/>
      <c r="E4391" s="29"/>
      <c r="F4391" s="28">
        <v>0</v>
      </c>
      <c r="G4391" s="33">
        <f t="shared" si="127"/>
        <v>0</v>
      </c>
    </row>
    <row r="4392" spans="1:8" ht="14.25" thickBot="1">
      <c r="A4392" s="211" t="s">
        <v>514</v>
      </c>
      <c r="B4392" s="216" t="str">
        <f ca="1">_xlfn.CONCAT(B4360,A4392)</f>
        <v>27452C3D-ae</v>
      </c>
      <c r="C4392" s="17"/>
      <c r="D4392" s="192"/>
      <c r="E4392" s="18"/>
      <c r="F4392" s="22" t="s">
        <v>26</v>
      </c>
      <c r="G4392" s="23">
        <f>SUM(G4386:G4391)</f>
        <v>2233.515625</v>
      </c>
    </row>
    <row r="4393" spans="1:8" ht="15.75" thickBot="1">
      <c r="A4393" s="211" t="s">
        <v>515</v>
      </c>
      <c r="B4393" s="216" t="str">
        <f ca="1">_xlfn.CONCAT(B4360,A4393)</f>
        <v>27452C3D-af</v>
      </c>
      <c r="C4393" s="10" t="s">
        <v>27</v>
      </c>
      <c r="D4393" s="190"/>
      <c r="E4393" s="11"/>
      <c r="F4393" s="12"/>
      <c r="G4393" s="13"/>
    </row>
    <row r="4394" spans="1:8" ht="14.25" thickBot="1">
      <c r="A4394" s="211" t="s">
        <v>516</v>
      </c>
      <c r="B4394" s="216" t="str">
        <f ca="1">_xlfn.CONCAT(B4360,A4394)</f>
        <v>27452C3D-ag</v>
      </c>
      <c r="C4394" s="14" t="s">
        <v>1</v>
      </c>
      <c r="D4394" s="15" t="s">
        <v>28</v>
      </c>
      <c r="E4394" s="15" t="s">
        <v>20</v>
      </c>
      <c r="F4394" s="16" t="s">
        <v>21</v>
      </c>
      <c r="G4394" s="15" t="s">
        <v>5</v>
      </c>
      <c r="H4394" s="215"/>
    </row>
    <row r="4395" spans="1:8">
      <c r="A4395" s="211" t="s">
        <v>517</v>
      </c>
      <c r="B4395" s="216" t="str">
        <f ca="1">_xlfn.CONCAT(B4360,A4395)</f>
        <v>27452C3D-ah</v>
      </c>
      <c r="C4395" s="30" t="s">
        <v>29</v>
      </c>
      <c r="D4395" s="186">
        <f>'H-MO'!$N$77</f>
        <v>725918.52892505517</v>
      </c>
      <c r="E4395" s="31">
        <f>+D4395/8</f>
        <v>90739.816115631897</v>
      </c>
      <c r="F4395" s="32">
        <v>0.5</v>
      </c>
      <c r="G4395" s="33">
        <f>+E4395*F4395</f>
        <v>45369.908057815948</v>
      </c>
    </row>
    <row r="4396" spans="1:8">
      <c r="A4396" s="211" t="s">
        <v>518</v>
      </c>
      <c r="B4396" s="216" t="str">
        <f ca="1">_xlfn.CONCAT(B4360,A4396)</f>
        <v>27452C3D-ai</v>
      </c>
      <c r="C4396" s="34" t="s">
        <v>30</v>
      </c>
      <c r="D4396" s="187">
        <f>'H-MO'!$N$86</f>
        <v>685561.39085756091</v>
      </c>
      <c r="E4396" s="29">
        <f>+D4396/8</f>
        <v>85695.173857195114</v>
      </c>
      <c r="F4396" s="28">
        <v>0.02</v>
      </c>
      <c r="G4396" s="33">
        <f>+E4396*F4396</f>
        <v>1713.9034771439024</v>
      </c>
    </row>
    <row r="4397" spans="1:8" ht="14.25" thickBot="1">
      <c r="A4397" s="211" t="s">
        <v>519</v>
      </c>
      <c r="B4397" s="216" t="str">
        <f ca="1">_xlfn.CONCAT(B4360,A4397)</f>
        <v>27452C3D-aj</v>
      </c>
      <c r="C4397" s="34"/>
      <c r="D4397" s="187"/>
      <c r="E4397" s="29"/>
      <c r="F4397" s="28">
        <v>0</v>
      </c>
      <c r="G4397" s="33">
        <f>+E4397*F4397</f>
        <v>0</v>
      </c>
    </row>
    <row r="4398" spans="1:8" ht="14.25" thickBot="1">
      <c r="A4398" s="211" t="s">
        <v>520</v>
      </c>
      <c r="B4398" s="216" t="str">
        <f ca="1">_xlfn.CONCAT(B4360,A4398)</f>
        <v>27452C3D-ak</v>
      </c>
      <c r="C4398" s="34"/>
      <c r="D4398" s="185"/>
      <c r="E4398" s="26"/>
      <c r="F4398" s="36" t="s">
        <v>31</v>
      </c>
      <c r="G4398" s="23">
        <f>SUM(G4395:G4397)</f>
        <v>47083.811534959852</v>
      </c>
    </row>
    <row r="4399" spans="1:8" ht="14.25" thickBot="1">
      <c r="A4399" s="211" t="s">
        <v>521</v>
      </c>
      <c r="B4399" s="216" t="str">
        <f ca="1">_xlfn.CONCAT(B4360,A4399)</f>
        <v>27452C3D-al</v>
      </c>
      <c r="C4399" s="37"/>
      <c r="E4399" s="38"/>
      <c r="F4399" s="22"/>
      <c r="G4399" s="39"/>
    </row>
    <row r="4400" spans="1:8" ht="16.5" thickBot="1">
      <c r="A4400" s="211" t="s">
        <v>522</v>
      </c>
      <c r="B4400" s="216" t="str">
        <f ca="1">_xlfn.CONCAT(B4360,A4400)</f>
        <v>27452C3D-am</v>
      </c>
      <c r="C4400" s="40"/>
      <c r="D4400" s="193"/>
      <c r="E4400" s="41"/>
      <c r="F4400" s="42"/>
      <c r="G4400" s="43">
        <f>+G4383+G4392+G4398</f>
        <v>305167.32715995982</v>
      </c>
    </row>
    <row r="4401" spans="1:8" ht="21.75" thickBot="1">
      <c r="B4401" s="212" t="s">
        <v>550</v>
      </c>
      <c r="C4401" s="2"/>
      <c r="D4401" s="183"/>
      <c r="F4401" s="4"/>
      <c r="G4401" s="5"/>
    </row>
    <row r="4402" spans="1:8" ht="18.75">
      <c r="A4402" s="213"/>
      <c r="B4402" s="214">
        <v>101</v>
      </c>
      <c r="C4402" s="242" t="str">
        <f ca="1">_xlfn.XLOOKUP(B4402,Cantidades!$A$10:$A$314,Cantidades!$C$10:$C$314,,0,1)</f>
        <v>Suministro e instalación de 1Ø4" IMC. Incluye tubería, capacete, uniones, cinta de señalización, cinta de acero inoxidable y demás elementos para su correta instalación.</v>
      </c>
      <c r="D4402" s="243"/>
      <c r="E4402" s="243"/>
      <c r="F4402" s="243"/>
      <c r="G4402" s="244"/>
      <c r="H4402" s="213"/>
    </row>
    <row r="4403" spans="1:8" ht="19.5" thickBot="1">
      <c r="A4403" s="215"/>
      <c r="B4403" s="216" t="s">
        <v>550</v>
      </c>
      <c r="C4403" s="177"/>
      <c r="D4403" s="189"/>
      <c r="E4403" s="178"/>
      <c r="F4403" s="179" t="s">
        <v>636</v>
      </c>
      <c r="G4403" s="209" t="str">
        <f ca="1">B4404</f>
        <v>23AB3C8A-</v>
      </c>
      <c r="H4403" s="215"/>
    </row>
    <row r="4404" spans="1:8" ht="15.75" thickBot="1">
      <c r="B4404" s="212" t="str">
        <f ca="1">_xlfn.XLOOKUP(C4402,Cantidades!$C$1:$C$314,Cantidades!$B$1:$B$314,"",0,1)</f>
        <v>23AB3C8A-</v>
      </c>
      <c r="C4404" s="10" t="s">
        <v>0</v>
      </c>
      <c r="D4404" s="190"/>
      <c r="E4404" s="11"/>
      <c r="F4404" s="12"/>
      <c r="G4404" s="13"/>
    </row>
    <row r="4405" spans="1:8" ht="14.25" thickBot="1">
      <c r="A4405" s="215"/>
      <c r="B4405" s="216" t="s">
        <v>550</v>
      </c>
      <c r="C4405" s="14" t="s">
        <v>1</v>
      </c>
      <c r="D4405" s="15" t="s">
        <v>2</v>
      </c>
      <c r="E4405" s="15" t="s">
        <v>3</v>
      </c>
      <c r="F4405" s="16" t="s">
        <v>4</v>
      </c>
      <c r="G4405" s="15" t="s">
        <v>5</v>
      </c>
    </row>
    <row r="4406" spans="1:8">
      <c r="A4406" s="211" t="s">
        <v>484</v>
      </c>
      <c r="B4406" s="216" t="str">
        <f ca="1">_xlfn.CONCAT(B4404,A4406)</f>
        <v>23AB3C8A-A</v>
      </c>
      <c r="C4406" s="17" t="str">
        <f>_xlfn.XLOOKUP(H4406,'Materiales unitario'!$A$1:$A$2500,'Materiales unitario'!B$1:B$2500,,0,1)</f>
        <v>Cinta Band - It  ø3/8"</v>
      </c>
      <c r="D4406" s="184" t="str">
        <f>_xlfn.XLOOKUP(H4406,'Materiales unitario'!A$1:A$2500,'Materiales unitario'!C$1:C$2500,,0,1)</f>
        <v>ml</v>
      </c>
      <c r="E4406" s="197">
        <f>_xlfn.XLOOKUP(H4406,'Materiales unitario'!$A$1:$A$2500,'Materiales unitario'!D$1:D$2500,,0,1)</f>
        <v>2856</v>
      </c>
      <c r="F4406" s="19">
        <v>1.2</v>
      </c>
      <c r="G4406" s="20">
        <f>+E4406*F4406</f>
        <v>3427.2</v>
      </c>
      <c r="H4406" s="211" t="s">
        <v>297</v>
      </c>
    </row>
    <row r="4407" spans="1:8">
      <c r="A4407" s="211" t="s">
        <v>485</v>
      </c>
      <c r="B4407" s="216" t="str">
        <f ca="1">_xlfn.CONCAT(B4404,A4407)</f>
        <v>23AB3C8A-B</v>
      </c>
      <c r="C4407" s="17" t="str">
        <f>_xlfn.XLOOKUP(H4407,'Materiales unitario'!$A$1:$A$2500,'Materiales unitario'!B$1:B$2500,,0,1)</f>
        <v>Hebilla para cinta Band - It ø3/8"</v>
      </c>
      <c r="D4407" s="184" t="str">
        <f>_xlfn.XLOOKUP(H4407,'Materiales unitario'!A$1:A$2500,'Materiales unitario'!C$1:C$2500,,0,1)</f>
        <v>un</v>
      </c>
      <c r="E4407" s="197">
        <f>_xlfn.XLOOKUP(H4407,'Materiales unitario'!$A$1:$A$2500,'Materiales unitario'!D$1:D$2500,,0,1)</f>
        <v>595</v>
      </c>
      <c r="F4407" s="19">
        <v>1</v>
      </c>
      <c r="G4407" s="20">
        <f t="shared" ref="G4407:G4412" si="128">+E4407*F4407</f>
        <v>595</v>
      </c>
      <c r="H4407" s="211" t="s">
        <v>528</v>
      </c>
    </row>
    <row r="4408" spans="1:8">
      <c r="A4408" s="211" t="s">
        <v>486</v>
      </c>
      <c r="B4408" s="216" t="str">
        <f ca="1">_xlfn.CONCAT(B4404,A4408)</f>
        <v>23AB3C8A-C</v>
      </c>
      <c r="C4408" s="17" t="str">
        <f>_xlfn.XLOOKUP(H4408,'Materiales unitario'!$A$1:$A$2500,'Materiales unitario'!B$1:B$2500,,0,1)</f>
        <v>Servicio de grúa en el sitio</v>
      </c>
      <c r="D4408" s="184" t="str">
        <f>_xlfn.XLOOKUP(H4408,'Materiales unitario'!A$1:A$2500,'Materiales unitario'!C$1:C$2500,,0,1)</f>
        <v>hr</v>
      </c>
      <c r="E4408" s="197">
        <f>_xlfn.XLOOKUP(H4408,'Materiales unitario'!$A$1:$A$2500,'Materiales unitario'!D$1:D$2500,,0,1)</f>
        <v>426720</v>
      </c>
      <c r="F4408" s="19">
        <v>0.3</v>
      </c>
      <c r="G4408" s="20">
        <f t="shared" si="128"/>
        <v>128016</v>
      </c>
      <c r="H4408" s="211" t="s">
        <v>529</v>
      </c>
    </row>
    <row r="4409" spans="1:8">
      <c r="A4409" s="211" t="s">
        <v>487</v>
      </c>
      <c r="B4409" s="216" t="str">
        <f ca="1">_xlfn.CONCAT(B4404,A4409)</f>
        <v>23AB3C8A-D</v>
      </c>
      <c r="C4409" s="17" t="str">
        <f>_xlfn.XLOOKUP(H4409,'Materiales unitario'!$A$1:$A$2500,'Materiales unitario'!B$1:B$2500,,0,1)</f>
        <v>Tubo metálico galv. ø4" IMC</v>
      </c>
      <c r="D4409" s="184" t="str">
        <f>_xlfn.XLOOKUP(H4409,'Materiales unitario'!A$1:A$2500,'Materiales unitario'!C$1:C$2500,,0,1)</f>
        <v>ml</v>
      </c>
      <c r="E4409" s="197">
        <f>_xlfn.XLOOKUP(H4409,'Materiales unitario'!$A$1:$A$2500,'Materiales unitario'!D$1:D$2500,,0,1)</f>
        <v>200600</v>
      </c>
      <c r="F4409" s="19">
        <v>1</v>
      </c>
      <c r="G4409" s="20">
        <f t="shared" si="128"/>
        <v>200600</v>
      </c>
      <c r="H4409" s="211" t="s">
        <v>386</v>
      </c>
    </row>
    <row r="4410" spans="1:8">
      <c r="A4410" s="211" t="s">
        <v>488</v>
      </c>
      <c r="B4410" s="216" t="str">
        <f ca="1">_xlfn.CONCAT(B4404,A4410)</f>
        <v>23AB3C8A-E</v>
      </c>
      <c r="C4410" s="17" t="str">
        <f>_xlfn.XLOOKUP(H4410,'Materiales unitario'!$A$1:$A$2500,'Materiales unitario'!B$1:B$2500,,0,1)</f>
        <v xml:space="preserve">Unión Conduit galv. ø4" </v>
      </c>
      <c r="D4410" s="184" t="str">
        <f>_xlfn.XLOOKUP(H4410,'Materiales unitario'!A$1:A$2500,'Materiales unitario'!C$1:C$2500,,0,1)</f>
        <v>un</v>
      </c>
      <c r="E4410" s="197">
        <f>_xlfn.XLOOKUP(H4410,'Materiales unitario'!$A$1:$A$2500,'Materiales unitario'!D$1:D$2500,,0,1)</f>
        <v>32725</v>
      </c>
      <c r="F4410" s="19">
        <v>0.3</v>
      </c>
      <c r="G4410" s="20">
        <f t="shared" si="128"/>
        <v>9817.5</v>
      </c>
      <c r="H4410" s="211" t="s">
        <v>390</v>
      </c>
    </row>
    <row r="4411" spans="1:8">
      <c r="A4411" s="211" t="s">
        <v>489</v>
      </c>
      <c r="B4411" s="216" t="str">
        <f ca="1">_xlfn.CONCAT(B4404,A4411)</f>
        <v>23AB3C8A-F</v>
      </c>
      <c r="C4411" s="17" t="str">
        <f>_xlfn.XLOOKUP(H4411,'Materiales unitario'!$A$1:$A$2500,'Materiales unitario'!B$1:B$2500,,0,1)</f>
        <v>Capacete en aluminio fundido ø4"</v>
      </c>
      <c r="D4411" s="184" t="str">
        <f>_xlfn.XLOOKUP(H4411,'Materiales unitario'!A$1:A$2500,'Materiales unitario'!C$1:C$2500,,0,1)</f>
        <v>un</v>
      </c>
      <c r="E4411" s="197">
        <f>_xlfn.XLOOKUP(H4411,'Materiales unitario'!$A$1:$A$2500,'Materiales unitario'!D$1:D$2500,,0,1)</f>
        <v>81991</v>
      </c>
      <c r="F4411" s="19">
        <v>0.3</v>
      </c>
      <c r="G4411" s="20">
        <f t="shared" si="128"/>
        <v>24597.3</v>
      </c>
      <c r="H4411" s="211" t="s">
        <v>288</v>
      </c>
    </row>
    <row r="4412" spans="1:8">
      <c r="A4412" s="211" t="s">
        <v>490</v>
      </c>
      <c r="B4412" s="216" t="str">
        <f ca="1">_xlfn.CONCAT(B4404,A4412)</f>
        <v>23AB3C8A-G</v>
      </c>
      <c r="C4412" s="17" t="str">
        <f>_xlfn.XLOOKUP(H4412,'Materiales unitario'!$A$1:$A$2500,'Materiales unitario'!B$1:B$2500,,0,1)</f>
        <v>Curva PVC ø4" para ducto DB</v>
      </c>
      <c r="D4412" s="184" t="str">
        <f>_xlfn.XLOOKUP(H4412,'Materiales unitario'!A$1:A$2500,'Materiales unitario'!C$1:C$2500,,0,1)</f>
        <v>un</v>
      </c>
      <c r="E4412" s="197">
        <f>_xlfn.XLOOKUP(H4412,'Materiales unitario'!$A$1:$A$2500,'Materiales unitario'!D$1:D$2500,,0,1)</f>
        <v>28560</v>
      </c>
      <c r="F4412" s="19">
        <v>0.3</v>
      </c>
      <c r="G4412" s="20">
        <f t="shared" si="128"/>
        <v>8568</v>
      </c>
      <c r="H4412" s="211" t="s">
        <v>312</v>
      </c>
    </row>
    <row r="4413" spans="1:8">
      <c r="A4413" s="211" t="s">
        <v>491</v>
      </c>
      <c r="B4413" s="216" t="str">
        <f ca="1">_xlfn.CONCAT(B4404,A4413)</f>
        <v>23AB3C8A-H</v>
      </c>
      <c r="C4413" s="17"/>
      <c r="D4413" s="184"/>
      <c r="E4413" s="197"/>
      <c r="F4413" s="19"/>
      <c r="G4413" s="20"/>
    </row>
    <row r="4414" spans="1:8">
      <c r="A4414" s="211" t="s">
        <v>492</v>
      </c>
      <c r="B4414" s="216" t="str">
        <f ca="1">_xlfn.CONCAT(B4404,A4414)</f>
        <v>23AB3C8A-I</v>
      </c>
      <c r="C4414" s="17"/>
      <c r="D4414" s="184"/>
      <c r="E4414" s="197"/>
      <c r="F4414" s="19"/>
      <c r="G4414" s="20"/>
    </row>
    <row r="4415" spans="1:8">
      <c r="A4415" s="211" t="s">
        <v>493</v>
      </c>
      <c r="B4415" s="216" t="str">
        <f ca="1">_xlfn.CONCAT(B4404,A4415)</f>
        <v>23AB3C8A-J</v>
      </c>
      <c r="C4415" s="17"/>
      <c r="D4415" s="184"/>
      <c r="E4415" s="197"/>
      <c r="F4415" s="19"/>
      <c r="G4415" s="20"/>
    </row>
    <row r="4416" spans="1:8">
      <c r="A4416" s="211" t="s">
        <v>494</v>
      </c>
      <c r="B4416" s="216" t="str">
        <f ca="1">_xlfn.CONCAT(B4404,A4416)</f>
        <v>23AB3C8A-K</v>
      </c>
      <c r="C4416" s="17"/>
      <c r="D4416" s="184"/>
      <c r="E4416" s="197"/>
      <c r="F4416" s="19"/>
      <c r="G4416" s="20"/>
    </row>
    <row r="4417" spans="1:8">
      <c r="A4417" s="211" t="s">
        <v>495</v>
      </c>
      <c r="B4417" s="216" t="str">
        <f ca="1">_xlfn.CONCAT(B4404,A4417)</f>
        <v>23AB3C8A-L</v>
      </c>
      <c r="C4417" s="17"/>
      <c r="D4417" s="184"/>
      <c r="E4417" s="197"/>
      <c r="F4417" s="19"/>
      <c r="G4417" s="20"/>
    </row>
    <row r="4418" spans="1:8">
      <c r="A4418" s="211" t="s">
        <v>496</v>
      </c>
      <c r="B4418" s="216" t="str">
        <f ca="1">_xlfn.CONCAT(B4404,A4418)</f>
        <v>23AB3C8A-M</v>
      </c>
      <c r="C4418" s="17"/>
      <c r="D4418" s="184"/>
      <c r="E4418" s="197"/>
      <c r="F4418" s="19"/>
      <c r="G4418" s="20"/>
    </row>
    <row r="4419" spans="1:8">
      <c r="A4419" s="211" t="s">
        <v>497</v>
      </c>
      <c r="B4419" s="216" t="str">
        <f ca="1">_xlfn.CONCAT(B4404,A4419)</f>
        <v>23AB3C8A-N</v>
      </c>
      <c r="C4419" s="17"/>
      <c r="D4419" s="184"/>
      <c r="E4419" s="197"/>
      <c r="F4419" s="19"/>
      <c r="G4419" s="20"/>
    </row>
    <row r="4420" spans="1:8">
      <c r="A4420" s="211" t="s">
        <v>498</v>
      </c>
      <c r="B4420" s="216" t="str">
        <f ca="1">_xlfn.CONCAT(B4404,A4420)</f>
        <v>23AB3C8A-O</v>
      </c>
      <c r="C4420" s="17"/>
      <c r="D4420" s="184"/>
      <c r="E4420" s="197"/>
      <c r="F4420" s="19"/>
      <c r="G4420" s="20"/>
    </row>
    <row r="4421" spans="1:8">
      <c r="A4421" s="211" t="s">
        <v>499</v>
      </c>
      <c r="B4421" s="216" t="str">
        <f ca="1">_xlfn.CONCAT(B4404,A4421)</f>
        <v>23AB3C8A-P</v>
      </c>
      <c r="C4421" s="17"/>
      <c r="D4421" s="184"/>
      <c r="E4421" s="197"/>
      <c r="F4421" s="19"/>
      <c r="G4421" s="20"/>
    </row>
    <row r="4422" spans="1:8">
      <c r="A4422" s="211" t="s">
        <v>500</v>
      </c>
      <c r="B4422" s="216" t="str">
        <f ca="1">_xlfn.CONCAT(B4404,A4422)</f>
        <v>23AB3C8A-Q</v>
      </c>
      <c r="C4422" s="17"/>
      <c r="D4422" s="184"/>
      <c r="E4422" s="197"/>
      <c r="F4422" s="19"/>
      <c r="G4422" s="20"/>
    </row>
    <row r="4423" spans="1:8">
      <c r="A4423" s="211" t="s">
        <v>501</v>
      </c>
      <c r="B4423" s="216" t="str">
        <f ca="1">_xlfn.CONCAT(B4404,A4423)</f>
        <v>23AB3C8A-R</v>
      </c>
      <c r="C4423" s="17"/>
      <c r="D4423" s="184"/>
      <c r="E4423" s="197"/>
      <c r="F4423" s="19"/>
      <c r="G4423" s="20"/>
    </row>
    <row r="4424" spans="1:8">
      <c r="A4424" s="211" t="s">
        <v>502</v>
      </c>
      <c r="B4424" s="216" t="str">
        <f ca="1">_xlfn.CONCAT(B4404,A4424)</f>
        <v>23AB3C8A-S</v>
      </c>
      <c r="C4424" s="17"/>
      <c r="D4424" s="184"/>
      <c r="E4424" s="197"/>
      <c r="F4424" s="19"/>
      <c r="G4424" s="20"/>
    </row>
    <row r="4425" spans="1:8">
      <c r="A4425" s="211" t="s">
        <v>503</v>
      </c>
      <c r="B4425" s="216" t="str">
        <f ca="1">_xlfn.CONCAT(B4404,A4425)</f>
        <v>23AB3C8A-T</v>
      </c>
      <c r="C4425" s="17"/>
      <c r="D4425" s="184"/>
      <c r="E4425" s="197"/>
      <c r="F4425" s="19"/>
      <c r="G4425" s="20"/>
    </row>
    <row r="4426" spans="1:8" ht="14.25" thickBot="1">
      <c r="A4426" s="211" t="s">
        <v>504</v>
      </c>
      <c r="B4426" s="216" t="str">
        <f ca="1">_xlfn.CONCAT(B4404,A4426)</f>
        <v>23AB3C8A-U</v>
      </c>
      <c r="C4426" s="17"/>
      <c r="D4426" s="184"/>
      <c r="E4426" s="197"/>
      <c r="F4426" s="19"/>
      <c r="G4426" s="20"/>
    </row>
    <row r="4427" spans="1:8" ht="14.25" thickBot="1">
      <c r="A4427" s="211" t="s">
        <v>505</v>
      </c>
      <c r="B4427" s="216" t="str">
        <f ca="1">_xlfn.CONCAT(B4404,A4427)</f>
        <v>23AB3C8A-V</v>
      </c>
      <c r="C4427" s="17" t="s">
        <v>17</v>
      </c>
      <c r="D4427" s="192" t="s">
        <v>17</v>
      </c>
      <c r="E4427" s="18"/>
      <c r="F4427" s="22" t="s">
        <v>18</v>
      </c>
      <c r="G4427" s="23">
        <f>SUM(G4406:G4426)</f>
        <v>375621</v>
      </c>
    </row>
    <row r="4428" spans="1:8" ht="15.75" thickBot="1">
      <c r="A4428" s="211" t="s">
        <v>506</v>
      </c>
      <c r="B4428" s="216" t="str">
        <f ca="1">_xlfn.CONCAT(B4404,A4428)</f>
        <v>23AB3C8A-W</v>
      </c>
      <c r="C4428" s="10" t="s">
        <v>19</v>
      </c>
      <c r="D4428" s="190"/>
      <c r="E4428" s="11"/>
      <c r="F4428" s="12"/>
      <c r="G4428" s="13"/>
    </row>
    <row r="4429" spans="1:8" ht="14.25" thickBot="1">
      <c r="A4429" s="211" t="s">
        <v>507</v>
      </c>
      <c r="B4429" s="216" t="str">
        <f ca="1">_xlfn.CONCAT(B4404,A4429)</f>
        <v>23AB3C8A-X</v>
      </c>
      <c r="C4429" s="14" t="s">
        <v>1</v>
      </c>
      <c r="D4429" s="15"/>
      <c r="E4429" s="15" t="s">
        <v>20</v>
      </c>
      <c r="F4429" s="16" t="s">
        <v>21</v>
      </c>
      <c r="G4429" s="15" t="s">
        <v>5</v>
      </c>
      <c r="H4429" s="215"/>
    </row>
    <row r="4430" spans="1:8">
      <c r="A4430" s="211" t="s">
        <v>508</v>
      </c>
      <c r="B4430" s="216" t="str">
        <f ca="1">_xlfn.CONCAT(B4404,A4430)</f>
        <v>23AB3C8A-Y</v>
      </c>
      <c r="C4430" s="24" t="s">
        <v>22</v>
      </c>
      <c r="D4430" s="184"/>
      <c r="E4430" s="25">
        <f>_xlfn.XLOOKUP(C4430,'H-MO'!B$7:B$30,'H-MO'!D$7:D$30,,0,1)</f>
        <v>2436.5624999999995</v>
      </c>
      <c r="F4430" s="19">
        <v>1</v>
      </c>
      <c r="G4430" s="33">
        <f t="shared" ref="G4430:G4435" si="129">+E4430*F4430</f>
        <v>2436.5624999999995</v>
      </c>
    </row>
    <row r="4431" spans="1:8">
      <c r="A4431" s="211" t="s">
        <v>509</v>
      </c>
      <c r="B4431" s="216" t="str">
        <f ca="1">_xlfn.CONCAT(B4404,A4431)</f>
        <v>23AB3C8A-Z</v>
      </c>
      <c r="C4431" s="24" t="s">
        <v>23</v>
      </c>
      <c r="D4431" s="184"/>
      <c r="E4431" s="25">
        <f>_xlfn.XLOOKUP(C4431,'H-MO'!B$7:B$30,'H-MO'!D$7:D$30,,0,1)</f>
        <v>1461.9374999999998</v>
      </c>
      <c r="F4431" s="19">
        <v>0.3</v>
      </c>
      <c r="G4431" s="33">
        <f t="shared" si="129"/>
        <v>438.5812499999999</v>
      </c>
    </row>
    <row r="4432" spans="1:8">
      <c r="A4432" s="211" t="s">
        <v>510</v>
      </c>
      <c r="B4432" s="216" t="str">
        <f ca="1">_xlfn.CONCAT(B4404,A4432)</f>
        <v>23AB3C8A-aa</v>
      </c>
      <c r="C4432" s="24" t="s">
        <v>24</v>
      </c>
      <c r="D4432" s="185"/>
      <c r="E4432" s="25">
        <f>_xlfn.XLOOKUP(C4432,'H-MO'!B$7:B$30,'H-MO'!D$7:D$30,,0,1)</f>
        <v>29238.749999999996</v>
      </c>
      <c r="F4432" s="28">
        <v>0.5</v>
      </c>
      <c r="G4432" s="33">
        <f t="shared" si="129"/>
        <v>14619.374999999998</v>
      </c>
    </row>
    <row r="4433" spans="1:8">
      <c r="A4433" s="211" t="s">
        <v>511</v>
      </c>
      <c r="B4433" s="216" t="str">
        <f ca="1">_xlfn.CONCAT(B4404,A4433)</f>
        <v>23AB3C8A-ab</v>
      </c>
      <c r="C4433" s="24" t="s">
        <v>25</v>
      </c>
      <c r="D4433" s="185"/>
      <c r="E4433" s="25">
        <f>_xlfn.XLOOKUP(C4433,'H-MO'!B$7:B$30,'H-MO'!D$7:D$30,,0,1)</f>
        <v>2761.4374999999995</v>
      </c>
      <c r="F4433" s="28">
        <v>2</v>
      </c>
      <c r="G4433" s="33">
        <f t="shared" si="129"/>
        <v>5522.8749999999991</v>
      </c>
    </row>
    <row r="4434" spans="1:8">
      <c r="A4434" s="211" t="s">
        <v>512</v>
      </c>
      <c r="B4434" s="216" t="str">
        <f ca="1">_xlfn.CONCAT(B4404,A4434)</f>
        <v>23AB3C8A-ac</v>
      </c>
      <c r="C4434" s="24"/>
      <c r="D4434" s="185"/>
      <c r="E4434" s="29"/>
      <c r="F4434" s="28">
        <v>0</v>
      </c>
      <c r="G4434" s="33">
        <f t="shared" si="129"/>
        <v>0</v>
      </c>
    </row>
    <row r="4435" spans="1:8" ht="14.25" thickBot="1">
      <c r="A4435" s="211" t="s">
        <v>513</v>
      </c>
      <c r="B4435" s="216" t="str">
        <f ca="1">_xlfn.CONCAT(B4404,A4435)</f>
        <v>23AB3C8A-ad</v>
      </c>
      <c r="C4435" s="24"/>
      <c r="D4435" s="185"/>
      <c r="E4435" s="29"/>
      <c r="F4435" s="28">
        <v>0</v>
      </c>
      <c r="G4435" s="33">
        <f t="shared" si="129"/>
        <v>0</v>
      </c>
    </row>
    <row r="4436" spans="1:8" ht="14.25" thickBot="1">
      <c r="A4436" s="211" t="s">
        <v>514</v>
      </c>
      <c r="B4436" s="216" t="str">
        <f ca="1">_xlfn.CONCAT(B4404,A4436)</f>
        <v>23AB3C8A-ae</v>
      </c>
      <c r="C4436" s="17"/>
      <c r="D4436" s="192"/>
      <c r="E4436" s="18"/>
      <c r="F4436" s="22" t="s">
        <v>26</v>
      </c>
      <c r="G4436" s="23">
        <f>SUM(G4430:G4435)</f>
        <v>23017.393749999996</v>
      </c>
    </row>
    <row r="4437" spans="1:8" ht="15.75" thickBot="1">
      <c r="A4437" s="211" t="s">
        <v>515</v>
      </c>
      <c r="B4437" s="216" t="str">
        <f ca="1">_xlfn.CONCAT(B4404,A4437)</f>
        <v>23AB3C8A-af</v>
      </c>
      <c r="C4437" s="10" t="s">
        <v>27</v>
      </c>
      <c r="D4437" s="190"/>
      <c r="E4437" s="11"/>
      <c r="F4437" s="12"/>
      <c r="G4437" s="13"/>
    </row>
    <row r="4438" spans="1:8" ht="14.25" thickBot="1">
      <c r="A4438" s="211" t="s">
        <v>516</v>
      </c>
      <c r="B4438" s="216" t="str">
        <f ca="1">_xlfn.CONCAT(B4404,A4438)</f>
        <v>23AB3C8A-ag</v>
      </c>
      <c r="C4438" s="14" t="s">
        <v>1</v>
      </c>
      <c r="D4438" s="15" t="s">
        <v>28</v>
      </c>
      <c r="E4438" s="15" t="s">
        <v>20</v>
      </c>
      <c r="F4438" s="16" t="s">
        <v>21</v>
      </c>
      <c r="G4438" s="15" t="s">
        <v>5</v>
      </c>
      <c r="H4438" s="215"/>
    </row>
    <row r="4439" spans="1:8">
      <c r="A4439" s="211" t="s">
        <v>517</v>
      </c>
      <c r="B4439" s="216" t="str">
        <f ca="1">_xlfn.CONCAT(B4404,A4439)</f>
        <v>23AB3C8A-ah</v>
      </c>
      <c r="C4439" s="30" t="s">
        <v>29</v>
      </c>
      <c r="D4439" s="186">
        <f>'H-MO'!$N$77</f>
        <v>725918.52892505517</v>
      </c>
      <c r="E4439" s="31">
        <f>+D4439/8</f>
        <v>90739.816115631897</v>
      </c>
      <c r="F4439" s="32">
        <v>1</v>
      </c>
      <c r="G4439" s="33">
        <f>+E4439*F4439</f>
        <v>90739.816115631897</v>
      </c>
    </row>
    <row r="4440" spans="1:8">
      <c r="A4440" s="211" t="s">
        <v>518</v>
      </c>
      <c r="B4440" s="216" t="str">
        <f ca="1">_xlfn.CONCAT(B4404,A4440)</f>
        <v>23AB3C8A-ai</v>
      </c>
      <c r="C4440" s="34" t="s">
        <v>30</v>
      </c>
      <c r="D4440" s="187">
        <f>'H-MO'!$N$86</f>
        <v>685561.39085756091</v>
      </c>
      <c r="E4440" s="29">
        <f>+D4440/8</f>
        <v>85695.173857195114</v>
      </c>
      <c r="F4440" s="28">
        <v>0.3</v>
      </c>
      <c r="G4440" s="33">
        <f>+E4440*F4440</f>
        <v>25708.552157158534</v>
      </c>
    </row>
    <row r="4441" spans="1:8" ht="14.25" thickBot="1">
      <c r="A4441" s="211" t="s">
        <v>519</v>
      </c>
      <c r="B4441" s="216" t="str">
        <f ca="1">_xlfn.CONCAT(B4404,A4441)</f>
        <v>23AB3C8A-aj</v>
      </c>
      <c r="C4441" s="34"/>
      <c r="D4441" s="187"/>
      <c r="E4441" s="29"/>
      <c r="F4441" s="28">
        <v>0</v>
      </c>
      <c r="G4441" s="33">
        <f>+E4441*F4441</f>
        <v>0</v>
      </c>
    </row>
    <row r="4442" spans="1:8" ht="14.25" thickBot="1">
      <c r="A4442" s="211" t="s">
        <v>520</v>
      </c>
      <c r="B4442" s="216" t="str">
        <f ca="1">_xlfn.CONCAT(B4404,A4442)</f>
        <v>23AB3C8A-ak</v>
      </c>
      <c r="C4442" s="34"/>
      <c r="D4442" s="185"/>
      <c r="E4442" s="26"/>
      <c r="F4442" s="36" t="s">
        <v>31</v>
      </c>
      <c r="G4442" s="23">
        <f>SUM(G4439:G4441)</f>
        <v>116448.36827279042</v>
      </c>
    </row>
    <row r="4443" spans="1:8" ht="14.25" thickBot="1">
      <c r="A4443" s="211" t="s">
        <v>521</v>
      </c>
      <c r="B4443" s="216" t="str">
        <f ca="1">_xlfn.CONCAT(B4404,A4443)</f>
        <v>23AB3C8A-al</v>
      </c>
      <c r="C4443" s="37"/>
      <c r="E4443" s="38"/>
      <c r="F4443" s="22"/>
      <c r="G4443" s="39"/>
    </row>
    <row r="4444" spans="1:8" ht="16.5" thickBot="1">
      <c r="A4444" s="211" t="s">
        <v>522</v>
      </c>
      <c r="B4444" s="216" t="str">
        <f ca="1">_xlfn.CONCAT(B4404,A4444)</f>
        <v>23AB3C8A-am</v>
      </c>
      <c r="C4444" s="40"/>
      <c r="D4444" s="193"/>
      <c r="E4444" s="41"/>
      <c r="F4444" s="42"/>
      <c r="G4444" s="43">
        <f>+G4427+G4436+G4442</f>
        <v>515086.76202279038</v>
      </c>
    </row>
    <row r="4445" spans="1:8" ht="21.75" thickBot="1">
      <c r="B4445" s="212" t="s">
        <v>550</v>
      </c>
      <c r="C4445" s="2"/>
      <c r="D4445" s="183"/>
      <c r="F4445" s="4"/>
      <c r="G4445" s="5"/>
    </row>
    <row r="4446" spans="1:8" ht="18.75">
      <c r="A4446" s="213"/>
      <c r="B4446" s="214">
        <v>102</v>
      </c>
      <c r="C4446" s="242" t="str">
        <f ca="1">_xlfn.XLOOKUP(B4446,Cantidades!$A$10:$A$314,Cantidades!$C$10:$C$314,,0,1)</f>
        <v>Suministro e instalación de ductos  7Ø2" PVC redes de BT. Incluye tubería, campanas terminales, tapones, cinta de señalización, excavación y retiro de escombros.</v>
      </c>
      <c r="D4446" s="243"/>
      <c r="E4446" s="243"/>
      <c r="F4446" s="243"/>
      <c r="G4446" s="244"/>
      <c r="H4446" s="213"/>
    </row>
    <row r="4447" spans="1:8" ht="19.5" thickBot="1">
      <c r="A4447" s="215"/>
      <c r="B4447" s="216" t="s">
        <v>550</v>
      </c>
      <c r="C4447" s="177"/>
      <c r="D4447" s="189"/>
      <c r="E4447" s="178"/>
      <c r="F4447" s="179" t="s">
        <v>636</v>
      </c>
      <c r="G4447" s="209" t="str">
        <f ca="1">B4448</f>
        <v>142983C3-</v>
      </c>
      <c r="H4447" s="215"/>
    </row>
    <row r="4448" spans="1:8" ht="15.75" thickBot="1">
      <c r="B4448" s="212" t="str">
        <f ca="1">_xlfn.XLOOKUP(C4446,Cantidades!$C$1:$C$314,Cantidades!$B$1:$B$314,"",0,1)</f>
        <v>142983C3-</v>
      </c>
      <c r="C4448" s="10" t="s">
        <v>0</v>
      </c>
      <c r="D4448" s="190"/>
      <c r="E4448" s="11"/>
      <c r="F4448" s="12"/>
      <c r="G4448" s="13"/>
    </row>
    <row r="4449" spans="1:8" ht="14.25" thickBot="1">
      <c r="A4449" s="215"/>
      <c r="B4449" s="216" t="s">
        <v>550</v>
      </c>
      <c r="C4449" s="14" t="s">
        <v>1</v>
      </c>
      <c r="D4449" s="15" t="s">
        <v>2</v>
      </c>
      <c r="E4449" s="15" t="s">
        <v>3</v>
      </c>
      <c r="F4449" s="16" t="s">
        <v>4</v>
      </c>
      <c r="G4449" s="15" t="s">
        <v>5</v>
      </c>
    </row>
    <row r="4450" spans="1:8">
      <c r="A4450" s="211" t="s">
        <v>484</v>
      </c>
      <c r="B4450" s="216" t="str">
        <f ca="1">_xlfn.CONCAT(B4448,A4450)</f>
        <v>142983C3-A</v>
      </c>
      <c r="C4450" s="17" t="str">
        <f>_xlfn.XLOOKUP(H4450,'Materiales unitario'!$A$1:$A$2500,'Materiales unitario'!B$1:B$2500,,0,1)</f>
        <v>Ducto telef. Y Electric. pesado DB ø2" PVC</v>
      </c>
      <c r="D4450" s="184" t="str">
        <f>_xlfn.XLOOKUP(H4450,'Materiales unitario'!A$1:A$2500,'Materiales unitario'!C$1:C$2500,,0,1)</f>
        <v>ml</v>
      </c>
      <c r="E4450" s="197">
        <f>_xlfn.XLOOKUP(H4450,'Materiales unitario'!$A$1:$A$2500,'Materiales unitario'!D$1:D$2500,,0,1)</f>
        <v>38913</v>
      </c>
      <c r="F4450" s="19">
        <f>1.05*7</f>
        <v>7.3500000000000005</v>
      </c>
      <c r="G4450" s="20">
        <f>+E4450*F4450</f>
        <v>286010.55000000005</v>
      </c>
      <c r="H4450" s="211" t="s">
        <v>317</v>
      </c>
    </row>
    <row r="4451" spans="1:8">
      <c r="A4451" s="211" t="s">
        <v>485</v>
      </c>
      <c r="B4451" s="216" t="str">
        <f ca="1">_xlfn.CONCAT(B4448,A4451)</f>
        <v>142983C3-B</v>
      </c>
      <c r="C4451" s="17" t="str">
        <f>_xlfn.XLOOKUP(H4451,'Materiales unitario'!$A$1:$A$2500,'Materiales unitario'!B$1:B$2500,,0,1)</f>
        <v>Campana terminal ducto ø2" PVC</v>
      </c>
      <c r="D4451" s="184" t="str">
        <f>_xlfn.XLOOKUP(H4451,'Materiales unitario'!A$1:A$2500,'Materiales unitario'!C$1:C$2500,,0,1)</f>
        <v>un</v>
      </c>
      <c r="E4451" s="197">
        <f>_xlfn.XLOOKUP(H4451,'Materiales unitario'!$A$1:$A$2500,'Materiales unitario'!D$1:D$2500,,0,1)</f>
        <v>4046</v>
      </c>
      <c r="F4451" s="19">
        <v>1.4</v>
      </c>
      <c r="G4451" s="20">
        <f>+E4451*F4451</f>
        <v>5664.4</v>
      </c>
      <c r="H4451" s="211" t="s">
        <v>286</v>
      </c>
    </row>
    <row r="4452" spans="1:8">
      <c r="A4452" s="211" t="s">
        <v>486</v>
      </c>
      <c r="B4452" s="216" t="str">
        <f ca="1">_xlfn.CONCAT(B4448,A4452)</f>
        <v>142983C3-C</v>
      </c>
      <c r="C4452" s="17" t="str">
        <f>_xlfn.XLOOKUP(H4452,'Materiales unitario'!$A$1:$A$2500,'Materiales unitario'!B$1:B$2500,,0,1)</f>
        <v>Soldadura liquida PVC 1/4 de galón</v>
      </c>
      <c r="D4452" s="184" t="str">
        <f>_xlfn.XLOOKUP(H4452,'Materiales unitario'!A$1:A$2500,'Materiales unitario'!C$1:C$2500,,0,1)</f>
        <v>un</v>
      </c>
      <c r="E4452" s="197">
        <f>_xlfn.XLOOKUP(H4452,'Materiales unitario'!$A$1:$A$2500,'Materiales unitario'!D$1:D$2500,,0,1)</f>
        <v>60900</v>
      </c>
      <c r="F4452" s="19">
        <f>0.006*7</f>
        <v>4.2000000000000003E-2</v>
      </c>
      <c r="G4452" s="20">
        <f>+E4452*F4452</f>
        <v>2557.8000000000002</v>
      </c>
      <c r="H4452" s="211" t="s">
        <v>530</v>
      </c>
    </row>
    <row r="4453" spans="1:8">
      <c r="A4453" s="211" t="s">
        <v>487</v>
      </c>
      <c r="B4453" s="216" t="str">
        <f ca="1">_xlfn.CONCAT(B4448,A4453)</f>
        <v>142983C3-D</v>
      </c>
      <c r="C4453" s="17"/>
      <c r="D4453" s="184"/>
      <c r="E4453" s="197"/>
      <c r="F4453" s="19"/>
      <c r="G4453" s="20"/>
    </row>
    <row r="4454" spans="1:8">
      <c r="A4454" s="211" t="s">
        <v>488</v>
      </c>
      <c r="B4454" s="216" t="str">
        <f ca="1">_xlfn.CONCAT(B4448,A4454)</f>
        <v>142983C3-E</v>
      </c>
      <c r="C4454" s="17"/>
      <c r="D4454" s="184"/>
      <c r="E4454" s="197"/>
      <c r="F4454" s="19"/>
      <c r="G4454" s="20"/>
    </row>
    <row r="4455" spans="1:8">
      <c r="A4455" s="211" t="s">
        <v>489</v>
      </c>
      <c r="B4455" s="216" t="str">
        <f ca="1">_xlfn.CONCAT(B4448,A4455)</f>
        <v>142983C3-F</v>
      </c>
      <c r="C4455" s="17"/>
      <c r="D4455" s="184"/>
      <c r="E4455" s="197"/>
      <c r="F4455" s="19"/>
      <c r="G4455" s="20"/>
    </row>
    <row r="4456" spans="1:8">
      <c r="A4456" s="211" t="s">
        <v>490</v>
      </c>
      <c r="B4456" s="216" t="str">
        <f ca="1">_xlfn.CONCAT(B4448,A4456)</f>
        <v>142983C3-G</v>
      </c>
      <c r="C4456" s="17"/>
      <c r="D4456" s="184"/>
      <c r="E4456" s="197"/>
      <c r="F4456" s="19"/>
      <c r="G4456" s="20"/>
    </row>
    <row r="4457" spans="1:8">
      <c r="A4457" s="211" t="s">
        <v>491</v>
      </c>
      <c r="B4457" s="216" t="str">
        <f ca="1">_xlfn.CONCAT(B4448,A4457)</f>
        <v>142983C3-H</v>
      </c>
      <c r="C4457" s="17"/>
      <c r="D4457" s="184"/>
      <c r="E4457" s="197"/>
      <c r="F4457" s="19"/>
      <c r="G4457" s="20"/>
    </row>
    <row r="4458" spans="1:8">
      <c r="A4458" s="211" t="s">
        <v>492</v>
      </c>
      <c r="B4458" s="216" t="str">
        <f ca="1">_xlfn.CONCAT(B4448,A4458)</f>
        <v>142983C3-I</v>
      </c>
      <c r="C4458" s="17"/>
      <c r="D4458" s="184"/>
      <c r="E4458" s="197"/>
      <c r="F4458" s="19"/>
      <c r="G4458" s="20"/>
    </row>
    <row r="4459" spans="1:8">
      <c r="A4459" s="211" t="s">
        <v>493</v>
      </c>
      <c r="B4459" s="216" t="str">
        <f ca="1">_xlfn.CONCAT(B4448,A4459)</f>
        <v>142983C3-J</v>
      </c>
      <c r="C4459" s="17"/>
      <c r="D4459" s="184"/>
      <c r="E4459" s="197"/>
      <c r="F4459" s="19"/>
      <c r="G4459" s="20"/>
    </row>
    <row r="4460" spans="1:8">
      <c r="A4460" s="211" t="s">
        <v>494</v>
      </c>
      <c r="B4460" s="216" t="str">
        <f ca="1">_xlfn.CONCAT(B4448,A4460)</f>
        <v>142983C3-K</v>
      </c>
      <c r="C4460" s="17"/>
      <c r="D4460" s="184"/>
      <c r="E4460" s="197"/>
      <c r="F4460" s="19"/>
      <c r="G4460" s="20"/>
    </row>
    <row r="4461" spans="1:8">
      <c r="A4461" s="211" t="s">
        <v>495</v>
      </c>
      <c r="B4461" s="216" t="str">
        <f ca="1">_xlfn.CONCAT(B4448,A4461)</f>
        <v>142983C3-L</v>
      </c>
      <c r="C4461" s="17"/>
      <c r="D4461" s="184"/>
      <c r="E4461" s="197"/>
      <c r="F4461" s="19"/>
      <c r="G4461" s="20"/>
    </row>
    <row r="4462" spans="1:8">
      <c r="A4462" s="211" t="s">
        <v>496</v>
      </c>
      <c r="B4462" s="216" t="str">
        <f ca="1">_xlfn.CONCAT(B4448,A4462)</f>
        <v>142983C3-M</v>
      </c>
      <c r="C4462" s="17"/>
      <c r="D4462" s="184"/>
      <c r="E4462" s="197"/>
      <c r="F4462" s="19"/>
      <c r="G4462" s="20"/>
    </row>
    <row r="4463" spans="1:8">
      <c r="A4463" s="211" t="s">
        <v>497</v>
      </c>
      <c r="B4463" s="216" t="str">
        <f ca="1">_xlfn.CONCAT(B4448,A4463)</f>
        <v>142983C3-N</v>
      </c>
      <c r="C4463" s="17"/>
      <c r="D4463" s="184"/>
      <c r="E4463" s="197"/>
      <c r="F4463" s="19"/>
      <c r="G4463" s="20"/>
    </row>
    <row r="4464" spans="1:8">
      <c r="A4464" s="211" t="s">
        <v>498</v>
      </c>
      <c r="B4464" s="216" t="str">
        <f ca="1">_xlfn.CONCAT(B4448,A4464)</f>
        <v>142983C3-O</v>
      </c>
      <c r="C4464" s="17"/>
      <c r="D4464" s="184"/>
      <c r="E4464" s="197"/>
      <c r="F4464" s="19"/>
      <c r="G4464" s="20"/>
    </row>
    <row r="4465" spans="1:8">
      <c r="A4465" s="211" t="s">
        <v>499</v>
      </c>
      <c r="B4465" s="216" t="str">
        <f ca="1">_xlfn.CONCAT(B4448,A4465)</f>
        <v>142983C3-P</v>
      </c>
      <c r="C4465" s="17"/>
      <c r="D4465" s="184"/>
      <c r="E4465" s="197"/>
      <c r="F4465" s="19"/>
      <c r="G4465" s="20"/>
    </row>
    <row r="4466" spans="1:8">
      <c r="A4466" s="211" t="s">
        <v>500</v>
      </c>
      <c r="B4466" s="216" t="str">
        <f ca="1">_xlfn.CONCAT(B4448,A4466)</f>
        <v>142983C3-Q</v>
      </c>
      <c r="C4466" s="17"/>
      <c r="D4466" s="184"/>
      <c r="E4466" s="197"/>
      <c r="F4466" s="19"/>
      <c r="G4466" s="20"/>
    </row>
    <row r="4467" spans="1:8">
      <c r="A4467" s="211" t="s">
        <v>501</v>
      </c>
      <c r="B4467" s="216" t="str">
        <f ca="1">_xlfn.CONCAT(B4448,A4467)</f>
        <v>142983C3-R</v>
      </c>
      <c r="C4467" s="17"/>
      <c r="D4467" s="184"/>
      <c r="E4467" s="197"/>
      <c r="F4467" s="19"/>
      <c r="G4467" s="20"/>
    </row>
    <row r="4468" spans="1:8">
      <c r="A4468" s="211" t="s">
        <v>502</v>
      </c>
      <c r="B4468" s="216" t="str">
        <f ca="1">_xlfn.CONCAT(B4448,A4468)</f>
        <v>142983C3-S</v>
      </c>
      <c r="C4468" s="17"/>
      <c r="D4468" s="184"/>
      <c r="E4468" s="197"/>
      <c r="F4468" s="19"/>
      <c r="G4468" s="20"/>
    </row>
    <row r="4469" spans="1:8">
      <c r="A4469" s="211" t="s">
        <v>503</v>
      </c>
      <c r="B4469" s="216" t="str">
        <f ca="1">_xlfn.CONCAT(B4448,A4469)</f>
        <v>142983C3-T</v>
      </c>
      <c r="C4469" s="17"/>
      <c r="D4469" s="184"/>
      <c r="E4469" s="197"/>
      <c r="F4469" s="19"/>
      <c r="G4469" s="20"/>
    </row>
    <row r="4470" spans="1:8" ht="14.25" thickBot="1">
      <c r="A4470" s="211" t="s">
        <v>504</v>
      </c>
      <c r="B4470" s="216" t="str">
        <f ca="1">_xlfn.CONCAT(B4448,A4470)</f>
        <v>142983C3-U</v>
      </c>
      <c r="C4470" s="17"/>
      <c r="D4470" s="184"/>
      <c r="E4470" s="197"/>
      <c r="F4470" s="19"/>
      <c r="G4470" s="20"/>
    </row>
    <row r="4471" spans="1:8" ht="14.25" thickBot="1">
      <c r="A4471" s="211" t="s">
        <v>505</v>
      </c>
      <c r="B4471" s="216" t="str">
        <f ca="1">_xlfn.CONCAT(B4448,A4471)</f>
        <v>142983C3-V</v>
      </c>
      <c r="C4471" s="17" t="s">
        <v>17</v>
      </c>
      <c r="D4471" s="192" t="s">
        <v>17</v>
      </c>
      <c r="E4471" s="18"/>
      <c r="F4471" s="22" t="s">
        <v>18</v>
      </c>
      <c r="G4471" s="23">
        <f>SUM(G4450:G4470)</f>
        <v>294232.75000000006</v>
      </c>
    </row>
    <row r="4472" spans="1:8" ht="15.75" thickBot="1">
      <c r="A4472" s="211" t="s">
        <v>506</v>
      </c>
      <c r="B4472" s="216" t="str">
        <f ca="1">_xlfn.CONCAT(B4448,A4472)</f>
        <v>142983C3-W</v>
      </c>
      <c r="C4472" s="10" t="s">
        <v>19</v>
      </c>
      <c r="D4472" s="190"/>
      <c r="E4472" s="11"/>
      <c r="F4472" s="12"/>
      <c r="G4472" s="13"/>
    </row>
    <row r="4473" spans="1:8" ht="14.25" thickBot="1">
      <c r="A4473" s="211" t="s">
        <v>507</v>
      </c>
      <c r="B4473" s="216" t="str">
        <f ca="1">_xlfn.CONCAT(B4448,A4473)</f>
        <v>142983C3-X</v>
      </c>
      <c r="C4473" s="14" t="s">
        <v>1</v>
      </c>
      <c r="D4473" s="15"/>
      <c r="E4473" s="15" t="s">
        <v>20</v>
      </c>
      <c r="F4473" s="16" t="s">
        <v>21</v>
      </c>
      <c r="G4473" s="15" t="s">
        <v>5</v>
      </c>
      <c r="H4473" s="215"/>
    </row>
    <row r="4474" spans="1:8">
      <c r="A4474" s="211" t="s">
        <v>508</v>
      </c>
      <c r="B4474" s="216" t="str">
        <f ca="1">_xlfn.CONCAT(B4448,A4474)</f>
        <v>142983C3-Y</v>
      </c>
      <c r="C4474" s="24" t="s">
        <v>22</v>
      </c>
      <c r="D4474" s="184"/>
      <c r="E4474" s="25">
        <f>_xlfn.XLOOKUP(C4474,'H-MO'!B$7:B$30,'H-MO'!D$7:D$30,,0,1)</f>
        <v>2436.5624999999995</v>
      </c>
      <c r="F4474" s="19">
        <v>0.35000000000000003</v>
      </c>
      <c r="G4474" s="33">
        <f t="shared" ref="G4474:G4479" si="130">+E4474*F4474</f>
        <v>852.79687499999989</v>
      </c>
    </row>
    <row r="4475" spans="1:8">
      <c r="A4475" s="211" t="s">
        <v>509</v>
      </c>
      <c r="B4475" s="216" t="str">
        <f ca="1">_xlfn.CONCAT(B4448,A4475)</f>
        <v>142983C3-Z</v>
      </c>
      <c r="C4475" s="24" t="s">
        <v>23</v>
      </c>
      <c r="D4475" s="184"/>
      <c r="E4475" s="25">
        <f>_xlfn.XLOOKUP(C4475,'H-MO'!B$7:B$30,'H-MO'!D$7:D$30,,0,1)</f>
        <v>1461.9374999999998</v>
      </c>
      <c r="F4475" s="19">
        <v>3.5</v>
      </c>
      <c r="G4475" s="33">
        <f t="shared" si="130"/>
        <v>5116.7812499999991</v>
      </c>
    </row>
    <row r="4476" spans="1:8">
      <c r="A4476" s="211" t="s">
        <v>510</v>
      </c>
      <c r="B4476" s="216" t="str">
        <f ca="1">_xlfn.CONCAT(B4448,A4476)</f>
        <v>142983C3-aa</v>
      </c>
      <c r="C4476" s="24" t="s">
        <v>24</v>
      </c>
      <c r="D4476" s="185"/>
      <c r="E4476" s="25">
        <f>_xlfn.XLOOKUP(C4476,'H-MO'!B$7:B$30,'H-MO'!D$7:D$30,,0,1)</f>
        <v>29238.749999999996</v>
      </c>
      <c r="F4476" s="28">
        <v>0.24500000000000002</v>
      </c>
      <c r="G4476" s="33">
        <f t="shared" si="130"/>
        <v>7163.4937499999996</v>
      </c>
    </row>
    <row r="4477" spans="1:8">
      <c r="A4477" s="211" t="s">
        <v>511</v>
      </c>
      <c r="B4477" s="216" t="str">
        <f ca="1">_xlfn.CONCAT(B4448,A4477)</f>
        <v>142983C3-ab</v>
      </c>
      <c r="C4477" s="24" t="s">
        <v>25</v>
      </c>
      <c r="D4477" s="185"/>
      <c r="E4477" s="25">
        <f>_xlfn.XLOOKUP(C4477,'H-MO'!B$7:B$30,'H-MO'!D$7:D$30,,0,1)</f>
        <v>2761.4374999999995</v>
      </c>
      <c r="F4477" s="28">
        <v>0.35000000000000003</v>
      </c>
      <c r="G4477" s="33">
        <f t="shared" si="130"/>
        <v>966.50312499999995</v>
      </c>
    </row>
    <row r="4478" spans="1:8">
      <c r="A4478" s="211" t="s">
        <v>512</v>
      </c>
      <c r="B4478" s="216" t="str">
        <f ca="1">_xlfn.CONCAT(B4448,A4478)</f>
        <v>142983C3-ac</v>
      </c>
      <c r="C4478" s="24"/>
      <c r="D4478" s="185"/>
      <c r="E4478" s="29"/>
      <c r="F4478" s="28"/>
      <c r="G4478" s="33">
        <f t="shared" si="130"/>
        <v>0</v>
      </c>
    </row>
    <row r="4479" spans="1:8" ht="14.25" thickBot="1">
      <c r="A4479" s="211" t="s">
        <v>513</v>
      </c>
      <c r="B4479" s="216" t="str">
        <f ca="1">_xlfn.CONCAT(B4448,A4479)</f>
        <v>142983C3-ad</v>
      </c>
      <c r="C4479" s="24"/>
      <c r="D4479" s="185"/>
      <c r="E4479" s="29"/>
      <c r="F4479" s="28"/>
      <c r="G4479" s="33">
        <f t="shared" si="130"/>
        <v>0</v>
      </c>
    </row>
    <row r="4480" spans="1:8" ht="14.25" thickBot="1">
      <c r="A4480" s="211" t="s">
        <v>514</v>
      </c>
      <c r="B4480" s="216" t="str">
        <f ca="1">_xlfn.CONCAT(B4448,A4480)</f>
        <v>142983C3-ae</v>
      </c>
      <c r="C4480" s="17"/>
      <c r="D4480" s="192"/>
      <c r="E4480" s="18"/>
      <c r="F4480" s="22"/>
      <c r="G4480" s="23">
        <f>SUM(G4474:G4479)</f>
        <v>14099.574999999997</v>
      </c>
    </row>
    <row r="4481" spans="1:8" ht="15.75" thickBot="1">
      <c r="A4481" s="211" t="s">
        <v>515</v>
      </c>
      <c r="B4481" s="216" t="str">
        <f ca="1">_xlfn.CONCAT(B4448,A4481)</f>
        <v>142983C3-af</v>
      </c>
      <c r="C4481" s="10" t="s">
        <v>27</v>
      </c>
      <c r="D4481" s="190"/>
      <c r="E4481" s="11"/>
      <c r="F4481" s="12"/>
      <c r="G4481" s="13"/>
    </row>
    <row r="4482" spans="1:8" ht="14.25" thickBot="1">
      <c r="A4482" s="211" t="s">
        <v>516</v>
      </c>
      <c r="B4482" s="216" t="str">
        <f ca="1">_xlfn.CONCAT(B4448,A4482)</f>
        <v>142983C3-ag</v>
      </c>
      <c r="C4482" s="14" t="s">
        <v>1</v>
      </c>
      <c r="D4482" s="15" t="s">
        <v>28</v>
      </c>
      <c r="E4482" s="15" t="s">
        <v>20</v>
      </c>
      <c r="F4482" s="16"/>
      <c r="G4482" s="15" t="s">
        <v>5</v>
      </c>
      <c r="H4482" s="215"/>
    </row>
    <row r="4483" spans="1:8">
      <c r="A4483" s="211" t="s">
        <v>517</v>
      </c>
      <c r="B4483" s="216" t="str">
        <f ca="1">_xlfn.CONCAT(B4448,A4483)</f>
        <v>142983C3-ah</v>
      </c>
      <c r="C4483" s="30" t="s">
        <v>29</v>
      </c>
      <c r="D4483" s="186">
        <f>'H-MO'!$N$77</f>
        <v>725918.52892505517</v>
      </c>
      <c r="E4483" s="31">
        <f>+D4483/8</f>
        <v>90739.816115631897</v>
      </c>
      <c r="F4483" s="32">
        <v>0.77</v>
      </c>
      <c r="G4483" s="33">
        <f>+E4483*F4483</f>
        <v>69869.658409036565</v>
      </c>
    </row>
    <row r="4484" spans="1:8">
      <c r="A4484" s="211" t="s">
        <v>518</v>
      </c>
      <c r="B4484" s="216" t="str">
        <f ca="1">_xlfn.CONCAT(B4448,A4484)</f>
        <v>142983C3-ai</v>
      </c>
      <c r="C4484" s="34" t="s">
        <v>30</v>
      </c>
      <c r="D4484" s="187">
        <f>'H-MO'!$N$86</f>
        <v>685561.39085756091</v>
      </c>
      <c r="E4484" s="29">
        <f>+D4484/8</f>
        <v>85695.173857195114</v>
      </c>
      <c r="F4484" s="28">
        <v>0.28000000000000003</v>
      </c>
      <c r="G4484" s="33">
        <f>+E4484*F4484</f>
        <v>23994.648680014634</v>
      </c>
    </row>
    <row r="4485" spans="1:8" ht="14.25" thickBot="1">
      <c r="A4485" s="211" t="s">
        <v>519</v>
      </c>
      <c r="B4485" s="216" t="str">
        <f ca="1">_xlfn.CONCAT(B4448,A4485)</f>
        <v>142983C3-aj</v>
      </c>
      <c r="C4485" s="34"/>
      <c r="D4485" s="187"/>
      <c r="E4485" s="29"/>
      <c r="F4485" s="28">
        <v>0</v>
      </c>
      <c r="G4485" s="33">
        <f>+E4485*F4485</f>
        <v>0</v>
      </c>
    </row>
    <row r="4486" spans="1:8" ht="14.25" thickBot="1">
      <c r="A4486" s="211" t="s">
        <v>520</v>
      </c>
      <c r="B4486" s="216" t="str">
        <f ca="1">_xlfn.CONCAT(B4448,A4486)</f>
        <v>142983C3-ak</v>
      </c>
      <c r="C4486" s="34"/>
      <c r="D4486" s="185"/>
      <c r="E4486" s="26"/>
      <c r="F4486" s="36" t="s">
        <v>31</v>
      </c>
      <c r="G4486" s="23">
        <f>SUM(G4483:G4485)</f>
        <v>93864.307089051203</v>
      </c>
    </row>
    <row r="4487" spans="1:8" ht="14.25" thickBot="1">
      <c r="A4487" s="211" t="s">
        <v>521</v>
      </c>
      <c r="B4487" s="216" t="str">
        <f ca="1">_xlfn.CONCAT(B4448,A4487)</f>
        <v>142983C3-al</v>
      </c>
      <c r="C4487" s="37"/>
      <c r="E4487" s="38"/>
      <c r="F4487" s="22"/>
      <c r="G4487" s="39"/>
    </row>
    <row r="4488" spans="1:8" ht="16.5" thickBot="1">
      <c r="A4488" s="211" t="s">
        <v>522</v>
      </c>
      <c r="B4488" s="216" t="str">
        <f ca="1">_xlfn.CONCAT(B4448,A4488)</f>
        <v>142983C3-am</v>
      </c>
      <c r="C4488" s="40"/>
      <c r="D4488" s="193"/>
      <c r="E4488" s="41"/>
      <c r="F4488" s="42"/>
      <c r="G4488" s="43">
        <f>+G4471+G4480+G4486</f>
        <v>402196.6320890513</v>
      </c>
    </row>
    <row r="4489" spans="1:8" ht="21.75" thickBot="1">
      <c r="B4489" s="212" t="s">
        <v>550</v>
      </c>
      <c r="C4489" s="2"/>
      <c r="D4489" s="183"/>
      <c r="F4489" s="4"/>
      <c r="G4489" s="5"/>
    </row>
    <row r="4490" spans="1:8" ht="18.75">
      <c r="A4490" s="213"/>
      <c r="B4490" s="214">
        <v>103</v>
      </c>
      <c r="C4490" s="242" t="str">
        <f ca="1">_xlfn.XLOOKUP(B4490,Cantidades!$A$10:$A$314,Cantidades!$C$10:$C$314,,0,1)</f>
        <v>Suministro e instalación de ductos  6Ø2" PVC redes de BT. Incluye tubería, campanas terminales, tapones, cinta de señalización, excavación y retiro de escombros.</v>
      </c>
      <c r="D4490" s="243"/>
      <c r="E4490" s="243"/>
      <c r="F4490" s="243"/>
      <c r="G4490" s="244"/>
      <c r="H4490" s="213"/>
    </row>
    <row r="4491" spans="1:8" ht="19.5" thickBot="1">
      <c r="A4491" s="215"/>
      <c r="B4491" s="216" t="s">
        <v>550</v>
      </c>
      <c r="C4491" s="177"/>
      <c r="D4491" s="189"/>
      <c r="E4491" s="178"/>
      <c r="F4491" s="179" t="s">
        <v>636</v>
      </c>
      <c r="G4491" s="209" t="str">
        <f ca="1">B4492</f>
        <v>21675DF7-</v>
      </c>
      <c r="H4491" s="215"/>
    </row>
    <row r="4492" spans="1:8" ht="15.75" thickBot="1">
      <c r="B4492" s="212" t="str">
        <f ca="1">_xlfn.XLOOKUP(C4490,Cantidades!$C$1:$C$314,Cantidades!$B$1:$B$314,"",0,1)</f>
        <v>21675DF7-</v>
      </c>
      <c r="C4492" s="10" t="s">
        <v>0</v>
      </c>
      <c r="D4492" s="190"/>
      <c r="E4492" s="11"/>
      <c r="F4492" s="12"/>
      <c r="G4492" s="13"/>
    </row>
    <row r="4493" spans="1:8" ht="14.25" thickBot="1">
      <c r="A4493" s="215"/>
      <c r="B4493" s="216" t="s">
        <v>550</v>
      </c>
      <c r="C4493" s="14" t="s">
        <v>1</v>
      </c>
      <c r="D4493" s="15" t="s">
        <v>2</v>
      </c>
      <c r="E4493" s="15" t="s">
        <v>3</v>
      </c>
      <c r="F4493" s="16" t="s">
        <v>4</v>
      </c>
      <c r="G4493" s="15" t="s">
        <v>5</v>
      </c>
    </row>
    <row r="4494" spans="1:8">
      <c r="A4494" s="211" t="s">
        <v>484</v>
      </c>
      <c r="B4494" s="216" t="str">
        <f ca="1">_xlfn.CONCAT(B4492,A4494)</f>
        <v>21675DF7-A</v>
      </c>
      <c r="C4494" s="17" t="str">
        <f>_xlfn.XLOOKUP(H4494,'Materiales unitario'!$A$1:$A$2500,'Materiales unitario'!B$1:B$2500,,0,1)</f>
        <v>Ducto telef. Y Electric. pesado DB ø2" PVC</v>
      </c>
      <c r="D4494" s="184" t="str">
        <f>_xlfn.XLOOKUP(H4494,'Materiales unitario'!A$1:A$2500,'Materiales unitario'!C$1:C$2500,,0,1)</f>
        <v>ml</v>
      </c>
      <c r="E4494" s="197">
        <f>_xlfn.XLOOKUP(H4494,'Materiales unitario'!$A$1:$A$2500,'Materiales unitario'!D$1:D$2500,,0,1)</f>
        <v>38913</v>
      </c>
      <c r="F4494" s="19">
        <f>6*1.05</f>
        <v>6.3000000000000007</v>
      </c>
      <c r="G4494" s="20">
        <f>+E4494*F4494</f>
        <v>245151.90000000002</v>
      </c>
      <c r="H4494" s="211" t="s">
        <v>317</v>
      </c>
    </row>
    <row r="4495" spans="1:8">
      <c r="A4495" s="211" t="s">
        <v>485</v>
      </c>
      <c r="B4495" s="216" t="str">
        <f ca="1">_xlfn.CONCAT(B4492,A4495)</f>
        <v>21675DF7-B</v>
      </c>
      <c r="C4495" s="17" t="str">
        <f>_xlfn.XLOOKUP(H4495,'Materiales unitario'!$A$1:$A$2500,'Materiales unitario'!B$1:B$2500,,0,1)</f>
        <v>Campana terminal ducto ø2" PVC</v>
      </c>
      <c r="D4495" s="184" t="str">
        <f>_xlfn.XLOOKUP(H4495,'Materiales unitario'!A$1:A$2500,'Materiales unitario'!C$1:C$2500,,0,1)</f>
        <v>un</v>
      </c>
      <c r="E4495" s="197">
        <f>_xlfn.XLOOKUP(H4495,'Materiales unitario'!$A$1:$A$2500,'Materiales unitario'!D$1:D$2500,,0,1)</f>
        <v>4046</v>
      </c>
      <c r="F4495" s="19">
        <v>0.6</v>
      </c>
      <c r="G4495" s="20">
        <f>+E4495*F4495</f>
        <v>2427.6</v>
      </c>
      <c r="H4495" s="211" t="s">
        <v>286</v>
      </c>
    </row>
    <row r="4496" spans="1:8">
      <c r="A4496" s="211" t="s">
        <v>486</v>
      </c>
      <c r="B4496" s="216" t="str">
        <f ca="1">_xlfn.CONCAT(B4492,A4496)</f>
        <v>21675DF7-C</v>
      </c>
      <c r="C4496" s="17" t="str">
        <f>_xlfn.XLOOKUP(H4496,'Materiales unitario'!$A$1:$A$2500,'Materiales unitario'!B$1:B$2500,,0,1)</f>
        <v>Soldadura liquida PVC 1/4 de galón</v>
      </c>
      <c r="D4496" s="184" t="str">
        <f>_xlfn.XLOOKUP(H4496,'Materiales unitario'!A$1:A$2500,'Materiales unitario'!C$1:C$2500,,0,1)</f>
        <v>un</v>
      </c>
      <c r="E4496" s="197">
        <f>_xlfn.XLOOKUP(H4496,'Materiales unitario'!$A$1:$A$2500,'Materiales unitario'!D$1:D$2500,,0,1)</f>
        <v>60900</v>
      </c>
      <c r="F4496" s="19">
        <f>0.006*6</f>
        <v>3.6000000000000004E-2</v>
      </c>
      <c r="G4496" s="20">
        <f>+E4496*F4496</f>
        <v>2192.4</v>
      </c>
      <c r="H4496" s="211" t="s">
        <v>530</v>
      </c>
    </row>
    <row r="4497" spans="1:7">
      <c r="A4497" s="211" t="s">
        <v>487</v>
      </c>
      <c r="B4497" s="216" t="str">
        <f ca="1">_xlfn.CONCAT(B4492,A4497)</f>
        <v>21675DF7-D</v>
      </c>
      <c r="C4497" s="17"/>
      <c r="D4497" s="184"/>
      <c r="E4497" s="197"/>
      <c r="F4497" s="19"/>
      <c r="G4497" s="20"/>
    </row>
    <row r="4498" spans="1:7">
      <c r="A4498" s="211" t="s">
        <v>488</v>
      </c>
      <c r="B4498" s="216" t="str">
        <f ca="1">_xlfn.CONCAT(B4492,A4498)</f>
        <v>21675DF7-E</v>
      </c>
      <c r="C4498" s="17"/>
      <c r="D4498" s="184"/>
      <c r="E4498" s="197"/>
      <c r="F4498" s="19"/>
      <c r="G4498" s="20"/>
    </row>
    <row r="4499" spans="1:7">
      <c r="A4499" s="211" t="s">
        <v>489</v>
      </c>
      <c r="B4499" s="216" t="str">
        <f ca="1">_xlfn.CONCAT(B4492,A4499)</f>
        <v>21675DF7-F</v>
      </c>
      <c r="C4499" s="17"/>
      <c r="D4499" s="184"/>
      <c r="E4499" s="197"/>
      <c r="F4499" s="19"/>
      <c r="G4499" s="20"/>
    </row>
    <row r="4500" spans="1:7">
      <c r="A4500" s="211" t="s">
        <v>490</v>
      </c>
      <c r="B4500" s="216" t="str">
        <f ca="1">_xlfn.CONCAT(B4492,A4500)</f>
        <v>21675DF7-G</v>
      </c>
      <c r="C4500" s="17"/>
      <c r="D4500" s="184"/>
      <c r="E4500" s="197"/>
      <c r="F4500" s="19"/>
      <c r="G4500" s="20"/>
    </row>
    <row r="4501" spans="1:7">
      <c r="A4501" s="211" t="s">
        <v>491</v>
      </c>
      <c r="B4501" s="216" t="str">
        <f ca="1">_xlfn.CONCAT(B4492,A4501)</f>
        <v>21675DF7-H</v>
      </c>
      <c r="C4501" s="17"/>
      <c r="D4501" s="184"/>
      <c r="E4501" s="197"/>
      <c r="F4501" s="19"/>
      <c r="G4501" s="20"/>
    </row>
    <row r="4502" spans="1:7">
      <c r="A4502" s="211" t="s">
        <v>492</v>
      </c>
      <c r="B4502" s="216" t="str">
        <f ca="1">_xlfn.CONCAT(B4492,A4502)</f>
        <v>21675DF7-I</v>
      </c>
      <c r="C4502" s="17"/>
      <c r="D4502" s="184"/>
      <c r="E4502" s="197"/>
      <c r="F4502" s="19"/>
      <c r="G4502" s="20"/>
    </row>
    <row r="4503" spans="1:7">
      <c r="A4503" s="211" t="s">
        <v>493</v>
      </c>
      <c r="B4503" s="216" t="str">
        <f ca="1">_xlfn.CONCAT(B4492,A4503)</f>
        <v>21675DF7-J</v>
      </c>
      <c r="C4503" s="17"/>
      <c r="D4503" s="184"/>
      <c r="E4503" s="197"/>
      <c r="F4503" s="19"/>
      <c r="G4503" s="20"/>
    </row>
    <row r="4504" spans="1:7">
      <c r="A4504" s="211" t="s">
        <v>494</v>
      </c>
      <c r="B4504" s="216" t="str">
        <f ca="1">_xlfn.CONCAT(B4492,A4504)</f>
        <v>21675DF7-K</v>
      </c>
      <c r="C4504" s="17"/>
      <c r="D4504" s="184"/>
      <c r="E4504" s="197"/>
      <c r="F4504" s="19"/>
      <c r="G4504" s="20"/>
    </row>
    <row r="4505" spans="1:7">
      <c r="A4505" s="211" t="s">
        <v>495</v>
      </c>
      <c r="B4505" s="216" t="str">
        <f ca="1">_xlfn.CONCAT(B4492,A4505)</f>
        <v>21675DF7-L</v>
      </c>
      <c r="C4505" s="17"/>
      <c r="D4505" s="184"/>
      <c r="E4505" s="197"/>
      <c r="F4505" s="19"/>
      <c r="G4505" s="20"/>
    </row>
    <row r="4506" spans="1:7">
      <c r="A4506" s="211" t="s">
        <v>496</v>
      </c>
      <c r="B4506" s="216" t="str">
        <f ca="1">_xlfn.CONCAT(B4492,A4506)</f>
        <v>21675DF7-M</v>
      </c>
      <c r="C4506" s="17"/>
      <c r="D4506" s="184"/>
      <c r="E4506" s="197"/>
      <c r="F4506" s="19"/>
      <c r="G4506" s="20"/>
    </row>
    <row r="4507" spans="1:7">
      <c r="A4507" s="211" t="s">
        <v>497</v>
      </c>
      <c r="B4507" s="216" t="str">
        <f ca="1">_xlfn.CONCAT(B4492,A4507)</f>
        <v>21675DF7-N</v>
      </c>
      <c r="C4507" s="17"/>
      <c r="D4507" s="184"/>
      <c r="E4507" s="197"/>
      <c r="F4507" s="19"/>
      <c r="G4507" s="20"/>
    </row>
    <row r="4508" spans="1:7">
      <c r="A4508" s="211" t="s">
        <v>498</v>
      </c>
      <c r="B4508" s="216" t="str">
        <f ca="1">_xlfn.CONCAT(B4492,A4508)</f>
        <v>21675DF7-O</v>
      </c>
      <c r="C4508" s="17"/>
      <c r="D4508" s="184"/>
      <c r="E4508" s="197"/>
      <c r="F4508" s="19"/>
      <c r="G4508" s="20"/>
    </row>
    <row r="4509" spans="1:7">
      <c r="A4509" s="211" t="s">
        <v>499</v>
      </c>
      <c r="B4509" s="216" t="str">
        <f ca="1">_xlfn.CONCAT(B4492,A4509)</f>
        <v>21675DF7-P</v>
      </c>
      <c r="C4509" s="17"/>
      <c r="D4509" s="184"/>
      <c r="E4509" s="197"/>
      <c r="F4509" s="19"/>
      <c r="G4509" s="20"/>
    </row>
    <row r="4510" spans="1:7">
      <c r="A4510" s="211" t="s">
        <v>500</v>
      </c>
      <c r="B4510" s="216" t="str">
        <f ca="1">_xlfn.CONCAT(B4492,A4510)</f>
        <v>21675DF7-Q</v>
      </c>
      <c r="C4510" s="17"/>
      <c r="D4510" s="184"/>
      <c r="E4510" s="197"/>
      <c r="F4510" s="19"/>
      <c r="G4510" s="20"/>
    </row>
    <row r="4511" spans="1:7">
      <c r="A4511" s="211" t="s">
        <v>501</v>
      </c>
      <c r="B4511" s="216" t="str">
        <f ca="1">_xlfn.CONCAT(B4492,A4511)</f>
        <v>21675DF7-R</v>
      </c>
      <c r="C4511" s="17"/>
      <c r="D4511" s="184"/>
      <c r="E4511" s="197"/>
      <c r="F4511" s="19"/>
      <c r="G4511" s="20"/>
    </row>
    <row r="4512" spans="1:7">
      <c r="A4512" s="211" t="s">
        <v>502</v>
      </c>
      <c r="B4512" s="216" t="str">
        <f ca="1">_xlfn.CONCAT(B4492,A4512)</f>
        <v>21675DF7-S</v>
      </c>
      <c r="C4512" s="17"/>
      <c r="D4512" s="184"/>
      <c r="E4512" s="197"/>
      <c r="F4512" s="19"/>
      <c r="G4512" s="20"/>
    </row>
    <row r="4513" spans="1:8">
      <c r="A4513" s="211" t="s">
        <v>503</v>
      </c>
      <c r="B4513" s="216" t="str">
        <f ca="1">_xlfn.CONCAT(B4492,A4513)</f>
        <v>21675DF7-T</v>
      </c>
      <c r="C4513" s="17"/>
      <c r="D4513" s="184"/>
      <c r="E4513" s="197"/>
      <c r="F4513" s="19"/>
      <c r="G4513" s="20"/>
    </row>
    <row r="4514" spans="1:8" ht="14.25" thickBot="1">
      <c r="A4514" s="211" t="s">
        <v>504</v>
      </c>
      <c r="B4514" s="216" t="str">
        <f ca="1">_xlfn.CONCAT(B4492,A4514)</f>
        <v>21675DF7-U</v>
      </c>
      <c r="C4514" s="17"/>
      <c r="D4514" s="184"/>
      <c r="E4514" s="197"/>
      <c r="F4514" s="19"/>
      <c r="G4514" s="20"/>
    </row>
    <row r="4515" spans="1:8" ht="14.25" thickBot="1">
      <c r="A4515" s="211" t="s">
        <v>505</v>
      </c>
      <c r="B4515" s="216" t="str">
        <f ca="1">_xlfn.CONCAT(B4492,A4515)</f>
        <v>21675DF7-V</v>
      </c>
      <c r="C4515" s="17" t="s">
        <v>17</v>
      </c>
      <c r="D4515" s="192" t="s">
        <v>17</v>
      </c>
      <c r="E4515" s="18"/>
      <c r="F4515" s="22" t="s">
        <v>18</v>
      </c>
      <c r="G4515" s="23">
        <f>SUM(G4494:G4514)</f>
        <v>249771.90000000002</v>
      </c>
    </row>
    <row r="4516" spans="1:8" ht="15.75" thickBot="1">
      <c r="A4516" s="211" t="s">
        <v>506</v>
      </c>
      <c r="B4516" s="216" t="str">
        <f ca="1">_xlfn.CONCAT(B4492,A4516)</f>
        <v>21675DF7-W</v>
      </c>
      <c r="C4516" s="10" t="s">
        <v>19</v>
      </c>
      <c r="D4516" s="190"/>
      <c r="E4516" s="11"/>
      <c r="F4516" s="12"/>
      <c r="G4516" s="13"/>
    </row>
    <row r="4517" spans="1:8" ht="14.25" thickBot="1">
      <c r="A4517" s="211" t="s">
        <v>507</v>
      </c>
      <c r="B4517" s="216" t="str">
        <f ca="1">_xlfn.CONCAT(B4492,A4517)</f>
        <v>21675DF7-X</v>
      </c>
      <c r="C4517" s="14" t="s">
        <v>1</v>
      </c>
      <c r="D4517" s="15"/>
      <c r="E4517" s="15" t="s">
        <v>20</v>
      </c>
      <c r="F4517" s="16" t="s">
        <v>21</v>
      </c>
      <c r="G4517" s="15" t="s">
        <v>5</v>
      </c>
      <c r="H4517" s="215"/>
    </row>
    <row r="4518" spans="1:8">
      <c r="A4518" s="211" t="s">
        <v>508</v>
      </c>
      <c r="B4518" s="216" t="str">
        <f ca="1">_xlfn.CONCAT(B4492,A4518)</f>
        <v>21675DF7-Y</v>
      </c>
      <c r="C4518" s="24" t="s">
        <v>22</v>
      </c>
      <c r="D4518" s="184"/>
      <c r="E4518" s="25">
        <f>_xlfn.XLOOKUP(C4518,'H-MO'!B$7:B$30,'H-MO'!D$7:D$30,,0,1)</f>
        <v>2436.5624999999995</v>
      </c>
      <c r="F4518" s="19">
        <v>1</v>
      </c>
      <c r="G4518" s="33">
        <f t="shared" ref="G4518:G4523" si="131">+E4518*F4518</f>
        <v>2436.5624999999995</v>
      </c>
    </row>
    <row r="4519" spans="1:8">
      <c r="A4519" s="211" t="s">
        <v>509</v>
      </c>
      <c r="B4519" s="216" t="str">
        <f ca="1">_xlfn.CONCAT(B4492,A4519)</f>
        <v>21675DF7-Z</v>
      </c>
      <c r="C4519" s="24" t="s">
        <v>23</v>
      </c>
      <c r="D4519" s="184"/>
      <c r="E4519" s="25">
        <f>_xlfn.XLOOKUP(C4519,'H-MO'!B$7:B$30,'H-MO'!D$7:D$30,,0,1)</f>
        <v>1461.9374999999998</v>
      </c>
      <c r="F4519" s="19">
        <v>0.3</v>
      </c>
      <c r="G4519" s="33">
        <f t="shared" si="131"/>
        <v>438.5812499999999</v>
      </c>
    </row>
    <row r="4520" spans="1:8">
      <c r="A4520" s="211" t="s">
        <v>510</v>
      </c>
      <c r="B4520" s="216" t="str">
        <f ca="1">_xlfn.CONCAT(B4492,A4520)</f>
        <v>21675DF7-aa</v>
      </c>
      <c r="C4520" s="24" t="s">
        <v>24</v>
      </c>
      <c r="D4520" s="185"/>
      <c r="E4520" s="25">
        <f>_xlfn.XLOOKUP(C4520,'H-MO'!B$7:B$30,'H-MO'!D$7:D$30,,0,1)</f>
        <v>29238.749999999996</v>
      </c>
      <c r="F4520" s="28">
        <v>0.5</v>
      </c>
      <c r="G4520" s="33">
        <f t="shared" si="131"/>
        <v>14619.374999999998</v>
      </c>
    </row>
    <row r="4521" spans="1:8">
      <c r="A4521" s="211" t="s">
        <v>511</v>
      </c>
      <c r="B4521" s="216" t="str">
        <f ca="1">_xlfn.CONCAT(B4492,A4521)</f>
        <v>21675DF7-ab</v>
      </c>
      <c r="C4521" s="24" t="s">
        <v>25</v>
      </c>
      <c r="D4521" s="185"/>
      <c r="E4521" s="25">
        <f>_xlfn.XLOOKUP(C4521,'H-MO'!B$7:B$30,'H-MO'!D$7:D$30,,0,1)</f>
        <v>2761.4374999999995</v>
      </c>
      <c r="F4521" s="28">
        <v>2</v>
      </c>
      <c r="G4521" s="33">
        <f t="shared" si="131"/>
        <v>5522.8749999999991</v>
      </c>
    </row>
    <row r="4522" spans="1:8">
      <c r="A4522" s="211" t="s">
        <v>512</v>
      </c>
      <c r="B4522" s="216" t="str">
        <f ca="1">_xlfn.CONCAT(B4492,A4522)</f>
        <v>21675DF7-ac</v>
      </c>
      <c r="C4522" s="24"/>
      <c r="D4522" s="185"/>
      <c r="E4522" s="29"/>
      <c r="F4522" s="28">
        <v>0</v>
      </c>
      <c r="G4522" s="33">
        <f t="shared" si="131"/>
        <v>0</v>
      </c>
    </row>
    <row r="4523" spans="1:8" ht="14.25" thickBot="1">
      <c r="A4523" s="211" t="s">
        <v>513</v>
      </c>
      <c r="B4523" s="216" t="str">
        <f ca="1">_xlfn.CONCAT(B4492,A4523)</f>
        <v>21675DF7-ad</v>
      </c>
      <c r="C4523" s="24"/>
      <c r="D4523" s="185"/>
      <c r="E4523" s="29"/>
      <c r="F4523" s="28">
        <v>0</v>
      </c>
      <c r="G4523" s="33">
        <f t="shared" si="131"/>
        <v>0</v>
      </c>
    </row>
    <row r="4524" spans="1:8" ht="14.25" thickBot="1">
      <c r="A4524" s="211" t="s">
        <v>514</v>
      </c>
      <c r="B4524" s="216" t="str">
        <f ca="1">_xlfn.CONCAT(B4492,A4524)</f>
        <v>21675DF7-ae</v>
      </c>
      <c r="C4524" s="17"/>
      <c r="D4524" s="192"/>
      <c r="E4524" s="18"/>
      <c r="F4524" s="22" t="s">
        <v>26</v>
      </c>
      <c r="G4524" s="23">
        <f>SUM(G4518:G4523)</f>
        <v>23017.393749999996</v>
      </c>
    </row>
    <row r="4525" spans="1:8" ht="15.75" thickBot="1">
      <c r="A4525" s="211" t="s">
        <v>515</v>
      </c>
      <c r="B4525" s="216" t="str">
        <f ca="1">_xlfn.CONCAT(B4492,A4525)</f>
        <v>21675DF7-af</v>
      </c>
      <c r="C4525" s="10" t="s">
        <v>27</v>
      </c>
      <c r="D4525" s="190"/>
      <c r="E4525" s="11"/>
      <c r="F4525" s="12"/>
      <c r="G4525" s="13"/>
    </row>
    <row r="4526" spans="1:8" ht="14.25" thickBot="1">
      <c r="A4526" s="211" t="s">
        <v>516</v>
      </c>
      <c r="B4526" s="216" t="str">
        <f ca="1">_xlfn.CONCAT(B4492,A4526)</f>
        <v>21675DF7-ag</v>
      </c>
      <c r="C4526" s="14" t="s">
        <v>1</v>
      </c>
      <c r="D4526" s="15" t="s">
        <v>28</v>
      </c>
      <c r="E4526" s="15" t="s">
        <v>20</v>
      </c>
      <c r="F4526" s="16" t="s">
        <v>21</v>
      </c>
      <c r="G4526" s="15" t="s">
        <v>5</v>
      </c>
      <c r="H4526" s="215"/>
    </row>
    <row r="4527" spans="1:8">
      <c r="A4527" s="211" t="s">
        <v>517</v>
      </c>
      <c r="B4527" s="216" t="str">
        <f ca="1">_xlfn.CONCAT(B4492,A4527)</f>
        <v>21675DF7-ah</v>
      </c>
      <c r="C4527" s="30" t="s">
        <v>29</v>
      </c>
      <c r="D4527" s="186">
        <f>'H-MO'!$N$77</f>
        <v>725918.52892505517</v>
      </c>
      <c r="E4527" s="31">
        <f>+D4527/8</f>
        <v>90739.816115631897</v>
      </c>
      <c r="F4527" s="32">
        <v>1</v>
      </c>
      <c r="G4527" s="33">
        <f>+E4527*F4527</f>
        <v>90739.816115631897</v>
      </c>
    </row>
    <row r="4528" spans="1:8">
      <c r="A4528" s="211" t="s">
        <v>518</v>
      </c>
      <c r="B4528" s="216" t="str">
        <f ca="1">_xlfn.CONCAT(B4492,A4528)</f>
        <v>21675DF7-ai</v>
      </c>
      <c r="C4528" s="34" t="s">
        <v>30</v>
      </c>
      <c r="D4528" s="187">
        <f>'H-MO'!$N$86</f>
        <v>685561.39085756091</v>
      </c>
      <c r="E4528" s="29">
        <f>+D4528/8</f>
        <v>85695.173857195114</v>
      </c>
      <c r="F4528" s="28">
        <v>0.3</v>
      </c>
      <c r="G4528" s="33">
        <f>+E4528*F4528</f>
        <v>25708.552157158534</v>
      </c>
    </row>
    <row r="4529" spans="1:8" ht="14.25" thickBot="1">
      <c r="A4529" s="211" t="s">
        <v>519</v>
      </c>
      <c r="B4529" s="216" t="str">
        <f ca="1">_xlfn.CONCAT(B4492,A4529)</f>
        <v>21675DF7-aj</v>
      </c>
      <c r="C4529" s="34"/>
      <c r="D4529" s="187"/>
      <c r="E4529" s="29"/>
      <c r="F4529" s="28">
        <v>0</v>
      </c>
      <c r="G4529" s="33">
        <f>+E4529*F4529</f>
        <v>0</v>
      </c>
    </row>
    <row r="4530" spans="1:8" ht="14.25" thickBot="1">
      <c r="A4530" s="211" t="s">
        <v>520</v>
      </c>
      <c r="B4530" s="216" t="str">
        <f ca="1">_xlfn.CONCAT(B4492,A4530)</f>
        <v>21675DF7-ak</v>
      </c>
      <c r="C4530" s="34"/>
      <c r="D4530" s="185"/>
      <c r="E4530" s="26"/>
      <c r="F4530" s="36" t="s">
        <v>31</v>
      </c>
      <c r="G4530" s="23">
        <f>SUM(G4527:G4529)</f>
        <v>116448.36827279042</v>
      </c>
    </row>
    <row r="4531" spans="1:8" ht="14.25" thickBot="1">
      <c r="A4531" s="211" t="s">
        <v>521</v>
      </c>
      <c r="B4531" s="216" t="str">
        <f ca="1">_xlfn.CONCAT(B4492,A4531)</f>
        <v>21675DF7-al</v>
      </c>
      <c r="C4531" s="37"/>
      <c r="E4531" s="38"/>
      <c r="F4531" s="22"/>
      <c r="G4531" s="39"/>
    </row>
    <row r="4532" spans="1:8" ht="16.5" thickBot="1">
      <c r="A4532" s="211" t="s">
        <v>522</v>
      </c>
      <c r="B4532" s="216" t="str">
        <f ca="1">_xlfn.CONCAT(B4492,A4532)</f>
        <v>21675DF7-am</v>
      </c>
      <c r="C4532" s="40"/>
      <c r="D4532" s="193"/>
      <c r="E4532" s="41"/>
      <c r="F4532" s="42"/>
      <c r="G4532" s="43">
        <f>+G4515+G4524+G4530</f>
        <v>389237.66202279041</v>
      </c>
    </row>
    <row r="4533" spans="1:8" ht="21.75" thickBot="1">
      <c r="B4533" s="212" t="s">
        <v>550</v>
      </c>
      <c r="C4533" s="2"/>
      <c r="D4533" s="183"/>
      <c r="F4533" s="4"/>
      <c r="G4533" s="5"/>
    </row>
    <row r="4534" spans="1:8" ht="18.75">
      <c r="A4534" s="213"/>
      <c r="B4534" s="214">
        <v>104</v>
      </c>
      <c r="C4534" s="242" t="str">
        <f ca="1">_xlfn.XLOOKUP(B4534,Cantidades!$A$10:$A$314,Cantidades!$C$10:$C$314,,0,1)</f>
        <v>Suministro e instalación de coraza Liquid Tide Ø2". Incluye coraza, terminales, elementos de soporte y señalización</v>
      </c>
      <c r="D4534" s="243"/>
      <c r="E4534" s="243"/>
      <c r="F4534" s="243"/>
      <c r="G4534" s="244"/>
    </row>
    <row r="4535" spans="1:8" ht="19.5" thickBot="1">
      <c r="A4535" s="215"/>
      <c r="B4535" s="216" t="s">
        <v>550</v>
      </c>
      <c r="C4535" s="177"/>
      <c r="D4535" s="189"/>
      <c r="E4535" s="178"/>
      <c r="F4535" s="179" t="s">
        <v>636</v>
      </c>
      <c r="G4535" s="209" t="str">
        <f ca="1">B4536</f>
        <v>113637DF-</v>
      </c>
    </row>
    <row r="4536" spans="1:8" ht="15.75" thickBot="1">
      <c r="B4536" s="212" t="str">
        <f ca="1">_xlfn.XLOOKUP(C4534,Cantidades!$C$1:$C$314,Cantidades!$B$1:$B$314,"",0,1)</f>
        <v>113637DF-</v>
      </c>
      <c r="C4536" s="10" t="s">
        <v>0</v>
      </c>
      <c r="D4536" s="190"/>
      <c r="E4536" s="11"/>
      <c r="F4536" s="12"/>
      <c r="G4536" s="13"/>
    </row>
    <row r="4537" spans="1:8" ht="14.25" thickBot="1">
      <c r="A4537" s="215"/>
      <c r="B4537" s="216" t="s">
        <v>550</v>
      </c>
      <c r="C4537" s="14" t="s">
        <v>1</v>
      </c>
      <c r="D4537" s="15" t="s">
        <v>2</v>
      </c>
      <c r="E4537" s="15" t="s">
        <v>3</v>
      </c>
      <c r="F4537" s="16" t="s">
        <v>4</v>
      </c>
      <c r="G4537" s="15" t="s">
        <v>5</v>
      </c>
    </row>
    <row r="4538" spans="1:8">
      <c r="A4538" s="211" t="s">
        <v>484</v>
      </c>
      <c r="B4538" s="216" t="str">
        <f ca="1">_xlfn.CONCAT(B4536,A4538)</f>
        <v>113637DF-A</v>
      </c>
      <c r="C4538" s="17" t="str">
        <f>_xlfn.XLOOKUP(H4538,'Materiales unitario'!$A$1:$A$2500,'Materiales unitario'!B$1:B$2500,,0,1)</f>
        <v>Coraza metálica plastificada ø2" LT - Americana</v>
      </c>
      <c r="D4538" s="184" t="str">
        <f>_xlfn.XLOOKUP(H4538,'Materiales unitario'!A$1:A$2500,'Materiales unitario'!C$1:C$2500,,0,1)</f>
        <v>ml</v>
      </c>
      <c r="E4538" s="197">
        <f>_xlfn.XLOOKUP(H4538,'Materiales unitario'!$A$1:$A$2500,'Materiales unitario'!D$1:D$2500,,0,1)</f>
        <v>23086</v>
      </c>
      <c r="F4538" s="19">
        <v>1.05</v>
      </c>
      <c r="G4538" s="20">
        <f>+E4538*F4538</f>
        <v>24240.3</v>
      </c>
      <c r="H4538" s="211" t="s">
        <v>1135</v>
      </c>
    </row>
    <row r="4539" spans="1:8">
      <c r="A4539" s="211" t="s">
        <v>485</v>
      </c>
      <c r="B4539" s="216" t="str">
        <f ca="1">_xlfn.CONCAT(B4536,A4539)</f>
        <v>113637DF-B</v>
      </c>
      <c r="C4539" s="17" t="str">
        <f>_xlfn.XLOOKUP(H4539,'Materiales unitario'!$A$1:$A$2500,'Materiales unitario'!B$1:B$2500,,0,1)</f>
        <v>Conector recto coraza plastificada ø2" LT</v>
      </c>
      <c r="D4539" s="184" t="str">
        <f>_xlfn.XLOOKUP(H4539,'Materiales unitario'!A$1:A$2500,'Materiales unitario'!C$1:C$2500,,0,1)</f>
        <v>un</v>
      </c>
      <c r="E4539" s="197">
        <f>_xlfn.XLOOKUP(H4539,'Materiales unitario'!$A$1:$A$2500,'Materiales unitario'!D$1:D$2500,,0,1)</f>
        <v>15232</v>
      </c>
      <c r="F4539" s="19">
        <v>0.5</v>
      </c>
      <c r="G4539" s="20">
        <f>+E4539*F4539</f>
        <v>7616</v>
      </c>
      <c r="H4539" s="211" t="s">
        <v>1136</v>
      </c>
    </row>
    <row r="4540" spans="1:8">
      <c r="A4540" s="211" t="s">
        <v>486</v>
      </c>
      <c r="B4540" s="216" t="str">
        <f ca="1">_xlfn.CONCAT(B4536,A4540)</f>
        <v>113637DF-C</v>
      </c>
      <c r="C4540" s="17" t="str">
        <f>_xlfn.XLOOKUP(H4540,'Materiales unitario'!$A$1:$A$2500,'Materiales unitario'!B$1:B$2500,,0,1)</f>
        <v>Accesorios de anclaje y fijacion.</v>
      </c>
      <c r="D4540" s="184" t="str">
        <f>_xlfn.XLOOKUP(H4540,'Materiales unitario'!A$1:A$2500,'Materiales unitario'!C$1:C$2500,,0,1)</f>
        <v>un</v>
      </c>
      <c r="E4540" s="197">
        <f>_xlfn.XLOOKUP(H4540,'Materiales unitario'!$A$1:$A$2500,'Materiales unitario'!D$1:D$2500,,0,1)</f>
        <v>10000</v>
      </c>
      <c r="F4540" s="19">
        <v>0.3</v>
      </c>
      <c r="G4540" s="20">
        <f>+E4540*F4540</f>
        <v>3000</v>
      </c>
      <c r="H4540" s="211" t="s">
        <v>222</v>
      </c>
    </row>
    <row r="4541" spans="1:8">
      <c r="A4541" s="211" t="s">
        <v>487</v>
      </c>
      <c r="B4541" s="216" t="str">
        <f ca="1">_xlfn.CONCAT(B4536,A4541)</f>
        <v>113637DF-D</v>
      </c>
      <c r="C4541" s="17"/>
      <c r="D4541" s="184"/>
      <c r="E4541" s="197"/>
      <c r="F4541" s="19"/>
      <c r="G4541" s="20"/>
    </row>
    <row r="4542" spans="1:8">
      <c r="A4542" s="211" t="s">
        <v>488</v>
      </c>
      <c r="B4542" s="216" t="str">
        <f ca="1">_xlfn.CONCAT(B4536,A4542)</f>
        <v>113637DF-E</v>
      </c>
      <c r="C4542" s="17"/>
      <c r="D4542" s="184"/>
      <c r="E4542" s="197"/>
      <c r="F4542" s="19"/>
      <c r="G4542" s="20"/>
    </row>
    <row r="4543" spans="1:8">
      <c r="A4543" s="211" t="s">
        <v>489</v>
      </c>
      <c r="B4543" s="216" t="str">
        <f ca="1">_xlfn.CONCAT(B4536,A4543)</f>
        <v>113637DF-F</v>
      </c>
      <c r="C4543" s="17"/>
      <c r="D4543" s="184"/>
      <c r="E4543" s="197"/>
      <c r="F4543" s="19"/>
      <c r="G4543" s="20"/>
    </row>
    <row r="4544" spans="1:8">
      <c r="A4544" s="211" t="s">
        <v>490</v>
      </c>
      <c r="B4544" s="216" t="str">
        <f ca="1">_xlfn.CONCAT(B4536,A4544)</f>
        <v>113637DF-G</v>
      </c>
      <c r="C4544" s="17"/>
      <c r="D4544" s="184"/>
      <c r="E4544" s="197"/>
      <c r="F4544" s="19"/>
      <c r="G4544" s="20"/>
    </row>
    <row r="4545" spans="1:7">
      <c r="A4545" s="211" t="s">
        <v>491</v>
      </c>
      <c r="B4545" s="216" t="str">
        <f ca="1">_xlfn.CONCAT(B4536,A4545)</f>
        <v>113637DF-H</v>
      </c>
      <c r="C4545" s="17"/>
      <c r="D4545" s="184"/>
      <c r="E4545" s="197"/>
      <c r="F4545" s="19"/>
      <c r="G4545" s="20"/>
    </row>
    <row r="4546" spans="1:7">
      <c r="A4546" s="211" t="s">
        <v>492</v>
      </c>
      <c r="B4546" s="216" t="str">
        <f ca="1">_xlfn.CONCAT(B4536,A4546)</f>
        <v>113637DF-I</v>
      </c>
      <c r="C4546" s="17"/>
      <c r="D4546" s="184"/>
      <c r="E4546" s="197"/>
      <c r="F4546" s="19"/>
      <c r="G4546" s="20"/>
    </row>
    <row r="4547" spans="1:7">
      <c r="A4547" s="211" t="s">
        <v>493</v>
      </c>
      <c r="B4547" s="216" t="str">
        <f ca="1">_xlfn.CONCAT(B4536,A4547)</f>
        <v>113637DF-J</v>
      </c>
      <c r="C4547" s="17"/>
      <c r="D4547" s="184"/>
      <c r="E4547" s="197"/>
      <c r="F4547" s="19"/>
      <c r="G4547" s="20"/>
    </row>
    <row r="4548" spans="1:7">
      <c r="A4548" s="211" t="s">
        <v>494</v>
      </c>
      <c r="B4548" s="216" t="str">
        <f ca="1">_xlfn.CONCAT(B4536,A4548)</f>
        <v>113637DF-K</v>
      </c>
      <c r="C4548" s="17"/>
      <c r="D4548" s="184"/>
      <c r="E4548" s="197"/>
      <c r="F4548" s="19"/>
      <c r="G4548" s="20"/>
    </row>
    <row r="4549" spans="1:7">
      <c r="A4549" s="211" t="s">
        <v>495</v>
      </c>
      <c r="B4549" s="216" t="str">
        <f ca="1">_xlfn.CONCAT(B4536,A4549)</f>
        <v>113637DF-L</v>
      </c>
      <c r="C4549" s="17"/>
      <c r="D4549" s="184"/>
      <c r="E4549" s="197"/>
      <c r="F4549" s="19"/>
      <c r="G4549" s="20"/>
    </row>
    <row r="4550" spans="1:7">
      <c r="A4550" s="211" t="s">
        <v>496</v>
      </c>
      <c r="B4550" s="216" t="str">
        <f ca="1">_xlfn.CONCAT(B4536,A4550)</f>
        <v>113637DF-M</v>
      </c>
      <c r="C4550" s="17"/>
      <c r="D4550" s="184"/>
      <c r="E4550" s="197"/>
      <c r="F4550" s="19"/>
      <c r="G4550" s="20"/>
    </row>
    <row r="4551" spans="1:7">
      <c r="A4551" s="211" t="s">
        <v>497</v>
      </c>
      <c r="B4551" s="216" t="str">
        <f ca="1">_xlfn.CONCAT(B4536,A4551)</f>
        <v>113637DF-N</v>
      </c>
      <c r="C4551" s="17"/>
      <c r="D4551" s="184"/>
      <c r="E4551" s="197"/>
      <c r="F4551" s="19"/>
      <c r="G4551" s="20"/>
    </row>
    <row r="4552" spans="1:7">
      <c r="A4552" s="211" t="s">
        <v>498</v>
      </c>
      <c r="B4552" s="216" t="str">
        <f ca="1">_xlfn.CONCAT(B4536,A4552)</f>
        <v>113637DF-O</v>
      </c>
      <c r="C4552" s="17"/>
      <c r="D4552" s="184"/>
      <c r="E4552" s="197"/>
      <c r="F4552" s="19"/>
      <c r="G4552" s="20"/>
    </row>
    <row r="4553" spans="1:7">
      <c r="A4553" s="211" t="s">
        <v>499</v>
      </c>
      <c r="B4553" s="216" t="str">
        <f ca="1">_xlfn.CONCAT(B4536,A4553)</f>
        <v>113637DF-P</v>
      </c>
      <c r="C4553" s="17"/>
      <c r="D4553" s="184"/>
      <c r="E4553" s="197"/>
      <c r="F4553" s="19"/>
      <c r="G4553" s="20"/>
    </row>
    <row r="4554" spans="1:7">
      <c r="A4554" s="211" t="s">
        <v>500</v>
      </c>
      <c r="B4554" s="216" t="str">
        <f ca="1">_xlfn.CONCAT(B4536,A4554)</f>
        <v>113637DF-Q</v>
      </c>
      <c r="C4554" s="17"/>
      <c r="D4554" s="184"/>
      <c r="E4554" s="197"/>
      <c r="F4554" s="19"/>
      <c r="G4554" s="20"/>
    </row>
    <row r="4555" spans="1:7">
      <c r="A4555" s="211" t="s">
        <v>501</v>
      </c>
      <c r="B4555" s="216" t="str">
        <f ca="1">_xlfn.CONCAT(B4536,A4555)</f>
        <v>113637DF-R</v>
      </c>
      <c r="C4555" s="17"/>
      <c r="D4555" s="184"/>
      <c r="E4555" s="197"/>
      <c r="F4555" s="19"/>
      <c r="G4555" s="20"/>
    </row>
    <row r="4556" spans="1:7">
      <c r="A4556" s="211" t="s">
        <v>502</v>
      </c>
      <c r="B4556" s="216" t="str">
        <f ca="1">_xlfn.CONCAT(B4536,A4556)</f>
        <v>113637DF-S</v>
      </c>
      <c r="C4556" s="17"/>
      <c r="D4556" s="184"/>
      <c r="E4556" s="197"/>
      <c r="F4556" s="19"/>
      <c r="G4556" s="20"/>
    </row>
    <row r="4557" spans="1:7">
      <c r="A4557" s="211" t="s">
        <v>503</v>
      </c>
      <c r="B4557" s="216" t="str">
        <f ca="1">_xlfn.CONCAT(B4536,A4557)</f>
        <v>113637DF-T</v>
      </c>
      <c r="C4557" s="17"/>
      <c r="D4557" s="184"/>
      <c r="E4557" s="197"/>
      <c r="F4557" s="19"/>
      <c r="G4557" s="20"/>
    </row>
    <row r="4558" spans="1:7" ht="14.25" thickBot="1">
      <c r="A4558" s="211" t="s">
        <v>504</v>
      </c>
      <c r="B4558" s="216" t="str">
        <f ca="1">_xlfn.CONCAT(B4536,A4558)</f>
        <v>113637DF-U</v>
      </c>
      <c r="C4558" s="17"/>
      <c r="D4558" s="184"/>
      <c r="E4558" s="197"/>
      <c r="F4558" s="19"/>
      <c r="G4558" s="20"/>
    </row>
    <row r="4559" spans="1:7" ht="14.25" thickBot="1">
      <c r="A4559" s="211" t="s">
        <v>505</v>
      </c>
      <c r="B4559" s="216" t="str">
        <f ca="1">_xlfn.CONCAT(B4536,A4559)</f>
        <v>113637DF-V</v>
      </c>
      <c r="C4559" s="17" t="s">
        <v>17</v>
      </c>
      <c r="D4559" s="192" t="s">
        <v>17</v>
      </c>
      <c r="E4559" s="18"/>
      <c r="F4559" s="22" t="s">
        <v>18</v>
      </c>
      <c r="G4559" s="23">
        <f>SUM(G4538:G4558)</f>
        <v>34856.300000000003</v>
      </c>
    </row>
    <row r="4560" spans="1:7" ht="15.75" thickBot="1">
      <c r="A4560" s="211" t="s">
        <v>506</v>
      </c>
      <c r="B4560" s="216" t="str">
        <f ca="1">_xlfn.CONCAT(B4536,A4560)</f>
        <v>113637DF-W</v>
      </c>
      <c r="C4560" s="10" t="s">
        <v>19</v>
      </c>
      <c r="D4560" s="190"/>
      <c r="E4560" s="11"/>
      <c r="F4560" s="12"/>
      <c r="G4560" s="13"/>
    </row>
    <row r="4561" spans="1:8" ht="14.25" thickBot="1">
      <c r="A4561" s="211" t="s">
        <v>507</v>
      </c>
      <c r="B4561" s="216" t="str">
        <f ca="1">_xlfn.CONCAT(B4536,A4561)</f>
        <v>113637DF-X</v>
      </c>
      <c r="C4561" s="14" t="s">
        <v>1</v>
      </c>
      <c r="D4561" s="15"/>
      <c r="E4561" s="15" t="s">
        <v>20</v>
      </c>
      <c r="F4561" s="16" t="s">
        <v>21</v>
      </c>
      <c r="G4561" s="15" t="s">
        <v>5</v>
      </c>
      <c r="H4561" s="215"/>
    </row>
    <row r="4562" spans="1:8">
      <c r="A4562" s="211" t="s">
        <v>508</v>
      </c>
      <c r="B4562" s="216" t="str">
        <f ca="1">_xlfn.CONCAT(B4536,A4562)</f>
        <v>113637DF-Y</v>
      </c>
      <c r="C4562" s="24" t="s">
        <v>22</v>
      </c>
      <c r="D4562" s="184"/>
      <c r="E4562" s="25">
        <f>_xlfn.XLOOKUP(C4562,'H-MO'!B$7:B$30,'H-MO'!D$7:D$30,,0,1)</f>
        <v>2436.5624999999995</v>
      </c>
      <c r="F4562" s="19">
        <v>0.32700000000000001</v>
      </c>
      <c r="G4562" s="33">
        <f t="shared" ref="G4562:G4567" si="132">+E4562*F4562</f>
        <v>796.75593749999985</v>
      </c>
      <c r="H4562" s="229"/>
    </row>
    <row r="4563" spans="1:8">
      <c r="A4563" s="211" t="s">
        <v>509</v>
      </c>
      <c r="B4563" s="216" t="str">
        <f ca="1">_xlfn.CONCAT(B4536,A4563)</f>
        <v>113637DF-Z</v>
      </c>
      <c r="C4563" s="24" t="s">
        <v>23</v>
      </c>
      <c r="D4563" s="184"/>
      <c r="E4563" s="25">
        <f>_xlfn.XLOOKUP(C4563,'H-MO'!B$7:B$30,'H-MO'!D$7:D$30,,0,1)</f>
        <v>1461.9374999999998</v>
      </c>
      <c r="F4563" s="19">
        <v>0.218</v>
      </c>
      <c r="G4563" s="33">
        <f t="shared" si="132"/>
        <v>318.70237499999996</v>
      </c>
      <c r="H4563" s="229"/>
    </row>
    <row r="4564" spans="1:8">
      <c r="A4564" s="211" t="s">
        <v>510</v>
      </c>
      <c r="B4564" s="216" t="str">
        <f ca="1">_xlfn.CONCAT(B4536,A4564)</f>
        <v>113637DF-aa</v>
      </c>
      <c r="C4564" s="24" t="s">
        <v>24</v>
      </c>
      <c r="D4564" s="185"/>
      <c r="E4564" s="25">
        <f>_xlfn.XLOOKUP(C4564,'H-MO'!B$7:B$30,'H-MO'!D$7:D$30,,0,1)</f>
        <v>29238.749999999996</v>
      </c>
      <c r="F4564" s="28">
        <v>3.2000000000000001E-2</v>
      </c>
      <c r="G4564" s="33">
        <f t="shared" si="132"/>
        <v>935.63999999999987</v>
      </c>
      <c r="H4564" s="229"/>
    </row>
    <row r="4565" spans="1:8">
      <c r="A4565" s="211" t="s">
        <v>511</v>
      </c>
      <c r="B4565" s="216" t="str">
        <f ca="1">_xlfn.CONCAT(B4536,A4565)</f>
        <v>113637DF-ab</v>
      </c>
      <c r="C4565" s="24" t="s">
        <v>25</v>
      </c>
      <c r="D4565" s="185"/>
      <c r="E4565" s="25">
        <f>_xlfn.XLOOKUP(C4565,'H-MO'!B$7:B$30,'H-MO'!D$7:D$30,,0,1)</f>
        <v>2761.4374999999995</v>
      </c>
      <c r="F4565" s="28">
        <v>0.218</v>
      </c>
      <c r="G4565" s="33">
        <f t="shared" si="132"/>
        <v>601.9933749999999</v>
      </c>
      <c r="H4565" s="229"/>
    </row>
    <row r="4566" spans="1:8">
      <c r="A4566" s="211" t="s">
        <v>512</v>
      </c>
      <c r="B4566" s="216" t="str">
        <f ca="1">_xlfn.CONCAT(B4536,A4566)</f>
        <v>113637DF-ac</v>
      </c>
      <c r="C4566" s="24"/>
      <c r="D4566" s="185"/>
      <c r="E4566" s="29"/>
      <c r="F4566" s="28"/>
      <c r="G4566" s="33">
        <f t="shared" si="132"/>
        <v>0</v>
      </c>
      <c r="H4566" s="229"/>
    </row>
    <row r="4567" spans="1:8" ht="14.25" thickBot="1">
      <c r="A4567" s="211" t="s">
        <v>513</v>
      </c>
      <c r="B4567" s="216" t="str">
        <f ca="1">_xlfn.CONCAT(B4536,A4567)</f>
        <v>113637DF-ad</v>
      </c>
      <c r="C4567" s="24"/>
      <c r="D4567" s="185"/>
      <c r="E4567" s="29"/>
      <c r="F4567" s="28"/>
      <c r="G4567" s="33">
        <f t="shared" si="132"/>
        <v>0</v>
      </c>
      <c r="H4567" s="229"/>
    </row>
    <row r="4568" spans="1:8" ht="14.25" thickBot="1">
      <c r="A4568" s="211" t="s">
        <v>514</v>
      </c>
      <c r="B4568" s="216" t="str">
        <f ca="1">_xlfn.CONCAT(B4536,A4568)</f>
        <v>113637DF-ae</v>
      </c>
      <c r="C4568" s="17"/>
      <c r="D4568" s="192"/>
      <c r="E4568" s="18"/>
      <c r="F4568" s="22"/>
      <c r="G4568" s="23">
        <f>SUM(G4562:G4567)</f>
        <v>2653.0916874999998</v>
      </c>
      <c r="H4568" s="229"/>
    </row>
    <row r="4569" spans="1:8" ht="15.75" thickBot="1">
      <c r="A4569" s="211" t="s">
        <v>515</v>
      </c>
      <c r="B4569" s="216" t="str">
        <f ca="1">_xlfn.CONCAT(B4536,A4569)</f>
        <v>113637DF-af</v>
      </c>
      <c r="C4569" s="10" t="s">
        <v>27</v>
      </c>
      <c r="D4569" s="190"/>
      <c r="E4569" s="11"/>
      <c r="F4569" s="12"/>
      <c r="G4569" s="13"/>
      <c r="H4569" s="229"/>
    </row>
    <row r="4570" spans="1:8" ht="14.25" thickBot="1">
      <c r="A4570" s="211" t="s">
        <v>516</v>
      </c>
      <c r="B4570" s="216" t="str">
        <f ca="1">_xlfn.CONCAT(B4536,A4570)</f>
        <v>113637DF-ag</v>
      </c>
      <c r="C4570" s="14" t="s">
        <v>1</v>
      </c>
      <c r="D4570" s="15" t="s">
        <v>28</v>
      </c>
      <c r="E4570" s="15" t="s">
        <v>20</v>
      </c>
      <c r="F4570" s="16"/>
      <c r="G4570" s="15" t="s">
        <v>5</v>
      </c>
      <c r="H4570" s="228"/>
    </row>
    <row r="4571" spans="1:8">
      <c r="A4571" s="211" t="s">
        <v>517</v>
      </c>
      <c r="B4571" s="216" t="str">
        <f ca="1">_xlfn.CONCAT(B4536,A4571)</f>
        <v>113637DF-ah</v>
      </c>
      <c r="C4571" s="30" t="s">
        <v>29</v>
      </c>
      <c r="D4571" s="186">
        <f>'H-MO'!$N$77</f>
        <v>725918.52892505517</v>
      </c>
      <c r="E4571" s="31">
        <f>+D4571/8</f>
        <v>90739.816115631897</v>
      </c>
      <c r="F4571" s="32">
        <v>0.2</v>
      </c>
      <c r="G4571" s="33">
        <f>+E4571*F4571</f>
        <v>18147.963223126379</v>
      </c>
      <c r="H4571" s="229"/>
    </row>
    <row r="4572" spans="1:8">
      <c r="A4572" s="211" t="s">
        <v>518</v>
      </c>
      <c r="B4572" s="216" t="str">
        <f ca="1">_xlfn.CONCAT(B4536,A4572)</f>
        <v>113637DF-ai</v>
      </c>
      <c r="C4572" s="34" t="s">
        <v>30</v>
      </c>
      <c r="D4572" s="187">
        <f>'H-MO'!$N$86</f>
        <v>685561.39085756091</v>
      </c>
      <c r="E4572" s="29">
        <f>+D4572/8</f>
        <v>85695.173857195114</v>
      </c>
      <c r="F4572" s="28">
        <v>0</v>
      </c>
      <c r="G4572" s="33">
        <f>+E4572*F4572</f>
        <v>0</v>
      </c>
    </row>
    <row r="4573" spans="1:8" ht="14.25" thickBot="1">
      <c r="A4573" s="211" t="s">
        <v>519</v>
      </c>
      <c r="B4573" s="216" t="str">
        <f ca="1">_xlfn.CONCAT(B4536,A4573)</f>
        <v>113637DF-aj</v>
      </c>
      <c r="C4573" s="34"/>
      <c r="D4573" s="187"/>
      <c r="E4573" s="29"/>
      <c r="F4573" s="28">
        <v>0</v>
      </c>
      <c r="G4573" s="33">
        <f>+E4573*F4573</f>
        <v>0</v>
      </c>
    </row>
    <row r="4574" spans="1:8" ht="14.25" thickBot="1">
      <c r="A4574" s="211" t="s">
        <v>520</v>
      </c>
      <c r="B4574" s="216" t="str">
        <f ca="1">_xlfn.CONCAT(B4536,A4574)</f>
        <v>113637DF-ak</v>
      </c>
      <c r="C4574" s="34"/>
      <c r="D4574" s="185"/>
      <c r="E4574" s="26"/>
      <c r="F4574" s="36" t="s">
        <v>31</v>
      </c>
      <c r="G4574" s="23">
        <f>SUM(G4571:G4573)</f>
        <v>18147.963223126379</v>
      </c>
    </row>
    <row r="4575" spans="1:8" ht="14.25" thickBot="1">
      <c r="A4575" s="211" t="s">
        <v>521</v>
      </c>
      <c r="B4575" s="216" t="str">
        <f ca="1">_xlfn.CONCAT(B4536,A4575)</f>
        <v>113637DF-al</v>
      </c>
      <c r="C4575" s="37"/>
      <c r="E4575" s="38"/>
      <c r="F4575" s="22"/>
      <c r="G4575" s="39"/>
    </row>
    <row r="4576" spans="1:8" ht="16.5" thickBot="1">
      <c r="A4576" s="211" t="s">
        <v>522</v>
      </c>
      <c r="B4576" s="216" t="str">
        <f ca="1">_xlfn.CONCAT(B4536,A4576)</f>
        <v>113637DF-am</v>
      </c>
      <c r="C4576" s="40"/>
      <c r="D4576" s="193"/>
      <c r="E4576" s="41"/>
      <c r="F4576" s="42"/>
      <c r="G4576" s="43">
        <f>+G4559+G4568+G4574</f>
        <v>55657.354910626382</v>
      </c>
    </row>
    <row r="4577" spans="1:8" ht="21.75" thickBot="1">
      <c r="B4577" s="212" t="s">
        <v>550</v>
      </c>
      <c r="C4577" s="2"/>
      <c r="D4577" s="183"/>
      <c r="F4577" s="4"/>
      <c r="G4577" s="5"/>
    </row>
    <row r="4578" spans="1:8" ht="18.75">
      <c r="A4578" s="213"/>
      <c r="B4578" s="214">
        <v>105</v>
      </c>
      <c r="C4578" s="242" t="str">
        <f ca="1">_xlfn.XLOOKUP(B4578,Cantidades!$A$10:$A$314,Cantidades!$C$10:$C$314,,0,1)</f>
        <v>Suministro e instalación de coraza Liquid Tide Ø¾". Incluye coraza, terminales, elementos de soporte y señalización</v>
      </c>
      <c r="D4578" s="243"/>
      <c r="E4578" s="243"/>
      <c r="F4578" s="243"/>
      <c r="G4578" s="244"/>
      <c r="H4578" s="213"/>
    </row>
    <row r="4579" spans="1:8" ht="19.5" thickBot="1">
      <c r="A4579" s="215"/>
      <c r="B4579" s="216" t="s">
        <v>550</v>
      </c>
      <c r="C4579" s="177"/>
      <c r="D4579" s="189"/>
      <c r="E4579" s="178"/>
      <c r="F4579" s="179" t="s">
        <v>636</v>
      </c>
      <c r="G4579" s="209" t="str">
        <f ca="1">B4580</f>
        <v>D7694F4-</v>
      </c>
      <c r="H4579" s="215"/>
    </row>
    <row r="4580" spans="1:8" ht="15.75" thickBot="1">
      <c r="B4580" s="212" t="str">
        <f ca="1">_xlfn.XLOOKUP(C4578,Cantidades!$C$1:$C$314,Cantidades!$B$1:$B$314,"",0,1)</f>
        <v>D7694F4-</v>
      </c>
      <c r="C4580" s="10" t="s">
        <v>0</v>
      </c>
      <c r="D4580" s="190"/>
      <c r="E4580" s="11"/>
      <c r="F4580" s="12"/>
      <c r="G4580" s="13"/>
    </row>
    <row r="4581" spans="1:8" ht="14.25" thickBot="1">
      <c r="A4581" s="215"/>
      <c r="B4581" s="216" t="s">
        <v>550</v>
      </c>
      <c r="C4581" s="14" t="s">
        <v>1</v>
      </c>
      <c r="D4581" s="15" t="s">
        <v>2</v>
      </c>
      <c r="E4581" s="15" t="s">
        <v>3</v>
      </c>
      <c r="F4581" s="16" t="s">
        <v>4</v>
      </c>
      <c r="G4581" s="15" t="s">
        <v>5</v>
      </c>
    </row>
    <row r="4582" spans="1:8">
      <c r="A4582" s="211" t="s">
        <v>484</v>
      </c>
      <c r="B4582" s="216" t="str">
        <f ca="1">_xlfn.CONCAT(B4580,A4582)</f>
        <v>D7694F4-A</v>
      </c>
      <c r="C4582" s="17" t="str">
        <f>_xlfn.XLOOKUP(H4582,'Materiales unitario'!$A$1:$A$2500,'Materiales unitario'!B$1:B$2500,,0,1)</f>
        <v>Coraza metálica plastificada ø3/4" LT - Americana</v>
      </c>
      <c r="D4582" s="184" t="str">
        <f>_xlfn.XLOOKUP(H4582,'Materiales unitario'!A$1:A$2500,'Materiales unitario'!C$1:C$2500,,0,1)</f>
        <v>ml</v>
      </c>
      <c r="E4582" s="197">
        <f>_xlfn.XLOOKUP(H4582,'Materiales unitario'!$A$1:$A$2500,'Materiales unitario'!D$1:D$2500,,0,1)</f>
        <v>7154</v>
      </c>
      <c r="F4582" s="19">
        <v>1.05</v>
      </c>
      <c r="G4582" s="20">
        <f>+E4582*F4582</f>
        <v>7511.7000000000007</v>
      </c>
      <c r="H4582" s="211" t="s">
        <v>306</v>
      </c>
    </row>
    <row r="4583" spans="1:8">
      <c r="A4583" s="211" t="s">
        <v>485</v>
      </c>
      <c r="B4583" s="216" t="str">
        <f ca="1">_xlfn.CONCAT(B4580,A4583)</f>
        <v>D7694F4-B</v>
      </c>
      <c r="C4583" s="17" t="str">
        <f>_xlfn.XLOOKUP(H4583,'Materiales unitario'!$A$1:$A$2500,'Materiales unitario'!B$1:B$2500,,0,1)</f>
        <v>Conector recto coraza plastificada ø3/4" LT</v>
      </c>
      <c r="D4583" s="184" t="str">
        <f>_xlfn.XLOOKUP(H4583,'Materiales unitario'!A$1:A$2500,'Materiales unitario'!C$1:C$2500,,0,1)</f>
        <v>un</v>
      </c>
      <c r="E4583" s="197">
        <f>_xlfn.XLOOKUP(H4583,'Materiales unitario'!$A$1:$A$2500,'Materiales unitario'!D$1:D$2500,,0,1)</f>
        <v>4365</v>
      </c>
      <c r="F4583" s="19">
        <v>0.5</v>
      </c>
      <c r="G4583" s="20">
        <f>+E4583*F4583</f>
        <v>2182.5</v>
      </c>
      <c r="H4583" s="211" t="s">
        <v>303</v>
      </c>
    </row>
    <row r="4584" spans="1:8">
      <c r="A4584" s="211" t="s">
        <v>486</v>
      </c>
      <c r="B4584" s="216" t="str">
        <f ca="1">_xlfn.CONCAT(B4580,A4584)</f>
        <v>D7694F4-C</v>
      </c>
      <c r="C4584" s="17" t="str">
        <f>_xlfn.XLOOKUP(H4584,'Materiales unitario'!$A$1:$A$2500,'Materiales unitario'!B$1:B$2500,,0,1)</f>
        <v>Accesorios de anclaje y fijacion.</v>
      </c>
      <c r="D4584" s="184" t="str">
        <f>_xlfn.XLOOKUP(H4584,'Materiales unitario'!A$1:A$2500,'Materiales unitario'!C$1:C$2500,,0,1)</f>
        <v>un</v>
      </c>
      <c r="E4584" s="197">
        <f>_xlfn.XLOOKUP(H4584,'Materiales unitario'!$A$1:$A$2500,'Materiales unitario'!D$1:D$2500,,0,1)</f>
        <v>10000</v>
      </c>
      <c r="F4584" s="19">
        <v>0.3</v>
      </c>
      <c r="G4584" s="20">
        <f>+E4584*F4584</f>
        <v>3000</v>
      </c>
      <c r="H4584" s="211" t="s">
        <v>222</v>
      </c>
    </row>
    <row r="4585" spans="1:8">
      <c r="A4585" s="211" t="s">
        <v>487</v>
      </c>
      <c r="B4585" s="216" t="str">
        <f ca="1">_xlfn.CONCAT(B4580,A4585)</f>
        <v>D7694F4-D</v>
      </c>
      <c r="C4585" s="17"/>
      <c r="D4585" s="184"/>
      <c r="E4585" s="197"/>
      <c r="F4585" s="19"/>
      <c r="G4585" s="20"/>
    </row>
    <row r="4586" spans="1:8">
      <c r="A4586" s="211" t="s">
        <v>488</v>
      </c>
      <c r="B4586" s="216" t="str">
        <f ca="1">_xlfn.CONCAT(B4580,A4586)</f>
        <v>D7694F4-E</v>
      </c>
      <c r="C4586" s="17"/>
      <c r="D4586" s="184"/>
      <c r="E4586" s="197"/>
      <c r="F4586" s="19"/>
      <c r="G4586" s="20"/>
    </row>
    <row r="4587" spans="1:8">
      <c r="A4587" s="211" t="s">
        <v>489</v>
      </c>
      <c r="B4587" s="216" t="str">
        <f ca="1">_xlfn.CONCAT(B4580,A4587)</f>
        <v>D7694F4-F</v>
      </c>
      <c r="C4587" s="17"/>
      <c r="D4587" s="184"/>
      <c r="E4587" s="197"/>
      <c r="F4587" s="19"/>
      <c r="G4587" s="20"/>
    </row>
    <row r="4588" spans="1:8">
      <c r="A4588" s="211" t="s">
        <v>490</v>
      </c>
      <c r="B4588" s="216" t="str">
        <f ca="1">_xlfn.CONCAT(B4580,A4588)</f>
        <v>D7694F4-G</v>
      </c>
      <c r="C4588" s="17"/>
      <c r="D4588" s="184"/>
      <c r="E4588" s="197"/>
      <c r="F4588" s="19"/>
      <c r="G4588" s="20"/>
    </row>
    <row r="4589" spans="1:8">
      <c r="A4589" s="211" t="s">
        <v>491</v>
      </c>
      <c r="B4589" s="216" t="str">
        <f ca="1">_xlfn.CONCAT(B4580,A4589)</f>
        <v>D7694F4-H</v>
      </c>
      <c r="C4589" s="17"/>
      <c r="D4589" s="184"/>
      <c r="E4589" s="197"/>
      <c r="F4589" s="19"/>
      <c r="G4589" s="20"/>
    </row>
    <row r="4590" spans="1:8">
      <c r="A4590" s="211" t="s">
        <v>492</v>
      </c>
      <c r="B4590" s="216" t="str">
        <f ca="1">_xlfn.CONCAT(B4580,A4590)</f>
        <v>D7694F4-I</v>
      </c>
      <c r="C4590" s="17"/>
      <c r="D4590" s="184"/>
      <c r="E4590" s="197"/>
      <c r="F4590" s="19"/>
      <c r="G4590" s="20"/>
    </row>
    <row r="4591" spans="1:8">
      <c r="A4591" s="211" t="s">
        <v>493</v>
      </c>
      <c r="B4591" s="216" t="str">
        <f ca="1">_xlfn.CONCAT(B4580,A4591)</f>
        <v>D7694F4-J</v>
      </c>
      <c r="C4591" s="17"/>
      <c r="D4591" s="184"/>
      <c r="E4591" s="197"/>
      <c r="F4591" s="19"/>
      <c r="G4591" s="20"/>
    </row>
    <row r="4592" spans="1:8">
      <c r="A4592" s="211" t="s">
        <v>494</v>
      </c>
      <c r="B4592" s="216" t="str">
        <f ca="1">_xlfn.CONCAT(B4580,A4592)</f>
        <v>D7694F4-K</v>
      </c>
      <c r="C4592" s="17"/>
      <c r="D4592" s="184"/>
      <c r="E4592" s="197"/>
      <c r="F4592" s="19"/>
      <c r="G4592" s="20"/>
    </row>
    <row r="4593" spans="1:9">
      <c r="A4593" s="211" t="s">
        <v>495</v>
      </c>
      <c r="B4593" s="216" t="str">
        <f ca="1">_xlfn.CONCAT(B4580,A4593)</f>
        <v>D7694F4-L</v>
      </c>
      <c r="C4593" s="17"/>
      <c r="D4593" s="184"/>
      <c r="E4593" s="197"/>
      <c r="F4593" s="19"/>
      <c r="G4593" s="20"/>
    </row>
    <row r="4594" spans="1:9">
      <c r="A4594" s="211" t="s">
        <v>496</v>
      </c>
      <c r="B4594" s="216" t="str">
        <f ca="1">_xlfn.CONCAT(B4580,A4594)</f>
        <v>D7694F4-M</v>
      </c>
      <c r="C4594" s="17"/>
      <c r="D4594" s="184"/>
      <c r="E4594" s="197"/>
      <c r="F4594" s="19"/>
      <c r="G4594" s="20"/>
    </row>
    <row r="4595" spans="1:9">
      <c r="A4595" s="211" t="s">
        <v>497</v>
      </c>
      <c r="B4595" s="216" t="str">
        <f ca="1">_xlfn.CONCAT(B4580,A4595)</f>
        <v>D7694F4-N</v>
      </c>
      <c r="C4595" s="17"/>
      <c r="D4595" s="184"/>
      <c r="E4595" s="197"/>
      <c r="F4595" s="19"/>
      <c r="G4595" s="20"/>
    </row>
    <row r="4596" spans="1:9">
      <c r="A4596" s="211" t="s">
        <v>498</v>
      </c>
      <c r="B4596" s="216" t="str">
        <f ca="1">_xlfn.CONCAT(B4580,A4596)</f>
        <v>D7694F4-O</v>
      </c>
      <c r="C4596" s="17"/>
      <c r="D4596" s="184"/>
      <c r="E4596" s="197"/>
      <c r="F4596" s="19"/>
      <c r="G4596" s="20"/>
    </row>
    <row r="4597" spans="1:9">
      <c r="A4597" s="211" t="s">
        <v>499</v>
      </c>
      <c r="B4597" s="216" t="str">
        <f ca="1">_xlfn.CONCAT(B4580,A4597)</f>
        <v>D7694F4-P</v>
      </c>
      <c r="C4597" s="17"/>
      <c r="D4597" s="184"/>
      <c r="E4597" s="197"/>
      <c r="F4597" s="19"/>
      <c r="G4597" s="20"/>
    </row>
    <row r="4598" spans="1:9">
      <c r="A4598" s="211" t="s">
        <v>500</v>
      </c>
      <c r="B4598" s="216" t="str">
        <f ca="1">_xlfn.CONCAT(B4580,A4598)</f>
        <v>D7694F4-Q</v>
      </c>
      <c r="C4598" s="17"/>
      <c r="D4598" s="184"/>
      <c r="E4598" s="197"/>
      <c r="F4598" s="19"/>
      <c r="G4598" s="20"/>
    </row>
    <row r="4599" spans="1:9">
      <c r="A4599" s="211" t="s">
        <v>501</v>
      </c>
      <c r="B4599" s="216" t="str">
        <f ca="1">_xlfn.CONCAT(B4580,A4599)</f>
        <v>D7694F4-R</v>
      </c>
      <c r="C4599" s="17"/>
      <c r="D4599" s="184"/>
      <c r="E4599" s="197"/>
      <c r="F4599" s="19"/>
      <c r="G4599" s="20"/>
    </row>
    <row r="4600" spans="1:9">
      <c r="A4600" s="211" t="s">
        <v>502</v>
      </c>
      <c r="B4600" s="216" t="str">
        <f ca="1">_xlfn.CONCAT(B4580,A4600)</f>
        <v>D7694F4-S</v>
      </c>
      <c r="C4600" s="17"/>
      <c r="D4600" s="184"/>
      <c r="E4600" s="197"/>
      <c r="F4600" s="19"/>
      <c r="G4600" s="20"/>
    </row>
    <row r="4601" spans="1:9">
      <c r="A4601" s="211" t="s">
        <v>503</v>
      </c>
      <c r="B4601" s="216" t="str">
        <f ca="1">_xlfn.CONCAT(B4580,A4601)</f>
        <v>D7694F4-T</v>
      </c>
      <c r="C4601" s="17"/>
      <c r="D4601" s="184"/>
      <c r="E4601" s="197"/>
      <c r="F4601" s="19"/>
      <c r="G4601" s="20"/>
    </row>
    <row r="4602" spans="1:9" ht="14.25" thickBot="1">
      <c r="A4602" s="211" t="s">
        <v>504</v>
      </c>
      <c r="B4602" s="216" t="str">
        <f ca="1">_xlfn.CONCAT(B4580,A4602)</f>
        <v>D7694F4-U</v>
      </c>
      <c r="C4602" s="17"/>
      <c r="D4602" s="184"/>
      <c r="E4602" s="197"/>
      <c r="F4602" s="19"/>
      <c r="G4602" s="20"/>
    </row>
    <row r="4603" spans="1:9" ht="14.25" thickBot="1">
      <c r="A4603" s="211" t="s">
        <v>505</v>
      </c>
      <c r="B4603" s="216" t="str">
        <f ca="1">_xlfn.CONCAT(B4580,A4603)</f>
        <v>D7694F4-V</v>
      </c>
      <c r="C4603" s="17" t="s">
        <v>17</v>
      </c>
      <c r="D4603" s="192" t="s">
        <v>17</v>
      </c>
      <c r="E4603" s="18"/>
      <c r="F4603" s="22" t="s">
        <v>18</v>
      </c>
      <c r="G4603" s="23">
        <f>SUM(G4582:G4602)</f>
        <v>12694.2</v>
      </c>
    </row>
    <row r="4604" spans="1:9" ht="15.75" thickBot="1">
      <c r="A4604" s="211" t="s">
        <v>506</v>
      </c>
      <c r="B4604" s="216" t="str">
        <f ca="1">_xlfn.CONCAT(B4580,A4604)</f>
        <v>D7694F4-W</v>
      </c>
      <c r="C4604" s="10" t="s">
        <v>19</v>
      </c>
      <c r="D4604" s="190"/>
      <c r="E4604" s="11"/>
      <c r="F4604" s="12"/>
      <c r="G4604" s="13"/>
    </row>
    <row r="4605" spans="1:9" ht="14.25" thickBot="1">
      <c r="A4605" s="211" t="s">
        <v>507</v>
      </c>
      <c r="B4605" s="216" t="str">
        <f ca="1">_xlfn.CONCAT(B4580,A4605)</f>
        <v>D7694F4-X</v>
      </c>
      <c r="C4605" s="14" t="s">
        <v>1</v>
      </c>
      <c r="D4605" s="15"/>
      <c r="E4605" s="15" t="s">
        <v>20</v>
      </c>
      <c r="F4605" s="16" t="s">
        <v>21</v>
      </c>
      <c r="G4605" s="15" t="s">
        <v>5</v>
      </c>
      <c r="H4605" s="228"/>
      <c r="I4605" s="229"/>
    </row>
    <row r="4606" spans="1:9">
      <c r="A4606" s="211" t="s">
        <v>508</v>
      </c>
      <c r="B4606" s="216" t="str">
        <f ca="1">_xlfn.CONCAT(B4580,A4606)</f>
        <v>D7694F4-Y</v>
      </c>
      <c r="C4606" s="24" t="s">
        <v>22</v>
      </c>
      <c r="D4606" s="184"/>
      <c r="E4606" s="25">
        <f>_xlfn.XLOOKUP(C4606,'H-MO'!B$7:B$30,'H-MO'!D$7:D$30,,0,1)</f>
        <v>2436.5624999999995</v>
      </c>
      <c r="F4606" s="19">
        <v>0.15</v>
      </c>
      <c r="G4606" s="33">
        <f t="shared" ref="G4606:G4611" si="133">+E4606*F4606</f>
        <v>365.48437499999994</v>
      </c>
      <c r="H4606" s="229">
        <f>+G$4603/E4606</f>
        <v>5.2098807233551376</v>
      </c>
      <c r="I4606" s="229">
        <f>+H4606/F4606</f>
        <v>34.732538155700922</v>
      </c>
    </row>
    <row r="4607" spans="1:9">
      <c r="A4607" s="211" t="s">
        <v>509</v>
      </c>
      <c r="B4607" s="216" t="str">
        <f ca="1">_xlfn.CONCAT(B4580,A4607)</f>
        <v>D7694F4-Z</v>
      </c>
      <c r="C4607" s="24" t="s">
        <v>23</v>
      </c>
      <c r="D4607" s="184"/>
      <c r="E4607" s="25">
        <f>_xlfn.XLOOKUP(C4607,'H-MO'!B$7:B$30,'H-MO'!D$7:D$30,,0,1)</f>
        <v>1461.9374999999998</v>
      </c>
      <c r="F4607" s="19">
        <v>0.1</v>
      </c>
      <c r="G4607" s="33">
        <f t="shared" si="133"/>
        <v>146.19374999999999</v>
      </c>
      <c r="H4607" s="229">
        <f>+G$4603/E4607</f>
        <v>8.6831345389252288</v>
      </c>
      <c r="I4607" s="229">
        <f>+H4607/F4607</f>
        <v>86.831345389252277</v>
      </c>
    </row>
    <row r="4608" spans="1:9">
      <c r="A4608" s="211" t="s">
        <v>510</v>
      </c>
      <c r="B4608" s="216" t="str">
        <f ca="1">_xlfn.CONCAT(B4580,A4608)</f>
        <v>D7694F4-aa</v>
      </c>
      <c r="C4608" s="24" t="s">
        <v>24</v>
      </c>
      <c r="D4608" s="185"/>
      <c r="E4608" s="25">
        <f>_xlfn.XLOOKUP(C4608,'H-MO'!B$7:B$30,'H-MO'!D$7:D$30,,0,1)</f>
        <v>29238.749999999996</v>
      </c>
      <c r="F4608" s="28">
        <v>1.4999999999999999E-2</v>
      </c>
      <c r="G4608" s="33">
        <f t="shared" si="133"/>
        <v>438.58124999999995</v>
      </c>
      <c r="H4608" s="229">
        <f>+G$4603/E4608</f>
        <v>0.43415672694626145</v>
      </c>
      <c r="I4608" s="229">
        <f>+H4608/F4608</f>
        <v>28.943781796417433</v>
      </c>
    </row>
    <row r="4609" spans="1:9">
      <c r="A4609" s="211" t="s">
        <v>511</v>
      </c>
      <c r="B4609" s="216" t="str">
        <f ca="1">_xlfn.CONCAT(B4580,A4609)</f>
        <v>D7694F4-ab</v>
      </c>
      <c r="C4609" s="24" t="s">
        <v>25</v>
      </c>
      <c r="D4609" s="185"/>
      <c r="E4609" s="25">
        <f>_xlfn.XLOOKUP(C4609,'H-MO'!B$7:B$30,'H-MO'!D$7:D$30,,0,1)</f>
        <v>2761.4374999999995</v>
      </c>
      <c r="F4609" s="28">
        <v>0.1</v>
      </c>
      <c r="G4609" s="33">
        <f t="shared" si="133"/>
        <v>276.14374999999995</v>
      </c>
      <c r="H4609" s="229">
        <f>+G$4603/E4609</f>
        <v>4.5969535794310037</v>
      </c>
      <c r="I4609" s="229">
        <f>+H4609/F4609</f>
        <v>45.969535794310033</v>
      </c>
    </row>
    <row r="4610" spans="1:9">
      <c r="A4610" s="211" t="s">
        <v>512</v>
      </c>
      <c r="B4610" s="216" t="str">
        <f ca="1">_xlfn.CONCAT(B4580,A4610)</f>
        <v>D7694F4-ac</v>
      </c>
      <c r="C4610" s="24"/>
      <c r="D4610" s="185"/>
      <c r="E4610" s="29"/>
      <c r="F4610" s="28">
        <v>0</v>
      </c>
      <c r="G4610" s="33">
        <f t="shared" si="133"/>
        <v>0</v>
      </c>
      <c r="H4610" s="229"/>
      <c r="I4610" s="229"/>
    </row>
    <row r="4611" spans="1:9" ht="14.25" thickBot="1">
      <c r="A4611" s="211" t="s">
        <v>513</v>
      </c>
      <c r="B4611" s="216" t="str">
        <f ca="1">_xlfn.CONCAT(B4580,A4611)</f>
        <v>D7694F4-ad</v>
      </c>
      <c r="C4611" s="24"/>
      <c r="D4611" s="185"/>
      <c r="E4611" s="29"/>
      <c r="F4611" s="28">
        <v>0</v>
      </c>
      <c r="G4611" s="33">
        <f t="shared" si="133"/>
        <v>0</v>
      </c>
      <c r="H4611" s="229"/>
      <c r="I4611" s="229"/>
    </row>
    <row r="4612" spans="1:9" ht="14.25" thickBot="1">
      <c r="A4612" s="211" t="s">
        <v>514</v>
      </c>
      <c r="B4612" s="216" t="str">
        <f ca="1">_xlfn.CONCAT(B4580,A4612)</f>
        <v>D7694F4-ae</v>
      </c>
      <c r="C4612" s="17"/>
      <c r="D4612" s="192"/>
      <c r="E4612" s="18"/>
      <c r="F4612" s="22" t="s">
        <v>26</v>
      </c>
      <c r="G4612" s="23">
        <f>SUM(G4606:G4611)</f>
        <v>1226.4031249999998</v>
      </c>
      <c r="H4612" s="229"/>
      <c r="I4612" s="229"/>
    </row>
    <row r="4613" spans="1:9" ht="15.75" thickBot="1">
      <c r="A4613" s="211" t="s">
        <v>515</v>
      </c>
      <c r="B4613" s="216" t="str">
        <f ca="1">_xlfn.CONCAT(B4580,A4613)</f>
        <v>D7694F4-af</v>
      </c>
      <c r="C4613" s="10" t="s">
        <v>27</v>
      </c>
      <c r="D4613" s="190"/>
      <c r="E4613" s="11"/>
      <c r="F4613" s="12"/>
      <c r="G4613" s="13"/>
      <c r="H4613" s="229"/>
      <c r="I4613" s="229"/>
    </row>
    <row r="4614" spans="1:9" ht="14.25" thickBot="1">
      <c r="A4614" s="211" t="s">
        <v>516</v>
      </c>
      <c r="B4614" s="216" t="str">
        <f ca="1">_xlfn.CONCAT(B4580,A4614)</f>
        <v>D7694F4-ag</v>
      </c>
      <c r="C4614" s="14" t="s">
        <v>1</v>
      </c>
      <c r="D4614" s="15" t="s">
        <v>28</v>
      </c>
      <c r="E4614" s="15" t="s">
        <v>20</v>
      </c>
      <c r="F4614" s="16" t="s">
        <v>21</v>
      </c>
      <c r="G4614" s="15" t="s">
        <v>5</v>
      </c>
      <c r="H4614" s="228"/>
      <c r="I4614" s="229"/>
    </row>
    <row r="4615" spans="1:9">
      <c r="A4615" s="211" t="s">
        <v>517</v>
      </c>
      <c r="B4615" s="216" t="str">
        <f ca="1">_xlfn.CONCAT(B4580,A4615)</f>
        <v>D7694F4-ah</v>
      </c>
      <c r="C4615" s="30" t="s">
        <v>29</v>
      </c>
      <c r="D4615" s="186">
        <f>'H-MO'!$N$77</f>
        <v>725918.52892505517</v>
      </c>
      <c r="E4615" s="31">
        <f>+D4615/8</f>
        <v>90739.816115631897</v>
      </c>
      <c r="F4615" s="32">
        <v>0.13</v>
      </c>
      <c r="G4615" s="33">
        <f>+E4615*F4615</f>
        <v>11796.176095032148</v>
      </c>
      <c r="H4615" s="229">
        <f>+G$4603/E4615</f>
        <v>0.13989669081788178</v>
      </c>
      <c r="I4615" s="229">
        <f>+H4615/F4615</f>
        <v>1.0761283909067829</v>
      </c>
    </row>
    <row r="4616" spans="1:9">
      <c r="A4616" s="211" t="s">
        <v>518</v>
      </c>
      <c r="B4616" s="216" t="str">
        <f ca="1">_xlfn.CONCAT(B4580,A4616)</f>
        <v>D7694F4-ai</v>
      </c>
      <c r="C4616" s="34" t="s">
        <v>30</v>
      </c>
      <c r="D4616" s="187">
        <f>'H-MO'!$N$86</f>
        <v>685561.39085756091</v>
      </c>
      <c r="E4616" s="29">
        <f>+D4616/8</f>
        <v>85695.173857195114</v>
      </c>
      <c r="F4616" s="28">
        <v>0</v>
      </c>
      <c r="G4616" s="33">
        <f>+E4616*F4616</f>
        <v>0</v>
      </c>
      <c r="H4616" s="229"/>
      <c r="I4616" s="229"/>
    </row>
    <row r="4617" spans="1:9" ht="14.25" thickBot="1">
      <c r="A4617" s="211" t="s">
        <v>519</v>
      </c>
      <c r="B4617" s="216" t="str">
        <f ca="1">_xlfn.CONCAT(B4580,A4617)</f>
        <v>D7694F4-aj</v>
      </c>
      <c r="C4617" s="34"/>
      <c r="D4617" s="187"/>
      <c r="E4617" s="29"/>
      <c r="F4617" s="28">
        <v>0</v>
      </c>
      <c r="G4617" s="33">
        <f>+E4617*F4617</f>
        <v>0</v>
      </c>
      <c r="H4617" s="229"/>
      <c r="I4617" s="229"/>
    </row>
    <row r="4618" spans="1:9" ht="14.25" thickBot="1">
      <c r="A4618" s="211" t="s">
        <v>520</v>
      </c>
      <c r="B4618" s="216" t="str">
        <f ca="1">_xlfn.CONCAT(B4580,A4618)</f>
        <v>D7694F4-ak</v>
      </c>
      <c r="C4618" s="34"/>
      <c r="D4618" s="185"/>
      <c r="E4618" s="26"/>
      <c r="F4618" s="36" t="s">
        <v>31</v>
      </c>
      <c r="G4618" s="23">
        <f>SUM(G4615:G4617)</f>
        <v>11796.176095032148</v>
      </c>
      <c r="H4618" s="229"/>
      <c r="I4618" s="229"/>
    </row>
    <row r="4619" spans="1:9" ht="14.25" thickBot="1">
      <c r="A4619" s="211" t="s">
        <v>521</v>
      </c>
      <c r="B4619" s="216" t="str">
        <f ca="1">_xlfn.CONCAT(B4580,A4619)</f>
        <v>D7694F4-al</v>
      </c>
      <c r="C4619" s="37"/>
      <c r="E4619" s="38"/>
      <c r="F4619" s="22"/>
      <c r="G4619" s="39"/>
    </row>
    <row r="4620" spans="1:9" ht="16.5" thickBot="1">
      <c r="A4620" s="211" t="s">
        <v>522</v>
      </c>
      <c r="B4620" s="216" t="str">
        <f ca="1">_xlfn.CONCAT(B4580,A4620)</f>
        <v>D7694F4-am</v>
      </c>
      <c r="C4620" s="40"/>
      <c r="D4620" s="193"/>
      <c r="E4620" s="41"/>
      <c r="F4620" s="42"/>
      <c r="G4620" s="43">
        <f>+G4603+G4612+G4618</f>
        <v>25716.779220032149</v>
      </c>
    </row>
    <row r="4621" spans="1:9" ht="21.75" thickBot="1">
      <c r="B4621" s="212" t="s">
        <v>550</v>
      </c>
      <c r="C4621" s="2"/>
      <c r="D4621" s="183"/>
      <c r="F4621" s="4"/>
      <c r="G4621" s="5"/>
    </row>
    <row r="4622" spans="1:9" ht="18.75">
      <c r="A4622" s="213"/>
      <c r="B4622" s="214">
        <v>106</v>
      </c>
      <c r="C4622" s="242" t="str">
        <f ca="1">_xlfn.XLOOKUP(B4622,Cantidades!$A$10:$A$314,Cantidades!$C$10:$C$314,,0,1)</f>
        <v>Suministro e instalación de caja de inspección CS274. Incluye suministro de 1 tapas, excavación y retiro de escombros.</v>
      </c>
      <c r="D4622" s="243"/>
      <c r="E4622" s="243"/>
      <c r="F4622" s="243"/>
      <c r="G4622" s="244"/>
      <c r="H4622" s="213"/>
    </row>
    <row r="4623" spans="1:9" ht="19.5" thickBot="1">
      <c r="A4623" s="215"/>
      <c r="B4623" s="216" t="s">
        <v>550</v>
      </c>
      <c r="C4623" s="177"/>
      <c r="D4623" s="189"/>
      <c r="E4623" s="178"/>
      <c r="F4623" s="179" t="s">
        <v>636</v>
      </c>
      <c r="G4623" s="209" t="str">
        <f ca="1">B4624</f>
        <v>226B0DDD-</v>
      </c>
      <c r="H4623" s="215"/>
    </row>
    <row r="4624" spans="1:9" ht="15.75" thickBot="1">
      <c r="B4624" s="212" t="str">
        <f ca="1">_xlfn.XLOOKUP(C4622,Cantidades!$C$1:$C$314,Cantidades!$B$1:$B$314,"",0,1)</f>
        <v>226B0DDD-</v>
      </c>
      <c r="C4624" s="10" t="s">
        <v>0</v>
      </c>
      <c r="D4624" s="190"/>
      <c r="E4624" s="11"/>
      <c r="F4624" s="12"/>
      <c r="G4624" s="13"/>
    </row>
    <row r="4625" spans="1:8" ht="14.25" thickBot="1">
      <c r="A4625" s="215"/>
      <c r="B4625" s="216" t="s">
        <v>550</v>
      </c>
      <c r="C4625" s="14" t="s">
        <v>1</v>
      </c>
      <c r="D4625" s="15" t="s">
        <v>2</v>
      </c>
      <c r="E4625" s="15" t="s">
        <v>3</v>
      </c>
      <c r="F4625" s="16" t="s">
        <v>4</v>
      </c>
      <c r="G4625" s="15" t="s">
        <v>5</v>
      </c>
    </row>
    <row r="4626" spans="1:8">
      <c r="A4626" s="211" t="s">
        <v>484</v>
      </c>
      <c r="B4626" s="216" t="str">
        <f ca="1">_xlfn.CONCAT(B4624,A4626)</f>
        <v>226B0DDD-A</v>
      </c>
      <c r="C4626" s="17" t="str">
        <f>_xlfn.XLOOKUP(H4626,'Materiales unitario'!$A$1:$A$2500,'Materiales unitario'!B$1:B$2500,,0,1)</f>
        <v>Ladrillo tolete recocido</v>
      </c>
      <c r="D4626" s="184" t="str">
        <f>_xlfn.XLOOKUP(H4626,'Materiales unitario'!A$1:A$2500,'Materiales unitario'!C$1:C$2500,,0,1)</f>
        <v>un</v>
      </c>
      <c r="E4626" s="197">
        <f>_xlfn.XLOOKUP(H4626,'Materiales unitario'!$A$1:$A$2500,'Materiales unitario'!D$1:D$2500,,0,1)</f>
        <v>714</v>
      </c>
      <c r="F4626" s="19">
        <v>165</v>
      </c>
      <c r="G4626" s="20">
        <f t="shared" ref="G4626:G4631" si="134">+E4626*F4626</f>
        <v>117810</v>
      </c>
      <c r="H4626" s="211" t="s">
        <v>330</v>
      </c>
    </row>
    <row r="4627" spans="1:8">
      <c r="A4627" s="211" t="s">
        <v>485</v>
      </c>
      <c r="B4627" s="216" t="str">
        <f ca="1">_xlfn.CONCAT(B4624,A4627)</f>
        <v>226B0DDD-B</v>
      </c>
      <c r="C4627" s="17" t="str">
        <f>_xlfn.XLOOKUP(H4627,'Materiales unitario'!$A$1:$A$2500,'Materiales unitario'!B$1:B$2500,,0,1)</f>
        <v>Cemento gris</v>
      </c>
      <c r="D4627" s="184" t="str">
        <f>_xlfn.XLOOKUP(H4627,'Materiales unitario'!A$1:A$2500,'Materiales unitario'!C$1:C$2500,,0,1)</f>
        <v>bt</v>
      </c>
      <c r="E4627" s="197">
        <f>_xlfn.XLOOKUP(H4627,'Materiales unitario'!$A$1:$A$2500,'Materiales unitario'!D$1:D$2500,,0,1)</f>
        <v>36771</v>
      </c>
      <c r="F4627" s="19">
        <v>2.2000000000000002</v>
      </c>
      <c r="G4627" s="20">
        <f t="shared" si="134"/>
        <v>80896.200000000012</v>
      </c>
      <c r="H4627" s="211" t="s">
        <v>295</v>
      </c>
    </row>
    <row r="4628" spans="1:8">
      <c r="A4628" s="211" t="s">
        <v>486</v>
      </c>
      <c r="B4628" s="216" t="str">
        <f ca="1">_xlfn.CONCAT(B4624,A4628)</f>
        <v>226B0DDD-C</v>
      </c>
      <c r="C4628" s="17" t="str">
        <f>_xlfn.XLOOKUP(H4628,'Materiales unitario'!$A$1:$A$2500,'Materiales unitario'!B$1:B$2500,,0,1)</f>
        <v xml:space="preserve">Arena de peña </v>
      </c>
      <c r="D4628" s="184" t="str">
        <f>_xlfn.XLOOKUP(H4628,'Materiales unitario'!A$1:A$2500,'Materiales unitario'!C$1:C$2500,,0,1)</f>
        <v>m3</v>
      </c>
      <c r="E4628" s="197">
        <f>_xlfn.XLOOKUP(H4628,'Materiales unitario'!$A$1:$A$2500,'Materiales unitario'!D$1:D$2500,,0,1)</f>
        <v>154700</v>
      </c>
      <c r="F4628" s="19">
        <v>0.3</v>
      </c>
      <c r="G4628" s="20">
        <f t="shared" si="134"/>
        <v>46410</v>
      </c>
      <c r="H4628" s="211" t="s">
        <v>231</v>
      </c>
    </row>
    <row r="4629" spans="1:8">
      <c r="A4629" s="211" t="s">
        <v>487</v>
      </c>
      <c r="B4629" s="216" t="str">
        <f ca="1">_xlfn.CONCAT(B4624,A4629)</f>
        <v>226B0DDD-D</v>
      </c>
      <c r="C4629" s="17" t="str">
        <f>_xlfn.XLOOKUP(H4629,'Materiales unitario'!$A$1:$A$2500,'Materiales unitario'!B$1:B$2500,,0,1)</f>
        <v>Arena lavada + Gravilla = Mixto</v>
      </c>
      <c r="D4629" s="184" t="str">
        <f>_xlfn.XLOOKUP(H4629,'Materiales unitario'!A$1:A$2500,'Materiales unitario'!C$1:C$2500,,0,1)</f>
        <v>m3</v>
      </c>
      <c r="E4629" s="197">
        <f>_xlfn.XLOOKUP(H4629,'Materiales unitario'!$A$1:$A$2500,'Materiales unitario'!D$1:D$2500,,0,1)</f>
        <v>190400</v>
      </c>
      <c r="F4629" s="19">
        <v>9.2999999999999999E-2</v>
      </c>
      <c r="G4629" s="20">
        <f t="shared" si="134"/>
        <v>17707.2</v>
      </c>
      <c r="H4629" s="211" t="s">
        <v>523</v>
      </c>
    </row>
    <row r="4630" spans="1:8">
      <c r="A4630" s="211" t="s">
        <v>488</v>
      </c>
      <c r="B4630" s="216" t="str">
        <f ca="1">_xlfn.CONCAT(B4624,A4630)</f>
        <v>226B0DDD-E</v>
      </c>
      <c r="C4630" s="17" t="str">
        <f>_xlfn.XLOOKUP(H4630,'Materiales unitario'!$A$1:$A$2500,'Materiales unitario'!B$1:B$2500,,0,1)</f>
        <v>Marco + tapa de inspección cámara tipo CS -274</v>
      </c>
      <c r="D4630" s="184" t="str">
        <f>_xlfn.XLOOKUP(H4630,'Materiales unitario'!A$1:A$2500,'Materiales unitario'!C$1:C$2500,,0,1)</f>
        <v>jg</v>
      </c>
      <c r="E4630" s="197">
        <f>_xlfn.XLOOKUP(H4630,'Materiales unitario'!$A$1:$A$2500,'Materiales unitario'!D$1:D$2500,,0,1)</f>
        <v>318900</v>
      </c>
      <c r="F4630" s="19">
        <v>1</v>
      </c>
      <c r="G4630" s="20">
        <f t="shared" si="134"/>
        <v>318900</v>
      </c>
      <c r="H4630" s="211" t="s">
        <v>336</v>
      </c>
    </row>
    <row r="4631" spans="1:8">
      <c r="A4631" s="211" t="s">
        <v>489</v>
      </c>
      <c r="B4631" s="216" t="str">
        <f ca="1">_xlfn.CONCAT(B4624,A4631)</f>
        <v>226B0DDD-F</v>
      </c>
      <c r="C4631" s="17" t="str">
        <f>_xlfn.XLOOKUP(H4631,'Materiales unitario'!$A$1:$A$2500,'Materiales unitario'!B$1:B$2500,,0,1)</f>
        <v>Fungibles (Madera para formaleta, puntillas y accesorios).</v>
      </c>
      <c r="D4631" s="184" t="str">
        <f>_xlfn.XLOOKUP(H4631,'Materiales unitario'!A$1:A$2500,'Materiales unitario'!C$1:C$2500,,0,1)</f>
        <v>ml</v>
      </c>
      <c r="E4631" s="197">
        <f>_xlfn.XLOOKUP(H4631,'Materiales unitario'!$A$1:$A$2500,'Materiales unitario'!D$1:D$2500,,0,1)</f>
        <v>22600</v>
      </c>
      <c r="F4631" s="19">
        <v>2.2000000000000002</v>
      </c>
      <c r="G4631" s="20">
        <f t="shared" si="134"/>
        <v>49720.000000000007</v>
      </c>
      <c r="H4631" s="211" t="s">
        <v>324</v>
      </c>
    </row>
    <row r="4632" spans="1:8">
      <c r="A4632" s="211" t="s">
        <v>490</v>
      </c>
      <c r="B4632" s="216" t="str">
        <f ca="1">_xlfn.CONCAT(B4624,A4632)</f>
        <v>226B0DDD-G</v>
      </c>
      <c r="C4632" s="17"/>
      <c r="D4632" s="184"/>
      <c r="E4632" s="197"/>
      <c r="F4632" s="19"/>
      <c r="G4632" s="20"/>
    </row>
    <row r="4633" spans="1:8">
      <c r="A4633" s="211" t="s">
        <v>491</v>
      </c>
      <c r="B4633" s="216" t="str">
        <f ca="1">_xlfn.CONCAT(B4624,A4633)</f>
        <v>226B0DDD-H</v>
      </c>
      <c r="C4633" s="17"/>
      <c r="D4633" s="184"/>
      <c r="E4633" s="197"/>
      <c r="F4633" s="19"/>
      <c r="G4633" s="20"/>
    </row>
    <row r="4634" spans="1:8">
      <c r="A4634" s="211" t="s">
        <v>492</v>
      </c>
      <c r="B4634" s="216" t="str">
        <f ca="1">_xlfn.CONCAT(B4624,A4634)</f>
        <v>226B0DDD-I</v>
      </c>
      <c r="C4634" s="17"/>
      <c r="D4634" s="184"/>
      <c r="E4634" s="197"/>
      <c r="F4634" s="19"/>
      <c r="G4634" s="20"/>
    </row>
    <row r="4635" spans="1:8">
      <c r="A4635" s="211" t="s">
        <v>493</v>
      </c>
      <c r="B4635" s="216" t="str">
        <f ca="1">_xlfn.CONCAT(B4624,A4635)</f>
        <v>226B0DDD-J</v>
      </c>
      <c r="C4635" s="17"/>
      <c r="D4635" s="184"/>
      <c r="E4635" s="197"/>
      <c r="F4635" s="19"/>
      <c r="G4635" s="20"/>
    </row>
    <row r="4636" spans="1:8">
      <c r="A4636" s="211" t="s">
        <v>494</v>
      </c>
      <c r="B4636" s="216" t="str">
        <f ca="1">_xlfn.CONCAT(B4624,A4636)</f>
        <v>226B0DDD-K</v>
      </c>
      <c r="C4636" s="17"/>
      <c r="D4636" s="184"/>
      <c r="E4636" s="197"/>
      <c r="F4636" s="19"/>
      <c r="G4636" s="20"/>
    </row>
    <row r="4637" spans="1:8">
      <c r="A4637" s="211" t="s">
        <v>495</v>
      </c>
      <c r="B4637" s="216" t="str">
        <f ca="1">_xlfn.CONCAT(B4624,A4637)</f>
        <v>226B0DDD-L</v>
      </c>
      <c r="C4637" s="17"/>
      <c r="D4637" s="184"/>
      <c r="E4637" s="197"/>
      <c r="F4637" s="19"/>
      <c r="G4637" s="20"/>
    </row>
    <row r="4638" spans="1:8">
      <c r="A4638" s="211" t="s">
        <v>496</v>
      </c>
      <c r="B4638" s="216" t="str">
        <f ca="1">_xlfn.CONCAT(B4624,A4638)</f>
        <v>226B0DDD-M</v>
      </c>
      <c r="C4638" s="17"/>
      <c r="D4638" s="184"/>
      <c r="E4638" s="197"/>
      <c r="F4638" s="19"/>
      <c r="G4638" s="20"/>
    </row>
    <row r="4639" spans="1:8">
      <c r="A4639" s="211" t="s">
        <v>497</v>
      </c>
      <c r="B4639" s="216" t="str">
        <f ca="1">_xlfn.CONCAT(B4624,A4639)</f>
        <v>226B0DDD-N</v>
      </c>
      <c r="C4639" s="17"/>
      <c r="D4639" s="184"/>
      <c r="E4639" s="197"/>
      <c r="F4639" s="19"/>
      <c r="G4639" s="20"/>
    </row>
    <row r="4640" spans="1:8">
      <c r="A4640" s="211" t="s">
        <v>498</v>
      </c>
      <c r="B4640" s="216" t="str">
        <f ca="1">_xlfn.CONCAT(B4624,A4640)</f>
        <v>226B0DDD-O</v>
      </c>
      <c r="C4640" s="17"/>
      <c r="D4640" s="184"/>
      <c r="E4640" s="197"/>
      <c r="F4640" s="19"/>
      <c r="G4640" s="20"/>
    </row>
    <row r="4641" spans="1:8">
      <c r="A4641" s="211" t="s">
        <v>499</v>
      </c>
      <c r="B4641" s="216" t="str">
        <f ca="1">_xlfn.CONCAT(B4624,A4641)</f>
        <v>226B0DDD-P</v>
      </c>
      <c r="C4641" s="17"/>
      <c r="D4641" s="184"/>
      <c r="E4641" s="197"/>
      <c r="F4641" s="19"/>
      <c r="G4641" s="20"/>
    </row>
    <row r="4642" spans="1:8">
      <c r="A4642" s="211" t="s">
        <v>500</v>
      </c>
      <c r="B4642" s="216" t="str">
        <f ca="1">_xlfn.CONCAT(B4624,A4642)</f>
        <v>226B0DDD-Q</v>
      </c>
      <c r="C4642" s="17"/>
      <c r="D4642" s="184"/>
      <c r="E4642" s="197"/>
      <c r="F4642" s="19"/>
      <c r="G4642" s="20"/>
    </row>
    <row r="4643" spans="1:8">
      <c r="A4643" s="211" t="s">
        <v>501</v>
      </c>
      <c r="B4643" s="216" t="str">
        <f ca="1">_xlfn.CONCAT(B4624,A4643)</f>
        <v>226B0DDD-R</v>
      </c>
      <c r="C4643" s="17"/>
      <c r="D4643" s="184"/>
      <c r="E4643" s="197"/>
      <c r="F4643" s="19"/>
      <c r="G4643" s="20"/>
    </row>
    <row r="4644" spans="1:8">
      <c r="A4644" s="211" t="s">
        <v>502</v>
      </c>
      <c r="B4644" s="216" t="str">
        <f ca="1">_xlfn.CONCAT(B4624,A4644)</f>
        <v>226B0DDD-S</v>
      </c>
      <c r="C4644" s="17"/>
      <c r="D4644" s="184"/>
      <c r="E4644" s="197"/>
      <c r="F4644" s="19"/>
      <c r="G4644" s="20"/>
    </row>
    <row r="4645" spans="1:8">
      <c r="A4645" s="211" t="s">
        <v>503</v>
      </c>
      <c r="B4645" s="216" t="str">
        <f ca="1">_xlfn.CONCAT(B4624,A4645)</f>
        <v>226B0DDD-T</v>
      </c>
      <c r="C4645" s="17"/>
      <c r="D4645" s="184"/>
      <c r="E4645" s="197"/>
      <c r="F4645" s="19"/>
      <c r="G4645" s="20"/>
    </row>
    <row r="4646" spans="1:8" ht="14.25" thickBot="1">
      <c r="A4646" s="211" t="s">
        <v>504</v>
      </c>
      <c r="B4646" s="216" t="str">
        <f ca="1">_xlfn.CONCAT(B4624,A4646)</f>
        <v>226B0DDD-U</v>
      </c>
      <c r="C4646" s="17"/>
      <c r="D4646" s="184"/>
      <c r="E4646" s="197"/>
      <c r="F4646" s="19"/>
      <c r="G4646" s="20"/>
    </row>
    <row r="4647" spans="1:8" ht="14.25" thickBot="1">
      <c r="A4647" s="211" t="s">
        <v>505</v>
      </c>
      <c r="B4647" s="216" t="str">
        <f ca="1">_xlfn.CONCAT(B4624,A4647)</f>
        <v>226B0DDD-V</v>
      </c>
      <c r="C4647" s="17" t="s">
        <v>17</v>
      </c>
      <c r="D4647" s="192" t="s">
        <v>17</v>
      </c>
      <c r="E4647" s="18"/>
      <c r="F4647" s="22" t="s">
        <v>18</v>
      </c>
      <c r="G4647" s="23">
        <f>SUM(G4626:G4646)</f>
        <v>631443.4</v>
      </c>
    </row>
    <row r="4648" spans="1:8" ht="15.75" thickBot="1">
      <c r="A4648" s="211" t="s">
        <v>506</v>
      </c>
      <c r="B4648" s="216" t="str">
        <f ca="1">_xlfn.CONCAT(B4624,A4648)</f>
        <v>226B0DDD-W</v>
      </c>
      <c r="C4648" s="10" t="s">
        <v>19</v>
      </c>
      <c r="D4648" s="190"/>
      <c r="E4648" s="11"/>
      <c r="F4648" s="12"/>
      <c r="G4648" s="13"/>
    </row>
    <row r="4649" spans="1:8" ht="14.25" thickBot="1">
      <c r="A4649" s="211" t="s">
        <v>507</v>
      </c>
      <c r="B4649" s="216" t="str">
        <f ca="1">_xlfn.CONCAT(B4624,A4649)</f>
        <v>226B0DDD-X</v>
      </c>
      <c r="C4649" s="14" t="s">
        <v>1</v>
      </c>
      <c r="D4649" s="15"/>
      <c r="E4649" s="15" t="s">
        <v>20</v>
      </c>
      <c r="F4649" s="16" t="s">
        <v>21</v>
      </c>
      <c r="G4649" s="15" t="s">
        <v>5</v>
      </c>
      <c r="H4649" s="215"/>
    </row>
    <row r="4650" spans="1:8">
      <c r="A4650" s="211" t="s">
        <v>508</v>
      </c>
      <c r="B4650" s="216" t="str">
        <f ca="1">_xlfn.CONCAT(B4624,A4650)</f>
        <v>226B0DDD-Y</v>
      </c>
      <c r="C4650" s="24" t="s">
        <v>22</v>
      </c>
      <c r="D4650" s="184"/>
      <c r="E4650" s="25">
        <f>_xlfn.XLOOKUP(C4650,'H-MO'!B$7:B$30,'H-MO'!D$7:D$30,,0,1)</f>
        <v>2436.5624999999995</v>
      </c>
      <c r="F4650" s="19">
        <v>0.50800000000000001</v>
      </c>
      <c r="G4650" s="33">
        <f t="shared" ref="G4650:G4655" si="135">+E4650*F4650</f>
        <v>1237.7737499999998</v>
      </c>
    </row>
    <row r="4651" spans="1:8">
      <c r="A4651" s="211" t="s">
        <v>509</v>
      </c>
      <c r="B4651" s="216" t="str">
        <f ca="1">_xlfn.CONCAT(B4624,A4651)</f>
        <v>226B0DDD-Z</v>
      </c>
      <c r="C4651" s="24" t="s">
        <v>23</v>
      </c>
      <c r="D4651" s="184"/>
      <c r="E4651" s="25">
        <f>_xlfn.XLOOKUP(C4651,'H-MO'!B$7:B$30,'H-MO'!D$7:D$30,,0,1)</f>
        <v>1461.9374999999998</v>
      </c>
      <c r="F4651" s="19">
        <v>15</v>
      </c>
      <c r="G4651" s="33">
        <f t="shared" si="135"/>
        <v>21929.062499999996</v>
      </c>
    </row>
    <row r="4652" spans="1:8">
      <c r="A4652" s="211" t="s">
        <v>510</v>
      </c>
      <c r="B4652" s="216" t="str">
        <f ca="1">_xlfn.CONCAT(B4624,A4652)</f>
        <v>226B0DDD-aa</v>
      </c>
      <c r="C4652" s="24" t="s">
        <v>24</v>
      </c>
      <c r="D4652" s="185"/>
      <c r="E4652" s="25">
        <f>_xlfn.XLOOKUP(C4652,'H-MO'!B$7:B$30,'H-MO'!D$7:D$30,,0,1)</f>
        <v>29238.749999999996</v>
      </c>
      <c r="F4652" s="28">
        <v>5</v>
      </c>
      <c r="G4652" s="33">
        <f t="shared" si="135"/>
        <v>146193.74999999997</v>
      </c>
    </row>
    <row r="4653" spans="1:8">
      <c r="A4653" s="211" t="s">
        <v>511</v>
      </c>
      <c r="B4653" s="216" t="str">
        <f ca="1">_xlfn.CONCAT(B4624,A4653)</f>
        <v>226B0DDD-ab</v>
      </c>
      <c r="C4653" s="24" t="s">
        <v>25</v>
      </c>
      <c r="D4653" s="185"/>
      <c r="E4653" s="25">
        <f>_xlfn.XLOOKUP(C4653,'H-MO'!B$7:B$30,'H-MO'!D$7:D$30,,0,1)</f>
        <v>2761.4374999999995</v>
      </c>
      <c r="F4653" s="28">
        <v>0.44309999999999999</v>
      </c>
      <c r="G4653" s="33">
        <f t="shared" si="135"/>
        <v>1223.5929562499998</v>
      </c>
    </row>
    <row r="4654" spans="1:8">
      <c r="A4654" s="211" t="s">
        <v>512</v>
      </c>
      <c r="B4654" s="216" t="str">
        <f ca="1">_xlfn.CONCAT(B4624,A4654)</f>
        <v>226B0DDD-ac</v>
      </c>
      <c r="C4654" s="24"/>
      <c r="D4654" s="185"/>
      <c r="E4654" s="29"/>
      <c r="F4654" s="28">
        <v>0</v>
      </c>
      <c r="G4654" s="33">
        <f t="shared" si="135"/>
        <v>0</v>
      </c>
    </row>
    <row r="4655" spans="1:8" ht="14.25" thickBot="1">
      <c r="A4655" s="211" t="s">
        <v>513</v>
      </c>
      <c r="B4655" s="216" t="str">
        <f ca="1">_xlfn.CONCAT(B4624,A4655)</f>
        <v>226B0DDD-ad</v>
      </c>
      <c r="C4655" s="24"/>
      <c r="D4655" s="185"/>
      <c r="E4655" s="29"/>
      <c r="F4655" s="28">
        <v>0</v>
      </c>
      <c r="G4655" s="33">
        <f t="shared" si="135"/>
        <v>0</v>
      </c>
    </row>
    <row r="4656" spans="1:8" ht="14.25" thickBot="1">
      <c r="A4656" s="211" t="s">
        <v>514</v>
      </c>
      <c r="B4656" s="216" t="str">
        <f ca="1">_xlfn.CONCAT(B4624,A4656)</f>
        <v>226B0DDD-ae</v>
      </c>
      <c r="C4656" s="17"/>
      <c r="D4656" s="192"/>
      <c r="E4656" s="18"/>
      <c r="F4656" s="22" t="s">
        <v>26</v>
      </c>
      <c r="G4656" s="23">
        <f>SUM(G4650:G4655)</f>
        <v>170584.17920624997</v>
      </c>
    </row>
    <row r="4657" spans="1:8" ht="15.75" thickBot="1">
      <c r="A4657" s="211" t="s">
        <v>515</v>
      </c>
      <c r="B4657" s="216" t="str">
        <f ca="1">_xlfn.CONCAT(B4624,A4657)</f>
        <v>226B0DDD-af</v>
      </c>
      <c r="C4657" s="10" t="s">
        <v>27</v>
      </c>
      <c r="D4657" s="190"/>
      <c r="E4657" s="11"/>
      <c r="F4657" s="12"/>
      <c r="G4657" s="13"/>
    </row>
    <row r="4658" spans="1:8" ht="14.25" thickBot="1">
      <c r="A4658" s="211" t="s">
        <v>516</v>
      </c>
      <c r="B4658" s="216" t="str">
        <f ca="1">_xlfn.CONCAT(B4624,A4658)</f>
        <v>226B0DDD-ag</v>
      </c>
      <c r="C4658" s="14" t="s">
        <v>1</v>
      </c>
      <c r="D4658" s="15" t="s">
        <v>28</v>
      </c>
      <c r="E4658" s="15" t="s">
        <v>20</v>
      </c>
      <c r="F4658" s="16" t="s">
        <v>21</v>
      </c>
      <c r="G4658" s="15" t="s">
        <v>5</v>
      </c>
      <c r="H4658" s="215"/>
    </row>
    <row r="4659" spans="1:8">
      <c r="A4659" s="211" t="s">
        <v>517</v>
      </c>
      <c r="B4659" s="216" t="str">
        <f ca="1">_xlfn.CONCAT(B4624,A4659)</f>
        <v>226B0DDD-ah</v>
      </c>
      <c r="C4659" s="30" t="s">
        <v>29</v>
      </c>
      <c r="D4659" s="186">
        <f>'H-MO'!$N$77</f>
        <v>725918.52892505517</v>
      </c>
      <c r="E4659" s="31">
        <f>+D4659/8</f>
        <v>90739.816115631897</v>
      </c>
      <c r="F4659" s="32">
        <v>0</v>
      </c>
      <c r="G4659" s="33">
        <f>+E4659*F4659</f>
        <v>0</v>
      </c>
    </row>
    <row r="4660" spans="1:8">
      <c r="A4660" s="211" t="s">
        <v>518</v>
      </c>
      <c r="B4660" s="216" t="str">
        <f ca="1">_xlfn.CONCAT(B4624,A4660)</f>
        <v>226B0DDD-ai</v>
      </c>
      <c r="C4660" s="34" t="s">
        <v>30</v>
      </c>
      <c r="D4660" s="187">
        <f>'H-MO'!$N$86</f>
        <v>685561.39085756091</v>
      </c>
      <c r="E4660" s="29">
        <f>+D4660/8</f>
        <v>85695.173857195114</v>
      </c>
      <c r="F4660" s="28">
        <v>15</v>
      </c>
      <c r="G4660" s="33">
        <f>+E4660*F4660</f>
        <v>1285427.6078579267</v>
      </c>
    </row>
    <row r="4661" spans="1:8" ht="14.25" thickBot="1">
      <c r="A4661" s="211" t="s">
        <v>519</v>
      </c>
      <c r="B4661" s="216" t="str">
        <f ca="1">_xlfn.CONCAT(B4624,A4661)</f>
        <v>226B0DDD-aj</v>
      </c>
      <c r="C4661" s="34"/>
      <c r="D4661" s="187"/>
      <c r="E4661" s="29"/>
      <c r="F4661" s="28">
        <v>0</v>
      </c>
      <c r="G4661" s="33">
        <f>+E4661*F4661</f>
        <v>0</v>
      </c>
    </row>
    <row r="4662" spans="1:8" ht="14.25" thickBot="1">
      <c r="A4662" s="211" t="s">
        <v>520</v>
      </c>
      <c r="B4662" s="216" t="str">
        <f ca="1">_xlfn.CONCAT(B4624,A4662)</f>
        <v>226B0DDD-ak</v>
      </c>
      <c r="C4662" s="34"/>
      <c r="D4662" s="185"/>
      <c r="E4662" s="26"/>
      <c r="F4662" s="36" t="s">
        <v>31</v>
      </c>
      <c r="G4662" s="23">
        <f>SUM(G4659:G4661)</f>
        <v>1285427.6078579267</v>
      </c>
    </row>
    <row r="4663" spans="1:8" ht="14.25" thickBot="1">
      <c r="A4663" s="211" t="s">
        <v>521</v>
      </c>
      <c r="B4663" s="216" t="str">
        <f ca="1">_xlfn.CONCAT(B4624,A4663)</f>
        <v>226B0DDD-al</v>
      </c>
      <c r="C4663" s="37"/>
      <c r="E4663" s="38"/>
      <c r="F4663" s="22"/>
      <c r="G4663" s="39"/>
    </row>
    <row r="4664" spans="1:8" ht="16.5" thickBot="1">
      <c r="A4664" s="211" t="s">
        <v>522</v>
      </c>
      <c r="B4664" s="216" t="str">
        <f ca="1">_xlfn.CONCAT(B4624,A4664)</f>
        <v>226B0DDD-am</v>
      </c>
      <c r="C4664" s="40"/>
      <c r="D4664" s="193"/>
      <c r="E4664" s="41"/>
      <c r="F4664" s="42"/>
      <c r="G4664" s="43">
        <f>+G4647+G4656+G4662</f>
        <v>2087455.1870641769</v>
      </c>
    </row>
    <row r="4665" spans="1:8" ht="21.75" thickBot="1">
      <c r="B4665" s="212" t="s">
        <v>550</v>
      </c>
      <c r="C4665" s="2"/>
      <c r="D4665" s="183"/>
      <c r="F4665" s="4"/>
      <c r="G4665" s="5"/>
    </row>
    <row r="4666" spans="1:8" ht="18.75">
      <c r="A4666" s="213"/>
      <c r="B4666" s="214">
        <v>107</v>
      </c>
      <c r="C4666" s="242" t="str">
        <f ca="1">_xlfn.XLOOKUP(B4666,Cantidades!$A$10:$A$314,Cantidades!$C$10:$C$314,,0,1)</f>
        <v>Suministro e instalación de caja de inspección CS275. Incluye suministro de 1 tapas, excavación y retiro de escombros.</v>
      </c>
      <c r="D4666" s="243"/>
      <c r="E4666" s="243"/>
      <c r="F4666" s="243"/>
      <c r="G4666" s="244"/>
    </row>
    <row r="4667" spans="1:8" ht="19.5" thickBot="1">
      <c r="A4667" s="215"/>
      <c r="B4667" s="216" t="s">
        <v>550</v>
      </c>
      <c r="C4667" s="177"/>
      <c r="D4667" s="189"/>
      <c r="E4667" s="178"/>
      <c r="F4667" s="179" t="s">
        <v>636</v>
      </c>
      <c r="G4667" s="209" t="str">
        <f ca="1">B4668</f>
        <v>C803A98-</v>
      </c>
    </row>
    <row r="4668" spans="1:8" ht="15.75" thickBot="1">
      <c r="B4668" s="212" t="str">
        <f ca="1">_xlfn.XLOOKUP(C4666,Cantidades!$C$1:$C$314,Cantidades!$B$1:$B$314,"",0,1)</f>
        <v>C803A98-</v>
      </c>
      <c r="C4668" s="10" t="s">
        <v>0</v>
      </c>
      <c r="D4668" s="190"/>
      <c r="E4668" s="11"/>
      <c r="F4668" s="12"/>
      <c r="G4668" s="13"/>
    </row>
    <row r="4669" spans="1:8" ht="14.25" thickBot="1">
      <c r="A4669" s="215"/>
      <c r="B4669" s="216" t="s">
        <v>550</v>
      </c>
      <c r="C4669" s="14" t="s">
        <v>1</v>
      </c>
      <c r="D4669" s="15" t="s">
        <v>2</v>
      </c>
      <c r="E4669" s="15" t="s">
        <v>3</v>
      </c>
      <c r="F4669" s="16" t="s">
        <v>4</v>
      </c>
      <c r="G4669" s="15" t="s">
        <v>5</v>
      </c>
    </row>
    <row r="4670" spans="1:8">
      <c r="A4670" s="211" t="s">
        <v>484</v>
      </c>
      <c r="B4670" s="216" t="str">
        <f ca="1">_xlfn.CONCAT(B4668,A4670)</f>
        <v>C803A98-A</v>
      </c>
      <c r="C4670" s="17" t="str">
        <f>_xlfn.XLOOKUP(H4670,'Materiales unitario'!$A$1:$A$2500,'Materiales unitario'!B$1:B$2500,,0,1)</f>
        <v>Ladrillo tolete recocido</v>
      </c>
      <c r="D4670" s="184" t="str">
        <f>_xlfn.XLOOKUP(H4670,'Materiales unitario'!A$1:A$2500,'Materiales unitario'!C$1:C$2500,,0,1)</f>
        <v>un</v>
      </c>
      <c r="E4670" s="197">
        <f>_xlfn.XLOOKUP(H4670,'Materiales unitario'!$A$1:$A$2500,'Materiales unitario'!D$1:D$2500,,0,1)</f>
        <v>714</v>
      </c>
      <c r="F4670" s="19">
        <v>385.00000000000006</v>
      </c>
      <c r="G4670" s="20">
        <f t="shared" ref="G4670:G4675" si="136">+E4670*F4670</f>
        <v>274890.00000000006</v>
      </c>
      <c r="H4670" s="211" t="s">
        <v>330</v>
      </c>
    </row>
    <row r="4671" spans="1:8">
      <c r="A4671" s="211" t="s">
        <v>485</v>
      </c>
      <c r="B4671" s="216" t="str">
        <f ca="1">_xlfn.CONCAT(B4668,A4671)</f>
        <v>C803A98-B</v>
      </c>
      <c r="C4671" s="17" t="str">
        <f>_xlfn.XLOOKUP(H4671,'Materiales unitario'!$A$1:$A$2500,'Materiales unitario'!B$1:B$2500,,0,1)</f>
        <v>Cemento gris</v>
      </c>
      <c r="D4671" s="184" t="str">
        <f>_xlfn.XLOOKUP(H4671,'Materiales unitario'!A$1:A$2500,'Materiales unitario'!C$1:C$2500,,0,1)</f>
        <v>bt</v>
      </c>
      <c r="E4671" s="197">
        <f>_xlfn.XLOOKUP(H4671,'Materiales unitario'!$A$1:$A$2500,'Materiales unitario'!D$1:D$2500,,0,1)</f>
        <v>36771</v>
      </c>
      <c r="F4671" s="19">
        <v>3.3000000000000003</v>
      </c>
      <c r="G4671" s="20">
        <f t="shared" si="136"/>
        <v>121344.3</v>
      </c>
      <c r="H4671" s="211" t="s">
        <v>295</v>
      </c>
    </row>
    <row r="4672" spans="1:8">
      <c r="A4672" s="211" t="s">
        <v>486</v>
      </c>
      <c r="B4672" s="216" t="str">
        <f ca="1">_xlfn.CONCAT(B4668,A4672)</f>
        <v>C803A98-C</v>
      </c>
      <c r="C4672" s="17" t="str">
        <f>_xlfn.XLOOKUP(H4672,'Materiales unitario'!$A$1:$A$2500,'Materiales unitario'!B$1:B$2500,,0,1)</f>
        <v xml:space="preserve">Arena de peña </v>
      </c>
      <c r="D4672" s="184" t="str">
        <f>_xlfn.XLOOKUP(H4672,'Materiales unitario'!A$1:A$2500,'Materiales unitario'!C$1:C$2500,,0,1)</f>
        <v>m3</v>
      </c>
      <c r="E4672" s="197">
        <f>_xlfn.XLOOKUP(H4672,'Materiales unitario'!$A$1:$A$2500,'Materiales unitario'!D$1:D$2500,,0,1)</f>
        <v>154700</v>
      </c>
      <c r="F4672" s="19">
        <v>0.55000000000000004</v>
      </c>
      <c r="G4672" s="20">
        <f t="shared" si="136"/>
        <v>85085</v>
      </c>
      <c r="H4672" s="211" t="s">
        <v>231</v>
      </c>
    </row>
    <row r="4673" spans="1:8">
      <c r="A4673" s="211" t="s">
        <v>487</v>
      </c>
      <c r="B4673" s="216" t="str">
        <f ca="1">_xlfn.CONCAT(B4668,A4673)</f>
        <v>C803A98-D</v>
      </c>
      <c r="C4673" s="17" t="str">
        <f>_xlfn.XLOOKUP(H4673,'Materiales unitario'!$A$1:$A$2500,'Materiales unitario'!B$1:B$2500,,0,1)</f>
        <v>Arena lavada + Gravilla = Mixto</v>
      </c>
      <c r="D4673" s="184" t="str">
        <f>_xlfn.XLOOKUP(H4673,'Materiales unitario'!A$1:A$2500,'Materiales unitario'!C$1:C$2500,,0,1)</f>
        <v>m3</v>
      </c>
      <c r="E4673" s="197">
        <f>_xlfn.XLOOKUP(H4673,'Materiales unitario'!$A$1:$A$2500,'Materiales unitario'!D$1:D$2500,,0,1)</f>
        <v>190400</v>
      </c>
      <c r="F4673" s="19">
        <v>0.16500000000000001</v>
      </c>
      <c r="G4673" s="20">
        <f t="shared" si="136"/>
        <v>31416</v>
      </c>
      <c r="H4673" s="211" t="s">
        <v>523</v>
      </c>
    </row>
    <row r="4674" spans="1:8">
      <c r="A4674" s="211" t="s">
        <v>488</v>
      </c>
      <c r="B4674" s="216" t="str">
        <f ca="1">_xlfn.CONCAT(B4668,A4674)</f>
        <v>C803A98-E</v>
      </c>
      <c r="C4674" s="17" t="str">
        <f>_xlfn.XLOOKUP(H4674,'Materiales unitario'!$A$1:$A$2500,'Materiales unitario'!B$1:B$2500,,0,1)</f>
        <v>Marco + tapa de inspección cámara tipo CS -275</v>
      </c>
      <c r="D4674" s="184" t="str">
        <f>_xlfn.XLOOKUP(H4674,'Materiales unitario'!A$1:A$2500,'Materiales unitario'!C$1:C$2500,,0,1)</f>
        <v>jg</v>
      </c>
      <c r="E4674" s="197">
        <f>_xlfn.XLOOKUP(H4674,'Materiales unitario'!$A$1:$A$2500,'Materiales unitario'!D$1:D$2500,,0,1)</f>
        <v>595080</v>
      </c>
      <c r="F4674" s="19">
        <v>1</v>
      </c>
      <c r="G4674" s="20">
        <f t="shared" si="136"/>
        <v>595080</v>
      </c>
      <c r="H4674" s="211" t="s">
        <v>337</v>
      </c>
    </row>
    <row r="4675" spans="1:8">
      <c r="A4675" s="211" t="s">
        <v>489</v>
      </c>
      <c r="B4675" s="216" t="str">
        <f ca="1">_xlfn.CONCAT(B4668,A4675)</f>
        <v>C803A98-F</v>
      </c>
      <c r="C4675" s="17" t="str">
        <f>_xlfn.XLOOKUP(H4675,'Materiales unitario'!$A$1:$A$2500,'Materiales unitario'!B$1:B$2500,,0,1)</f>
        <v>Fungibles (Madera para formaleta, puntillas y accesorios).</v>
      </c>
      <c r="D4675" s="184" t="str">
        <f>_xlfn.XLOOKUP(H4675,'Materiales unitario'!A$1:A$2500,'Materiales unitario'!C$1:C$2500,,0,1)</f>
        <v>ml</v>
      </c>
      <c r="E4675" s="197">
        <f>_xlfn.XLOOKUP(H4675,'Materiales unitario'!$A$1:$A$2500,'Materiales unitario'!D$1:D$2500,,0,1)</f>
        <v>22600</v>
      </c>
      <c r="F4675" s="19">
        <v>3.3000000000000003</v>
      </c>
      <c r="G4675" s="20">
        <f t="shared" si="136"/>
        <v>74580</v>
      </c>
      <c r="H4675" s="211" t="s">
        <v>324</v>
      </c>
    </row>
    <row r="4676" spans="1:8">
      <c r="A4676" s="211" t="s">
        <v>490</v>
      </c>
      <c r="B4676" s="216" t="str">
        <f ca="1">_xlfn.CONCAT(B4668,A4676)</f>
        <v>C803A98-G</v>
      </c>
      <c r="C4676" s="17"/>
      <c r="D4676" s="184"/>
      <c r="E4676" s="197"/>
      <c r="F4676" s="19"/>
      <c r="G4676" s="20"/>
    </row>
    <row r="4677" spans="1:8">
      <c r="A4677" s="211" t="s">
        <v>491</v>
      </c>
      <c r="B4677" s="216" t="str">
        <f ca="1">_xlfn.CONCAT(B4668,A4677)</f>
        <v>C803A98-H</v>
      </c>
      <c r="C4677" s="17"/>
      <c r="D4677" s="184"/>
      <c r="E4677" s="197"/>
      <c r="F4677" s="19"/>
      <c r="G4677" s="20"/>
    </row>
    <row r="4678" spans="1:8">
      <c r="A4678" s="211" t="s">
        <v>492</v>
      </c>
      <c r="B4678" s="216" t="str">
        <f ca="1">_xlfn.CONCAT(B4668,A4678)</f>
        <v>C803A98-I</v>
      </c>
      <c r="C4678" s="17"/>
      <c r="D4678" s="184"/>
      <c r="E4678" s="197"/>
      <c r="F4678" s="19"/>
      <c r="G4678" s="20"/>
    </row>
    <row r="4679" spans="1:8">
      <c r="A4679" s="211" t="s">
        <v>493</v>
      </c>
      <c r="B4679" s="216" t="str">
        <f ca="1">_xlfn.CONCAT(B4668,A4679)</f>
        <v>C803A98-J</v>
      </c>
      <c r="C4679" s="17"/>
      <c r="D4679" s="184"/>
      <c r="E4679" s="197"/>
      <c r="F4679" s="19"/>
      <c r="G4679" s="20"/>
    </row>
    <row r="4680" spans="1:8">
      <c r="A4680" s="211" t="s">
        <v>494</v>
      </c>
      <c r="B4680" s="216" t="str">
        <f ca="1">_xlfn.CONCAT(B4668,A4680)</f>
        <v>C803A98-K</v>
      </c>
      <c r="C4680" s="17"/>
      <c r="D4680" s="184"/>
      <c r="E4680" s="197"/>
      <c r="F4680" s="19"/>
      <c r="G4680" s="20"/>
    </row>
    <row r="4681" spans="1:8">
      <c r="A4681" s="211" t="s">
        <v>495</v>
      </c>
      <c r="B4681" s="216" t="str">
        <f ca="1">_xlfn.CONCAT(B4668,A4681)</f>
        <v>C803A98-L</v>
      </c>
      <c r="C4681" s="17"/>
      <c r="D4681" s="184"/>
      <c r="E4681" s="197"/>
      <c r="F4681" s="19"/>
      <c r="G4681" s="20"/>
    </row>
    <row r="4682" spans="1:8">
      <c r="A4682" s="211" t="s">
        <v>496</v>
      </c>
      <c r="B4682" s="216" t="str">
        <f ca="1">_xlfn.CONCAT(B4668,A4682)</f>
        <v>C803A98-M</v>
      </c>
      <c r="C4682" s="17"/>
      <c r="D4682" s="184"/>
      <c r="E4682" s="197"/>
      <c r="F4682" s="19"/>
      <c r="G4682" s="20"/>
    </row>
    <row r="4683" spans="1:8">
      <c r="A4683" s="211" t="s">
        <v>497</v>
      </c>
      <c r="B4683" s="216" t="str">
        <f ca="1">_xlfn.CONCAT(B4668,A4683)</f>
        <v>C803A98-N</v>
      </c>
      <c r="C4683" s="17"/>
      <c r="D4683" s="184"/>
      <c r="E4683" s="197"/>
      <c r="F4683" s="19"/>
      <c r="G4683" s="20"/>
    </row>
    <row r="4684" spans="1:8">
      <c r="A4684" s="211" t="s">
        <v>498</v>
      </c>
      <c r="B4684" s="216" t="str">
        <f ca="1">_xlfn.CONCAT(B4668,A4684)</f>
        <v>C803A98-O</v>
      </c>
      <c r="C4684" s="17"/>
      <c r="D4684" s="184"/>
      <c r="E4684" s="197"/>
      <c r="F4684" s="19"/>
      <c r="G4684" s="20"/>
    </row>
    <row r="4685" spans="1:8">
      <c r="A4685" s="211" t="s">
        <v>499</v>
      </c>
      <c r="B4685" s="216" t="str">
        <f ca="1">_xlfn.CONCAT(B4668,A4685)</f>
        <v>C803A98-P</v>
      </c>
      <c r="C4685" s="17"/>
      <c r="D4685" s="184"/>
      <c r="E4685" s="197"/>
      <c r="F4685" s="19"/>
      <c r="G4685" s="20"/>
    </row>
    <row r="4686" spans="1:8">
      <c r="A4686" s="211" t="s">
        <v>500</v>
      </c>
      <c r="B4686" s="216" t="str">
        <f ca="1">_xlfn.CONCAT(B4668,A4686)</f>
        <v>C803A98-Q</v>
      </c>
      <c r="C4686" s="17"/>
      <c r="D4686" s="184"/>
      <c r="E4686" s="197"/>
      <c r="F4686" s="19"/>
      <c r="G4686" s="20"/>
    </row>
    <row r="4687" spans="1:8">
      <c r="A4687" s="211" t="s">
        <v>501</v>
      </c>
      <c r="B4687" s="216" t="str">
        <f ca="1">_xlfn.CONCAT(B4668,A4687)</f>
        <v>C803A98-R</v>
      </c>
      <c r="C4687" s="17"/>
      <c r="D4687" s="184"/>
      <c r="E4687" s="197"/>
      <c r="F4687" s="19"/>
      <c r="G4687" s="20"/>
    </row>
    <row r="4688" spans="1:8">
      <c r="A4688" s="211" t="s">
        <v>502</v>
      </c>
      <c r="B4688" s="216" t="str">
        <f ca="1">_xlfn.CONCAT(B4668,A4688)</f>
        <v>C803A98-S</v>
      </c>
      <c r="C4688" s="17"/>
      <c r="D4688" s="184"/>
      <c r="E4688" s="197"/>
      <c r="F4688" s="19"/>
      <c r="G4688" s="20"/>
    </row>
    <row r="4689" spans="1:7">
      <c r="A4689" s="211" t="s">
        <v>503</v>
      </c>
      <c r="B4689" s="216" t="str">
        <f ca="1">_xlfn.CONCAT(B4668,A4689)</f>
        <v>C803A98-T</v>
      </c>
      <c r="C4689" s="17"/>
      <c r="D4689" s="184"/>
      <c r="E4689" s="197"/>
      <c r="F4689" s="19"/>
      <c r="G4689" s="20"/>
    </row>
    <row r="4690" spans="1:7" ht="14.25" thickBot="1">
      <c r="A4690" s="211" t="s">
        <v>504</v>
      </c>
      <c r="B4690" s="216" t="str">
        <f ca="1">_xlfn.CONCAT(B4668,A4690)</f>
        <v>C803A98-U</v>
      </c>
      <c r="C4690" s="17"/>
      <c r="D4690" s="184"/>
      <c r="E4690" s="197"/>
      <c r="F4690" s="19"/>
      <c r="G4690" s="20"/>
    </row>
    <row r="4691" spans="1:7" ht="14.25" thickBot="1">
      <c r="A4691" s="211" t="s">
        <v>505</v>
      </c>
      <c r="B4691" s="216" t="str">
        <f ca="1">_xlfn.CONCAT(B4668,A4691)</f>
        <v>C803A98-V</v>
      </c>
      <c r="C4691" s="17" t="s">
        <v>17</v>
      </c>
      <c r="D4691" s="192" t="s">
        <v>17</v>
      </c>
      <c r="E4691" s="18"/>
      <c r="F4691" s="22" t="s">
        <v>18</v>
      </c>
      <c r="G4691" s="23">
        <f>SUM(G4670:G4690)</f>
        <v>1182395.3</v>
      </c>
    </row>
    <row r="4692" spans="1:7" ht="15.75" thickBot="1">
      <c r="A4692" s="211" t="s">
        <v>506</v>
      </c>
      <c r="B4692" s="216" t="str">
        <f ca="1">_xlfn.CONCAT(B4668,A4692)</f>
        <v>C803A98-W</v>
      </c>
      <c r="C4692" s="10" t="s">
        <v>19</v>
      </c>
      <c r="D4692" s="190"/>
      <c r="E4692" s="11"/>
      <c r="F4692" s="12"/>
      <c r="G4692" s="13"/>
    </row>
    <row r="4693" spans="1:7" ht="14.25" thickBot="1">
      <c r="A4693" s="211" t="s">
        <v>507</v>
      </c>
      <c r="B4693" s="216" t="str">
        <f ca="1">_xlfn.CONCAT(B4668,A4693)</f>
        <v>C803A98-X</v>
      </c>
      <c r="C4693" s="14" t="s">
        <v>1</v>
      </c>
      <c r="D4693" s="15"/>
      <c r="E4693" s="15" t="s">
        <v>20</v>
      </c>
      <c r="F4693" s="16" t="s">
        <v>21</v>
      </c>
      <c r="G4693" s="15" t="s">
        <v>5</v>
      </c>
    </row>
    <row r="4694" spans="1:7">
      <c r="A4694" s="211" t="s">
        <v>508</v>
      </c>
      <c r="B4694" s="216" t="str">
        <f ca="1">_xlfn.CONCAT(B4668,A4694)</f>
        <v>C803A98-Y</v>
      </c>
      <c r="C4694" s="24" t="s">
        <v>22</v>
      </c>
      <c r="D4694" s="184"/>
      <c r="E4694" s="25">
        <f>_xlfn.XLOOKUP(C4694,'H-MO'!B$7:B$30,'H-MO'!D$7:D$30,,0,1)</f>
        <v>2436.5624999999995</v>
      </c>
      <c r="F4694" s="19">
        <v>0.50800000000000001</v>
      </c>
      <c r="G4694" s="33">
        <f t="shared" ref="G4694:G4699" si="137">+E4694*F4694</f>
        <v>1237.7737499999998</v>
      </c>
    </row>
    <row r="4695" spans="1:7">
      <c r="A4695" s="211" t="s">
        <v>509</v>
      </c>
      <c r="B4695" s="216" t="str">
        <f ca="1">_xlfn.CONCAT(B4668,A4695)</f>
        <v>C803A98-Z</v>
      </c>
      <c r="C4695" s="24" t="s">
        <v>23</v>
      </c>
      <c r="D4695" s="184"/>
      <c r="E4695" s="25">
        <f>_xlfn.XLOOKUP(C4695,'H-MO'!B$7:B$30,'H-MO'!D$7:D$30,,0,1)</f>
        <v>1461.9374999999998</v>
      </c>
      <c r="F4695" s="19">
        <v>7</v>
      </c>
      <c r="G4695" s="33">
        <f t="shared" si="137"/>
        <v>10233.562499999998</v>
      </c>
    </row>
    <row r="4696" spans="1:7">
      <c r="A4696" s="211" t="s">
        <v>510</v>
      </c>
      <c r="B4696" s="216" t="str">
        <f ca="1">_xlfn.CONCAT(B4668,A4696)</f>
        <v>C803A98-aa</v>
      </c>
      <c r="C4696" s="24" t="s">
        <v>24</v>
      </c>
      <c r="D4696" s="185"/>
      <c r="E4696" s="25">
        <f>_xlfn.XLOOKUP(C4696,'H-MO'!B$7:B$30,'H-MO'!D$7:D$30,,0,1)</f>
        <v>29238.749999999996</v>
      </c>
      <c r="F4696" s="28">
        <v>2</v>
      </c>
      <c r="G4696" s="33">
        <f t="shared" si="137"/>
        <v>58477.499999999993</v>
      </c>
    </row>
    <row r="4697" spans="1:7">
      <c r="A4697" s="211" t="s">
        <v>511</v>
      </c>
      <c r="B4697" s="216" t="str">
        <f ca="1">_xlfn.CONCAT(B4668,A4697)</f>
        <v>C803A98-ab</v>
      </c>
      <c r="C4697" s="24" t="s">
        <v>25</v>
      </c>
      <c r="D4697" s="185"/>
      <c r="E4697" s="25">
        <f>_xlfn.XLOOKUP(C4697,'H-MO'!B$7:B$30,'H-MO'!D$7:D$30,,0,1)</f>
        <v>2761.4374999999995</v>
      </c>
      <c r="F4697" s="28">
        <v>0.44309999999999999</v>
      </c>
      <c r="G4697" s="33">
        <f t="shared" si="137"/>
        <v>1223.5929562499998</v>
      </c>
    </row>
    <row r="4698" spans="1:7">
      <c r="A4698" s="211" t="s">
        <v>512</v>
      </c>
      <c r="B4698" s="216" t="str">
        <f ca="1">_xlfn.CONCAT(B4668,A4698)</f>
        <v>C803A98-ac</v>
      </c>
      <c r="C4698" s="24"/>
      <c r="D4698" s="185"/>
      <c r="E4698" s="29"/>
      <c r="F4698" s="28"/>
      <c r="G4698" s="33">
        <f t="shared" si="137"/>
        <v>0</v>
      </c>
    </row>
    <row r="4699" spans="1:7" ht="14.25" thickBot="1">
      <c r="A4699" s="211" t="s">
        <v>513</v>
      </c>
      <c r="B4699" s="216" t="str">
        <f ca="1">_xlfn.CONCAT(B4668,A4699)</f>
        <v>C803A98-ad</v>
      </c>
      <c r="C4699" s="24"/>
      <c r="D4699" s="185"/>
      <c r="E4699" s="29"/>
      <c r="F4699" s="28"/>
      <c r="G4699" s="33">
        <f t="shared" si="137"/>
        <v>0</v>
      </c>
    </row>
    <row r="4700" spans="1:7" ht="14.25" thickBot="1">
      <c r="A4700" s="211" t="s">
        <v>514</v>
      </c>
      <c r="B4700" s="216" t="str">
        <f ca="1">_xlfn.CONCAT(B4668,A4700)</f>
        <v>C803A98-ae</v>
      </c>
      <c r="C4700" s="17"/>
      <c r="D4700" s="192"/>
      <c r="E4700" s="18"/>
      <c r="F4700" s="22" t="s">
        <v>26</v>
      </c>
      <c r="G4700" s="23">
        <f>SUM(G4694:G4699)</f>
        <v>71172.429206249988</v>
      </c>
    </row>
    <row r="4701" spans="1:7" ht="15.75" thickBot="1">
      <c r="A4701" s="211" t="s">
        <v>515</v>
      </c>
      <c r="B4701" s="216" t="str">
        <f ca="1">_xlfn.CONCAT(B4668,A4701)</f>
        <v>C803A98-af</v>
      </c>
      <c r="C4701" s="10" t="s">
        <v>27</v>
      </c>
      <c r="D4701" s="190"/>
      <c r="E4701" s="11"/>
      <c r="F4701" s="12"/>
      <c r="G4701" s="13"/>
    </row>
    <row r="4702" spans="1:7" ht="14.25" thickBot="1">
      <c r="A4702" s="211" t="s">
        <v>516</v>
      </c>
      <c r="B4702" s="216" t="str">
        <f ca="1">_xlfn.CONCAT(B4668,A4702)</f>
        <v>C803A98-ag</v>
      </c>
      <c r="C4702" s="14" t="s">
        <v>1</v>
      </c>
      <c r="D4702" s="15" t="s">
        <v>28</v>
      </c>
      <c r="E4702" s="15" t="s">
        <v>20</v>
      </c>
      <c r="F4702" s="16" t="s">
        <v>21</v>
      </c>
      <c r="G4702" s="15" t="s">
        <v>5</v>
      </c>
    </row>
    <row r="4703" spans="1:7">
      <c r="A4703" s="211" t="s">
        <v>517</v>
      </c>
      <c r="B4703" s="216" t="str">
        <f ca="1">_xlfn.CONCAT(B4668,A4703)</f>
        <v>C803A98-ah</v>
      </c>
      <c r="C4703" s="30" t="s">
        <v>29</v>
      </c>
      <c r="D4703" s="186">
        <f>'H-MO'!$N$77</f>
        <v>725918.52892505517</v>
      </c>
      <c r="E4703" s="31">
        <f>+D4703/8</f>
        <v>90739.816115631897</v>
      </c>
      <c r="F4703" s="32">
        <v>0</v>
      </c>
      <c r="G4703" s="33">
        <f>+E4703*F4703</f>
        <v>0</v>
      </c>
    </row>
    <row r="4704" spans="1:7">
      <c r="A4704" s="211" t="s">
        <v>518</v>
      </c>
      <c r="B4704" s="216" t="str">
        <f ca="1">_xlfn.CONCAT(B4668,A4704)</f>
        <v>C803A98-ai</v>
      </c>
      <c r="C4704" s="34" t="s">
        <v>30</v>
      </c>
      <c r="D4704" s="187">
        <f>'H-MO'!$N$86</f>
        <v>685561.39085756091</v>
      </c>
      <c r="E4704" s="29">
        <f>+D4704/8</f>
        <v>85695.173857195114</v>
      </c>
      <c r="F4704" s="28">
        <v>18</v>
      </c>
      <c r="G4704" s="33">
        <f>+E4704*F4704</f>
        <v>1542513.129429512</v>
      </c>
    </row>
    <row r="4705" spans="1:8" ht="14.25" thickBot="1">
      <c r="A4705" s="211" t="s">
        <v>519</v>
      </c>
      <c r="B4705" s="216" t="str">
        <f ca="1">_xlfn.CONCAT(B4668,A4705)</f>
        <v>C803A98-aj</v>
      </c>
      <c r="C4705" s="34"/>
      <c r="D4705" s="187"/>
      <c r="E4705" s="29"/>
      <c r="F4705" s="28"/>
      <c r="G4705" s="33">
        <f>+E4705*F4705</f>
        <v>0</v>
      </c>
    </row>
    <row r="4706" spans="1:8" ht="14.25" thickBot="1">
      <c r="A4706" s="211" t="s">
        <v>520</v>
      </c>
      <c r="B4706" s="216" t="str">
        <f ca="1">_xlfn.CONCAT(B4668,A4706)</f>
        <v>C803A98-ak</v>
      </c>
      <c r="C4706" s="34"/>
      <c r="D4706" s="185"/>
      <c r="E4706" s="26"/>
      <c r="F4706" s="36" t="s">
        <v>31</v>
      </c>
      <c r="G4706" s="23">
        <f>SUM(G4703:G4705)</f>
        <v>1542513.129429512</v>
      </c>
    </row>
    <row r="4707" spans="1:8" ht="14.25" thickBot="1">
      <c r="A4707" s="211" t="s">
        <v>521</v>
      </c>
      <c r="B4707" s="216" t="str">
        <f ca="1">_xlfn.CONCAT(B4668,A4707)</f>
        <v>C803A98-al</v>
      </c>
      <c r="C4707" s="37"/>
      <c r="E4707" s="38"/>
      <c r="F4707" s="22"/>
      <c r="G4707" s="39"/>
    </row>
    <row r="4708" spans="1:8" ht="16.5" thickBot="1">
      <c r="A4708" s="211" t="s">
        <v>522</v>
      </c>
      <c r="B4708" s="216" t="str">
        <f ca="1">_xlfn.CONCAT(B4668,A4708)</f>
        <v>C803A98-am</v>
      </c>
      <c r="C4708" s="40"/>
      <c r="D4708" s="193"/>
      <c r="E4708" s="41"/>
      <c r="F4708" s="42"/>
      <c r="G4708" s="43">
        <f>+G4691+G4700+G4706</f>
        <v>2796080.8586357618</v>
      </c>
    </row>
    <row r="4709" spans="1:8" ht="21.75" thickBot="1">
      <c r="B4709" s="212" t="s">
        <v>550</v>
      </c>
      <c r="C4709" s="2"/>
      <c r="D4709" s="183"/>
      <c r="F4709" s="4"/>
      <c r="G4709" s="5"/>
    </row>
    <row r="4710" spans="1:8" ht="18.75">
      <c r="A4710" s="213"/>
      <c r="B4710" s="214">
        <v>108</v>
      </c>
      <c r="C4710" s="242" t="str">
        <f ca="1">_xlfn.XLOOKUP(B4710,Cantidades!$A$10:$A$314,Cantidades!$C$10:$C$314,,0,1)</f>
        <v>Suministro e instalación de Acometida 3#350+4/0 Al</v>
      </c>
      <c r="D4710" s="243"/>
      <c r="E4710" s="243"/>
      <c r="F4710" s="243"/>
      <c r="G4710" s="244"/>
    </row>
    <row r="4711" spans="1:8" ht="19.5" thickBot="1">
      <c r="A4711" s="215"/>
      <c r="B4711" s="216" t="s">
        <v>550</v>
      </c>
      <c r="C4711" s="177"/>
      <c r="D4711" s="189"/>
      <c r="E4711" s="178"/>
      <c r="F4711" s="179" t="s">
        <v>636</v>
      </c>
      <c r="G4711" s="209" t="str">
        <f ca="1">B4712</f>
        <v>3266C1B1-</v>
      </c>
    </row>
    <row r="4712" spans="1:8" ht="15.75" thickBot="1">
      <c r="B4712" s="212" t="str">
        <f ca="1">_xlfn.XLOOKUP(C4710,Cantidades!$C$1:$C$314,Cantidades!$B$1:$B$314,"",0,1)</f>
        <v>3266C1B1-</v>
      </c>
      <c r="C4712" s="10" t="s">
        <v>0</v>
      </c>
      <c r="D4712" s="190"/>
      <c r="E4712" s="11"/>
      <c r="F4712" s="12"/>
      <c r="G4712" s="13"/>
    </row>
    <row r="4713" spans="1:8" ht="14.25" thickBot="1">
      <c r="A4713" s="215"/>
      <c r="B4713" s="216" t="s">
        <v>550</v>
      </c>
      <c r="C4713" s="14" t="s">
        <v>1</v>
      </c>
      <c r="D4713" s="15" t="s">
        <v>2</v>
      </c>
      <c r="E4713" s="15" t="s">
        <v>3</v>
      </c>
      <c r="F4713" s="16" t="s">
        <v>4</v>
      </c>
      <c r="G4713" s="15" t="s">
        <v>5</v>
      </c>
    </row>
    <row r="4714" spans="1:8">
      <c r="A4714" s="211" t="s">
        <v>484</v>
      </c>
      <c r="B4714" s="216" t="str">
        <f ca="1">_xlfn.CONCAT(B4712,A4714)</f>
        <v>3266C1B1-A</v>
      </c>
      <c r="C4714" s="17" t="str">
        <f>_xlfn.XLOOKUP(H4714,'Materiales unitario'!$A$1:$A$2500,'Materiales unitario'!B$1:B$2500,,0,1)</f>
        <v>Cable de Aluminio aislado #350 mcm - THHN/THWN</v>
      </c>
      <c r="D4714" s="184" t="str">
        <f>_xlfn.XLOOKUP(H4714,'Materiales unitario'!A$1:A$2500,'Materiales unitario'!C$1:C$2500,,0,1)</f>
        <v>ml</v>
      </c>
      <c r="E4714" s="197">
        <f>_xlfn.XLOOKUP(H4714,'Materiales unitario'!$A$1:$A$2500,'Materiales unitario'!D$1:D$2500,,0,1)</f>
        <v>25942</v>
      </c>
      <c r="F4714" s="19">
        <v>3.15</v>
      </c>
      <c r="G4714" s="20">
        <f>+E4714*F4714</f>
        <v>81717.3</v>
      </c>
      <c r="H4714" s="211" t="s">
        <v>259</v>
      </c>
    </row>
    <row r="4715" spans="1:8">
      <c r="A4715" s="211" t="s">
        <v>485</v>
      </c>
      <c r="B4715" s="216" t="str">
        <f ca="1">_xlfn.CONCAT(B4712,A4715)</f>
        <v>3266C1B1-B</v>
      </c>
      <c r="C4715" s="17" t="str">
        <f>_xlfn.XLOOKUP(H4715,'Materiales unitario'!$A$1:$A$2500,'Materiales unitario'!B$1:B$2500,,0,1)</f>
        <v>Cable de Aluminio aislado #4/0 AWG - THHN/THWN</v>
      </c>
      <c r="D4715" s="184" t="str">
        <f>_xlfn.XLOOKUP(H4715,'Materiales unitario'!A$1:A$2500,'Materiales unitario'!C$1:C$2500,,0,1)</f>
        <v>ml</v>
      </c>
      <c r="E4715" s="197">
        <f>_xlfn.XLOOKUP(H4715,'Materiales unitario'!$A$1:$A$2500,'Materiales unitario'!D$1:D$2500,,0,1)</f>
        <v>15589</v>
      </c>
      <c r="F4715" s="19">
        <v>1.05</v>
      </c>
      <c r="G4715" s="20">
        <f>+E4715*F4715</f>
        <v>16368.45</v>
      </c>
      <c r="H4715" s="211" t="s">
        <v>261</v>
      </c>
    </row>
    <row r="4716" spans="1:8">
      <c r="A4716" s="211" t="s">
        <v>486</v>
      </c>
      <c r="B4716" s="216" t="str">
        <f ca="1">_xlfn.CONCAT(B4712,A4716)</f>
        <v>3266C1B1-C</v>
      </c>
      <c r="C4716" s="17" t="str">
        <f>_xlfn.XLOOKUP(H4716,'Materiales unitario'!$A$1:$A$2500,'Materiales unitario'!B$1:B$2500,,0,1)</f>
        <v>Borna bimetálica de ojo tipo pala #4/0 AWG</v>
      </c>
      <c r="D4716" s="184" t="str">
        <f>_xlfn.XLOOKUP(H4716,'Materiales unitario'!A$1:A$2500,'Materiales unitario'!C$1:C$2500,,0,1)</f>
        <v>un</v>
      </c>
      <c r="E4716" s="197">
        <f>_xlfn.XLOOKUP(H4716,'Materiales unitario'!$A$1:$A$2500,'Materiales unitario'!D$1:D$2500,,0,1)</f>
        <v>13804</v>
      </c>
      <c r="F4716" s="19">
        <v>0.3</v>
      </c>
      <c r="G4716" s="20">
        <f>+E4716*F4716</f>
        <v>4141.2</v>
      </c>
      <c r="H4716" s="211" t="s">
        <v>246</v>
      </c>
    </row>
    <row r="4717" spans="1:8">
      <c r="A4717" s="211" t="s">
        <v>487</v>
      </c>
      <c r="B4717" s="216" t="str">
        <f ca="1">_xlfn.CONCAT(B4712,A4717)</f>
        <v>3266C1B1-D</v>
      </c>
      <c r="C4717" s="17" t="str">
        <f>_xlfn.XLOOKUP(H4717,'Materiales unitario'!$A$1:$A$2500,'Materiales unitario'!B$1:B$2500,,0,1)</f>
        <v>Borna bimetálica de ojo tipo pala #350 MCM</v>
      </c>
      <c r="D4717" s="184" t="str">
        <f>_xlfn.XLOOKUP(H4717,'Materiales unitario'!A$1:A$2500,'Materiales unitario'!C$1:C$2500,,0,1)</f>
        <v>un</v>
      </c>
      <c r="E4717" s="197">
        <f>_xlfn.XLOOKUP(H4717,'Materiales unitario'!$A$1:$A$2500,'Materiales unitario'!D$1:D$2500,,0,1)</f>
        <v>24871</v>
      </c>
      <c r="F4717" s="19">
        <v>0.1</v>
      </c>
      <c r="G4717" s="20">
        <f>+E4717*F4717</f>
        <v>2487.1000000000004</v>
      </c>
      <c r="H4717" s="211" t="s">
        <v>244</v>
      </c>
    </row>
    <row r="4718" spans="1:8">
      <c r="A4718" s="211" t="s">
        <v>488</v>
      </c>
      <c r="B4718" s="216" t="str">
        <f ca="1">_xlfn.CONCAT(B4712,A4718)</f>
        <v>3266C1B1-E</v>
      </c>
      <c r="C4718" s="17" t="str">
        <f>_xlfn.XLOOKUP(H4718,'Materiales unitario'!$A$1:$A$2500,'Materiales unitario'!B$1:B$2500,,0,1)</f>
        <v>Termoencogible</v>
      </c>
      <c r="D4718" s="184" t="str">
        <f>_xlfn.XLOOKUP(H4718,'Materiales unitario'!A$1:A$2500,'Materiales unitario'!C$1:C$2500,,0,1)</f>
        <v>un</v>
      </c>
      <c r="E4718" s="197">
        <f>_xlfn.XLOOKUP(H4718,'Materiales unitario'!$A$1:$A$2500,'Materiales unitario'!D$1:D$2500,,0,1)</f>
        <v>5000</v>
      </c>
      <c r="F4718" s="19">
        <v>0.1</v>
      </c>
      <c r="G4718" s="20">
        <f>+E4718*F4718</f>
        <v>500</v>
      </c>
      <c r="H4718" s="211" t="s">
        <v>373</v>
      </c>
    </row>
    <row r="4719" spans="1:8">
      <c r="A4719" s="211" t="s">
        <v>489</v>
      </c>
      <c r="B4719" s="216" t="str">
        <f ca="1">_xlfn.CONCAT(B4712,A4719)</f>
        <v>3266C1B1-F</v>
      </c>
      <c r="C4719" s="17"/>
      <c r="D4719" s="184"/>
      <c r="E4719" s="197"/>
      <c r="F4719" s="19"/>
      <c r="G4719" s="20"/>
    </row>
    <row r="4720" spans="1:8">
      <c r="A4720" s="211" t="s">
        <v>490</v>
      </c>
      <c r="B4720" s="216" t="str">
        <f ca="1">_xlfn.CONCAT(B4712,A4720)</f>
        <v>3266C1B1-G</v>
      </c>
      <c r="C4720" s="17"/>
      <c r="D4720" s="184"/>
      <c r="E4720" s="197"/>
      <c r="F4720" s="19"/>
      <c r="G4720" s="20"/>
    </row>
    <row r="4721" spans="1:7">
      <c r="A4721" s="211" t="s">
        <v>491</v>
      </c>
      <c r="B4721" s="216" t="str">
        <f ca="1">_xlfn.CONCAT(B4712,A4721)</f>
        <v>3266C1B1-H</v>
      </c>
      <c r="C4721" s="17"/>
      <c r="D4721" s="184"/>
      <c r="E4721" s="197"/>
      <c r="F4721" s="19"/>
      <c r="G4721" s="20"/>
    </row>
    <row r="4722" spans="1:7">
      <c r="A4722" s="211" t="s">
        <v>492</v>
      </c>
      <c r="B4722" s="216" t="str">
        <f ca="1">_xlfn.CONCAT(B4712,A4722)</f>
        <v>3266C1B1-I</v>
      </c>
      <c r="C4722" s="17"/>
      <c r="D4722" s="184"/>
      <c r="E4722" s="197"/>
      <c r="F4722" s="19"/>
      <c r="G4722" s="20"/>
    </row>
    <row r="4723" spans="1:7">
      <c r="A4723" s="211" t="s">
        <v>493</v>
      </c>
      <c r="B4723" s="216" t="str">
        <f ca="1">_xlfn.CONCAT(B4712,A4723)</f>
        <v>3266C1B1-J</v>
      </c>
      <c r="C4723" s="17"/>
      <c r="D4723" s="184"/>
      <c r="E4723" s="197"/>
      <c r="F4723" s="19"/>
      <c r="G4723" s="20"/>
    </row>
    <row r="4724" spans="1:7">
      <c r="A4724" s="211" t="s">
        <v>494</v>
      </c>
      <c r="B4724" s="216" t="str">
        <f ca="1">_xlfn.CONCAT(B4712,A4724)</f>
        <v>3266C1B1-K</v>
      </c>
      <c r="C4724" s="17"/>
      <c r="D4724" s="184"/>
      <c r="E4724" s="197"/>
      <c r="F4724" s="19"/>
      <c r="G4724" s="20"/>
    </row>
    <row r="4725" spans="1:7">
      <c r="A4725" s="211" t="s">
        <v>495</v>
      </c>
      <c r="B4725" s="216" t="str">
        <f ca="1">_xlfn.CONCAT(B4712,A4725)</f>
        <v>3266C1B1-L</v>
      </c>
      <c r="C4725" s="17"/>
      <c r="D4725" s="184"/>
      <c r="E4725" s="197"/>
      <c r="F4725" s="19"/>
      <c r="G4725" s="20"/>
    </row>
    <row r="4726" spans="1:7">
      <c r="A4726" s="211" t="s">
        <v>496</v>
      </c>
      <c r="B4726" s="216" t="str">
        <f ca="1">_xlfn.CONCAT(B4712,A4726)</f>
        <v>3266C1B1-M</v>
      </c>
      <c r="C4726" s="17"/>
      <c r="D4726" s="184"/>
      <c r="E4726" s="197"/>
      <c r="F4726" s="19"/>
      <c r="G4726" s="20"/>
    </row>
    <row r="4727" spans="1:7">
      <c r="A4727" s="211" t="s">
        <v>497</v>
      </c>
      <c r="B4727" s="216" t="str">
        <f ca="1">_xlfn.CONCAT(B4712,A4727)</f>
        <v>3266C1B1-N</v>
      </c>
      <c r="C4727" s="17"/>
      <c r="D4727" s="184"/>
      <c r="E4727" s="197"/>
      <c r="F4727" s="19"/>
      <c r="G4727" s="20"/>
    </row>
    <row r="4728" spans="1:7">
      <c r="A4728" s="211" t="s">
        <v>498</v>
      </c>
      <c r="B4728" s="216" t="str">
        <f ca="1">_xlfn.CONCAT(B4712,A4728)</f>
        <v>3266C1B1-O</v>
      </c>
      <c r="C4728" s="17"/>
      <c r="D4728" s="184"/>
      <c r="E4728" s="197"/>
      <c r="F4728" s="19"/>
      <c r="G4728" s="20"/>
    </row>
    <row r="4729" spans="1:7">
      <c r="A4729" s="211" t="s">
        <v>499</v>
      </c>
      <c r="B4729" s="216" t="str">
        <f ca="1">_xlfn.CONCAT(B4712,A4729)</f>
        <v>3266C1B1-P</v>
      </c>
      <c r="C4729" s="17"/>
      <c r="D4729" s="184"/>
      <c r="E4729" s="197"/>
      <c r="F4729" s="19"/>
      <c r="G4729" s="20"/>
    </row>
    <row r="4730" spans="1:7">
      <c r="A4730" s="211" t="s">
        <v>500</v>
      </c>
      <c r="B4730" s="216" t="str">
        <f ca="1">_xlfn.CONCAT(B4712,A4730)</f>
        <v>3266C1B1-Q</v>
      </c>
      <c r="C4730" s="17"/>
      <c r="D4730" s="184"/>
      <c r="E4730" s="197"/>
      <c r="F4730" s="19"/>
      <c r="G4730" s="20"/>
    </row>
    <row r="4731" spans="1:7">
      <c r="A4731" s="211" t="s">
        <v>501</v>
      </c>
      <c r="B4731" s="216" t="str">
        <f ca="1">_xlfn.CONCAT(B4712,A4731)</f>
        <v>3266C1B1-R</v>
      </c>
      <c r="C4731" s="17"/>
      <c r="D4731" s="184"/>
      <c r="E4731" s="197"/>
      <c r="F4731" s="19"/>
      <c r="G4731" s="20"/>
    </row>
    <row r="4732" spans="1:7">
      <c r="A4732" s="211" t="s">
        <v>502</v>
      </c>
      <c r="B4732" s="216" t="str">
        <f ca="1">_xlfn.CONCAT(B4712,A4732)</f>
        <v>3266C1B1-S</v>
      </c>
      <c r="C4732" s="17"/>
      <c r="D4732" s="184"/>
      <c r="E4732" s="197"/>
      <c r="F4732" s="19"/>
      <c r="G4732" s="20"/>
    </row>
    <row r="4733" spans="1:7">
      <c r="A4733" s="211" t="s">
        <v>503</v>
      </c>
      <c r="B4733" s="216" t="str">
        <f ca="1">_xlfn.CONCAT(B4712,A4733)</f>
        <v>3266C1B1-T</v>
      </c>
      <c r="C4733" s="17"/>
      <c r="D4733" s="184"/>
      <c r="E4733" s="197"/>
      <c r="F4733" s="19"/>
      <c r="G4733" s="20"/>
    </row>
    <row r="4734" spans="1:7" ht="14.25" thickBot="1">
      <c r="A4734" s="211" t="s">
        <v>504</v>
      </c>
      <c r="B4734" s="216" t="str">
        <f ca="1">_xlfn.CONCAT(B4712,A4734)</f>
        <v>3266C1B1-U</v>
      </c>
      <c r="C4734" s="17"/>
      <c r="D4734" s="184"/>
      <c r="E4734" s="197"/>
      <c r="F4734" s="19"/>
      <c r="G4734" s="20"/>
    </row>
    <row r="4735" spans="1:7" ht="14.25" thickBot="1">
      <c r="A4735" s="211" t="s">
        <v>505</v>
      </c>
      <c r="B4735" s="216" t="str">
        <f ca="1">_xlfn.CONCAT(B4712,A4735)</f>
        <v>3266C1B1-V</v>
      </c>
      <c r="C4735" s="17" t="s">
        <v>17</v>
      </c>
      <c r="D4735" s="192" t="s">
        <v>17</v>
      </c>
      <c r="E4735" s="18"/>
      <c r="F4735" s="22" t="s">
        <v>18</v>
      </c>
      <c r="G4735" s="23">
        <f>SUM(G4714:G4734)</f>
        <v>105214.05</v>
      </c>
    </row>
    <row r="4736" spans="1:7" ht="15.75" thickBot="1">
      <c r="A4736" s="211" t="s">
        <v>506</v>
      </c>
      <c r="B4736" s="216" t="str">
        <f ca="1">_xlfn.CONCAT(B4712,A4736)</f>
        <v>3266C1B1-W</v>
      </c>
      <c r="C4736" s="10" t="s">
        <v>19</v>
      </c>
      <c r="D4736" s="190"/>
      <c r="E4736" s="11"/>
      <c r="F4736" s="12"/>
      <c r="G4736" s="13"/>
    </row>
    <row r="4737" spans="1:7" ht="14.25" thickBot="1">
      <c r="A4737" s="211" t="s">
        <v>507</v>
      </c>
      <c r="B4737" s="216" t="str">
        <f ca="1">_xlfn.CONCAT(B4712,A4737)</f>
        <v>3266C1B1-X</v>
      </c>
      <c r="C4737" s="14" t="s">
        <v>1</v>
      </c>
      <c r="D4737" s="15"/>
      <c r="E4737" s="15" t="s">
        <v>20</v>
      </c>
      <c r="F4737" s="16" t="s">
        <v>21</v>
      </c>
      <c r="G4737" s="15" t="s">
        <v>5</v>
      </c>
    </row>
    <row r="4738" spans="1:7">
      <c r="A4738" s="211" t="s">
        <v>508</v>
      </c>
      <c r="B4738" s="216" t="str">
        <f ca="1">_xlfn.CONCAT(B4712,A4738)</f>
        <v>3266C1B1-Y</v>
      </c>
      <c r="C4738" s="24" t="s">
        <v>22</v>
      </c>
      <c r="D4738" s="184"/>
      <c r="E4738" s="25">
        <f>_xlfn.XLOOKUP(C4738,'H-MO'!B$7:B$30,'H-MO'!D$7:D$30,,0,1)</f>
        <v>2436.5624999999995</v>
      </c>
      <c r="F4738" s="19">
        <v>0.5</v>
      </c>
      <c r="G4738" s="33">
        <f t="shared" ref="G4738:G4743" si="138">+E4738*F4738</f>
        <v>1218.2812499999998</v>
      </c>
    </row>
    <row r="4739" spans="1:7">
      <c r="A4739" s="211" t="s">
        <v>509</v>
      </c>
      <c r="B4739" s="216" t="str">
        <f ca="1">_xlfn.CONCAT(B4712,A4739)</f>
        <v>3266C1B1-Z</v>
      </c>
      <c r="C4739" s="24" t="s">
        <v>23</v>
      </c>
      <c r="D4739" s="184"/>
      <c r="E4739" s="25">
        <f>_xlfn.XLOOKUP(C4739,'H-MO'!B$7:B$30,'H-MO'!D$7:D$30,,0,1)</f>
        <v>1461.9374999999998</v>
      </c>
      <c r="F4739" s="19">
        <v>0.04</v>
      </c>
      <c r="G4739" s="33">
        <f t="shared" si="138"/>
        <v>58.477499999999992</v>
      </c>
    </row>
    <row r="4740" spans="1:7">
      <c r="A4740" s="211" t="s">
        <v>510</v>
      </c>
      <c r="B4740" s="216" t="str">
        <f ca="1">_xlfn.CONCAT(B4712,A4740)</f>
        <v>3266C1B1-aa</v>
      </c>
      <c r="C4740" s="24" t="s">
        <v>24</v>
      </c>
      <c r="D4740" s="185"/>
      <c r="E4740" s="25">
        <f>_xlfn.XLOOKUP(C4740,'H-MO'!B$7:B$30,'H-MO'!D$7:D$30,,0,1)</f>
        <v>29238.749999999996</v>
      </c>
      <c r="F4740" s="28">
        <v>0.1</v>
      </c>
      <c r="G4740" s="33">
        <f t="shared" si="138"/>
        <v>2923.875</v>
      </c>
    </row>
    <row r="4741" spans="1:7">
      <c r="A4741" s="211" t="s">
        <v>511</v>
      </c>
      <c r="B4741" s="216" t="str">
        <f ca="1">_xlfn.CONCAT(B4712,A4741)</f>
        <v>3266C1B1-ab</v>
      </c>
      <c r="C4741" s="24" t="s">
        <v>25</v>
      </c>
      <c r="D4741" s="185"/>
      <c r="E4741" s="25">
        <f>_xlfn.XLOOKUP(C4741,'H-MO'!B$7:B$30,'H-MO'!D$7:D$30,,0,1)</f>
        <v>2761.4374999999995</v>
      </c>
      <c r="F4741" s="28">
        <v>0.5</v>
      </c>
      <c r="G4741" s="33">
        <f t="shared" si="138"/>
        <v>1380.7187499999998</v>
      </c>
    </row>
    <row r="4742" spans="1:7">
      <c r="A4742" s="211" t="s">
        <v>512</v>
      </c>
      <c r="B4742" s="216" t="str">
        <f ca="1">_xlfn.CONCAT(B4712,A4742)</f>
        <v>3266C1B1-ac</v>
      </c>
      <c r="C4742" s="24"/>
      <c r="D4742" s="185"/>
      <c r="E4742" s="29"/>
      <c r="F4742" s="28">
        <v>0</v>
      </c>
      <c r="G4742" s="33">
        <f t="shared" si="138"/>
        <v>0</v>
      </c>
    </row>
    <row r="4743" spans="1:7" ht="14.25" thickBot="1">
      <c r="A4743" s="211" t="s">
        <v>513</v>
      </c>
      <c r="B4743" s="216" t="str">
        <f ca="1">_xlfn.CONCAT(B4712,A4743)</f>
        <v>3266C1B1-ad</v>
      </c>
      <c r="C4743" s="24"/>
      <c r="D4743" s="185"/>
      <c r="E4743" s="29"/>
      <c r="F4743" s="28">
        <v>0</v>
      </c>
      <c r="G4743" s="33">
        <f t="shared" si="138"/>
        <v>0</v>
      </c>
    </row>
    <row r="4744" spans="1:7" ht="14.25" thickBot="1">
      <c r="A4744" s="211" t="s">
        <v>514</v>
      </c>
      <c r="B4744" s="216" t="str">
        <f ca="1">_xlfn.CONCAT(B4712,A4744)</f>
        <v>3266C1B1-ae</v>
      </c>
      <c r="C4744" s="17"/>
      <c r="D4744" s="192"/>
      <c r="E4744" s="18"/>
      <c r="F4744" s="22" t="s">
        <v>26</v>
      </c>
      <c r="G4744" s="23">
        <f>SUM(G4738:G4743)</f>
        <v>5581.3525</v>
      </c>
    </row>
    <row r="4745" spans="1:7" ht="15.75" thickBot="1">
      <c r="A4745" s="211" t="s">
        <v>515</v>
      </c>
      <c r="B4745" s="216" t="str">
        <f ca="1">_xlfn.CONCAT(B4712,A4745)</f>
        <v>3266C1B1-af</v>
      </c>
      <c r="C4745" s="10" t="s">
        <v>27</v>
      </c>
      <c r="D4745" s="190"/>
      <c r="E4745" s="11"/>
      <c r="F4745" s="12"/>
      <c r="G4745" s="13"/>
    </row>
    <row r="4746" spans="1:7" ht="14.25" thickBot="1">
      <c r="A4746" s="211" t="s">
        <v>516</v>
      </c>
      <c r="B4746" s="216" t="str">
        <f ca="1">_xlfn.CONCAT(B4712,A4746)</f>
        <v>3266C1B1-ag</v>
      </c>
      <c r="C4746" s="14" t="s">
        <v>1</v>
      </c>
      <c r="D4746" s="15" t="s">
        <v>28</v>
      </c>
      <c r="E4746" s="15" t="s">
        <v>20</v>
      </c>
      <c r="F4746" s="16" t="s">
        <v>21</v>
      </c>
      <c r="G4746" s="15" t="s">
        <v>5</v>
      </c>
    </row>
    <row r="4747" spans="1:7">
      <c r="A4747" s="211" t="s">
        <v>517</v>
      </c>
      <c r="B4747" s="216" t="str">
        <f ca="1">_xlfn.CONCAT(B4712,A4747)</f>
        <v>3266C1B1-ah</v>
      </c>
      <c r="C4747" s="30" t="s">
        <v>29</v>
      </c>
      <c r="D4747" s="186">
        <f>'H-MO'!$N$77</f>
        <v>725918.52892505517</v>
      </c>
      <c r="E4747" s="31">
        <f>+D4747/8</f>
        <v>90739.816115631897</v>
      </c>
      <c r="F4747" s="32">
        <v>1.2278286714571509</v>
      </c>
      <c r="G4747" s="33">
        <f>+E4747*F4747</f>
        <v>111412.94786952248</v>
      </c>
    </row>
    <row r="4748" spans="1:7">
      <c r="A4748" s="211" t="s">
        <v>518</v>
      </c>
      <c r="B4748" s="216" t="str">
        <f ca="1">_xlfn.CONCAT(B4712,A4748)</f>
        <v>3266C1B1-ai</v>
      </c>
      <c r="C4748" s="34" t="s">
        <v>30</v>
      </c>
      <c r="D4748" s="187">
        <f>'H-MO'!$N$86</f>
        <v>685561.39085756091</v>
      </c>
      <c r="E4748" s="29">
        <f>+D4748/8</f>
        <v>85695.173857195114</v>
      </c>
      <c r="F4748" s="28">
        <v>0</v>
      </c>
      <c r="G4748" s="33">
        <f>+E4748*F4748</f>
        <v>0</v>
      </c>
    </row>
    <row r="4749" spans="1:7" ht="14.25" thickBot="1">
      <c r="A4749" s="211" t="s">
        <v>519</v>
      </c>
      <c r="B4749" s="216" t="str">
        <f ca="1">_xlfn.CONCAT(B4712,A4749)</f>
        <v>3266C1B1-aj</v>
      </c>
      <c r="C4749" s="34"/>
      <c r="D4749" s="187"/>
      <c r="E4749" s="29"/>
      <c r="F4749" s="28"/>
      <c r="G4749" s="33">
        <f>+E4749*F4749</f>
        <v>0</v>
      </c>
    </row>
    <row r="4750" spans="1:7" ht="14.25" thickBot="1">
      <c r="A4750" s="211" t="s">
        <v>520</v>
      </c>
      <c r="B4750" s="216" t="str">
        <f ca="1">_xlfn.CONCAT(B4712,A4750)</f>
        <v>3266C1B1-ak</v>
      </c>
      <c r="C4750" s="34"/>
      <c r="D4750" s="185"/>
      <c r="E4750" s="26"/>
      <c r="F4750" s="36" t="s">
        <v>31</v>
      </c>
      <c r="G4750" s="23">
        <f>SUM(G4747:G4749)</f>
        <v>111412.94786952248</v>
      </c>
    </row>
    <row r="4751" spans="1:7" ht="14.25" thickBot="1">
      <c r="A4751" s="211" t="s">
        <v>521</v>
      </c>
      <c r="B4751" s="216" t="str">
        <f ca="1">_xlfn.CONCAT(B4712,A4751)</f>
        <v>3266C1B1-al</v>
      </c>
      <c r="C4751" s="37"/>
      <c r="E4751" s="38"/>
      <c r="F4751" s="22"/>
      <c r="G4751" s="39"/>
    </row>
    <row r="4752" spans="1:7" ht="16.5" thickBot="1">
      <c r="A4752" s="211" t="s">
        <v>522</v>
      </c>
      <c r="B4752" s="216" t="str">
        <f ca="1">_xlfn.CONCAT(B4712,A4752)</f>
        <v>3266C1B1-am</v>
      </c>
      <c r="C4752" s="40"/>
      <c r="D4752" s="193"/>
      <c r="E4752" s="41"/>
      <c r="F4752" s="42"/>
      <c r="G4752" s="43">
        <f>+G4735+G4744+G4750</f>
        <v>222208.35036952246</v>
      </c>
    </row>
    <row r="4753" spans="1:8" ht="21.75" thickBot="1">
      <c r="B4753" s="212" t="s">
        <v>550</v>
      </c>
      <c r="C4753" s="2"/>
      <c r="D4753" s="183"/>
      <c r="F4753" s="4"/>
      <c r="G4753" s="5"/>
    </row>
    <row r="4754" spans="1:8" ht="18.75">
      <c r="A4754" s="213"/>
      <c r="B4754" s="214">
        <v>109</v>
      </c>
      <c r="C4754" s="242" t="str">
        <f ca="1">_xlfn.XLOOKUP(B4754,Cantidades!$A$10:$A$314,Cantidades!$C$10:$C$314,,0,1)</f>
        <v>Suministro e instalación de Acometida Acometida 3#350+4/0+1/0T  Al</v>
      </c>
      <c r="D4754" s="243"/>
      <c r="E4754" s="243"/>
      <c r="F4754" s="243"/>
      <c r="G4754" s="244"/>
    </row>
    <row r="4755" spans="1:8" ht="19.5" thickBot="1">
      <c r="A4755" s="215"/>
      <c r="B4755" s="216" t="s">
        <v>550</v>
      </c>
      <c r="C4755" s="177"/>
      <c r="D4755" s="189"/>
      <c r="E4755" s="178"/>
      <c r="F4755" s="179" t="s">
        <v>636</v>
      </c>
      <c r="G4755" s="209" t="str">
        <f ca="1">B4756</f>
        <v>319F0CE-</v>
      </c>
    </row>
    <row r="4756" spans="1:8" ht="15.75" thickBot="1">
      <c r="B4756" s="212" t="str">
        <f ca="1">_xlfn.XLOOKUP(C4754,Cantidades!$C$1:$C$314,Cantidades!$B$1:$B$314,"",0,1)</f>
        <v>319F0CE-</v>
      </c>
      <c r="C4756" s="10" t="s">
        <v>0</v>
      </c>
      <c r="D4756" s="190"/>
      <c r="E4756" s="11"/>
      <c r="F4756" s="12"/>
      <c r="G4756" s="13"/>
    </row>
    <row r="4757" spans="1:8" ht="14.25" thickBot="1">
      <c r="A4757" s="215"/>
      <c r="B4757" s="216" t="s">
        <v>550</v>
      </c>
      <c r="C4757" s="14" t="s">
        <v>1</v>
      </c>
      <c r="D4757" s="15" t="s">
        <v>2</v>
      </c>
      <c r="E4757" s="15" t="s">
        <v>3</v>
      </c>
      <c r="F4757" s="16" t="s">
        <v>4</v>
      </c>
      <c r="G4757" s="15" t="s">
        <v>5</v>
      </c>
    </row>
    <row r="4758" spans="1:8">
      <c r="A4758" s="211" t="s">
        <v>484</v>
      </c>
      <c r="B4758" s="216" t="str">
        <f ca="1">_xlfn.CONCAT(B4756,A4758)</f>
        <v>319F0CE-A</v>
      </c>
      <c r="C4758" s="17" t="str">
        <f>_xlfn.XLOOKUP(H4758,'Materiales unitario'!$A$1:$A$2500,'Materiales unitario'!B$1:B$2500,,0,1)</f>
        <v>Cable de Aluminio aislado #350 mcm - THHN/THWN</v>
      </c>
      <c r="D4758" s="184" t="str">
        <f>_xlfn.XLOOKUP(H4758,'Materiales unitario'!A$1:A$2500,'Materiales unitario'!C$1:C$2500,,0,1)</f>
        <v>ml</v>
      </c>
      <c r="E4758" s="197">
        <f>_xlfn.XLOOKUP(H4758,'Materiales unitario'!$A$1:$A$2500,'Materiales unitario'!D$1:D$2500,,0,1)</f>
        <v>25942</v>
      </c>
      <c r="F4758" s="19">
        <v>3.15</v>
      </c>
      <c r="G4758" s="20">
        <f t="shared" ref="G4758:G4764" si="139">+E4758*F4758</f>
        <v>81717.3</v>
      </c>
      <c r="H4758" s="211" t="s">
        <v>259</v>
      </c>
    </row>
    <row r="4759" spans="1:8">
      <c r="A4759" s="211" t="s">
        <v>485</v>
      </c>
      <c r="B4759" s="216" t="str">
        <f ca="1">_xlfn.CONCAT(B4756,A4759)</f>
        <v>319F0CE-B</v>
      </c>
      <c r="C4759" s="17" t="str">
        <f>_xlfn.XLOOKUP(H4759,'Materiales unitario'!$A$1:$A$2500,'Materiales unitario'!B$1:B$2500,,0,1)</f>
        <v>Cable de Aluminio aislado #4/0 AWG - THHN/THWN</v>
      </c>
      <c r="D4759" s="184" t="str">
        <f>_xlfn.XLOOKUP(H4759,'Materiales unitario'!A$1:A$2500,'Materiales unitario'!C$1:C$2500,,0,1)</f>
        <v>ml</v>
      </c>
      <c r="E4759" s="197">
        <f>_xlfn.XLOOKUP(H4759,'Materiales unitario'!$A$1:$A$2500,'Materiales unitario'!D$1:D$2500,,0,1)</f>
        <v>15589</v>
      </c>
      <c r="F4759" s="19">
        <v>1.05</v>
      </c>
      <c r="G4759" s="20">
        <f t="shared" si="139"/>
        <v>16368.45</v>
      </c>
      <c r="H4759" s="211" t="s">
        <v>261</v>
      </c>
    </row>
    <row r="4760" spans="1:8">
      <c r="A4760" s="211" t="s">
        <v>486</v>
      </c>
      <c r="B4760" s="216" t="str">
        <f ca="1">_xlfn.CONCAT(B4756,A4760)</f>
        <v>319F0CE-C</v>
      </c>
      <c r="C4760" s="17" t="str">
        <f>_xlfn.XLOOKUP(H4760,'Materiales unitario'!$A$1:$A$2500,'Materiales unitario'!B$1:B$2500,,0,1)</f>
        <v>Cable de Aluminio aislado #1/0 AWG - THHN/THWN</v>
      </c>
      <c r="D4760" s="184" t="str">
        <f>_xlfn.XLOOKUP(H4760,'Materiales unitario'!A$1:A$2500,'Materiales unitario'!C$1:C$2500,,0,1)</f>
        <v>ml</v>
      </c>
      <c r="E4760" s="197">
        <f>_xlfn.XLOOKUP(H4760,'Materiales unitario'!$A$1:$A$2500,'Materiales unitario'!D$1:D$2500,,0,1)</f>
        <v>9758</v>
      </c>
      <c r="F4760" s="19">
        <v>1.05</v>
      </c>
      <c r="G4760" s="20">
        <f t="shared" si="139"/>
        <v>10245.9</v>
      </c>
      <c r="H4760" s="211" t="s">
        <v>257</v>
      </c>
    </row>
    <row r="4761" spans="1:8">
      <c r="A4761" s="211" t="s">
        <v>487</v>
      </c>
      <c r="B4761" s="216" t="str">
        <f ca="1">_xlfn.CONCAT(B4756,A4761)</f>
        <v>319F0CE-D</v>
      </c>
      <c r="C4761" s="17" t="str">
        <f>_xlfn.XLOOKUP(H4761,'Materiales unitario'!$A$1:$A$2500,'Materiales unitario'!B$1:B$2500,,0,1)</f>
        <v>Borna bimetálica de ojo tipo pala #1/0 AWG</v>
      </c>
      <c r="D4761" s="184" t="str">
        <f>_xlfn.XLOOKUP(H4761,'Materiales unitario'!A$1:A$2500,'Materiales unitario'!C$1:C$2500,,0,1)</f>
        <v>un</v>
      </c>
      <c r="E4761" s="197">
        <f>_xlfn.XLOOKUP(H4761,'Materiales unitario'!$A$1:$A$2500,'Materiales unitario'!D$1:D$2500,,0,1)</f>
        <v>8925</v>
      </c>
      <c r="F4761" s="19">
        <v>0.1</v>
      </c>
      <c r="G4761" s="20">
        <f t="shared" si="139"/>
        <v>892.5</v>
      </c>
      <c r="H4761" s="211" t="s">
        <v>242</v>
      </c>
    </row>
    <row r="4762" spans="1:8">
      <c r="A4762" s="211" t="s">
        <v>488</v>
      </c>
      <c r="B4762" s="216" t="str">
        <f ca="1">_xlfn.CONCAT(B4756,A4762)</f>
        <v>319F0CE-E</v>
      </c>
      <c r="C4762" s="17" t="str">
        <f>_xlfn.XLOOKUP(H4762,'Materiales unitario'!$A$1:$A$2500,'Materiales unitario'!B$1:B$2500,,0,1)</f>
        <v>Borna bimetálica de ojo tipo pala #4/0 AWG</v>
      </c>
      <c r="D4762" s="184" t="str">
        <f>_xlfn.XLOOKUP(H4762,'Materiales unitario'!A$1:A$2500,'Materiales unitario'!C$1:C$2500,,0,1)</f>
        <v>un</v>
      </c>
      <c r="E4762" s="197">
        <f>_xlfn.XLOOKUP(H4762,'Materiales unitario'!$A$1:$A$2500,'Materiales unitario'!D$1:D$2500,,0,1)</f>
        <v>13804</v>
      </c>
      <c r="F4762" s="19">
        <v>0.3</v>
      </c>
      <c r="G4762" s="20">
        <f t="shared" si="139"/>
        <v>4141.2</v>
      </c>
      <c r="H4762" s="211" t="s">
        <v>246</v>
      </c>
    </row>
    <row r="4763" spans="1:8">
      <c r="A4763" s="211" t="s">
        <v>489</v>
      </c>
      <c r="B4763" s="216" t="str">
        <f ca="1">_xlfn.CONCAT(B4756,A4763)</f>
        <v>319F0CE-F</v>
      </c>
      <c r="C4763" s="17" t="str">
        <f>_xlfn.XLOOKUP(H4763,'Materiales unitario'!$A$1:$A$2500,'Materiales unitario'!B$1:B$2500,,0,1)</f>
        <v>Borna bimetálica de ojo tipo pala #350 MCM</v>
      </c>
      <c r="D4763" s="184" t="str">
        <f>_xlfn.XLOOKUP(H4763,'Materiales unitario'!A$1:A$2500,'Materiales unitario'!C$1:C$2500,,0,1)</f>
        <v>un</v>
      </c>
      <c r="E4763" s="197">
        <f>_xlfn.XLOOKUP(H4763,'Materiales unitario'!$A$1:$A$2500,'Materiales unitario'!D$1:D$2500,,0,1)</f>
        <v>24871</v>
      </c>
      <c r="F4763" s="19">
        <v>0.1</v>
      </c>
      <c r="G4763" s="20">
        <f t="shared" si="139"/>
        <v>2487.1000000000004</v>
      </c>
      <c r="H4763" s="211" t="s">
        <v>244</v>
      </c>
    </row>
    <row r="4764" spans="1:8">
      <c r="A4764" s="211" t="s">
        <v>490</v>
      </c>
      <c r="B4764" s="216" t="str">
        <f ca="1">_xlfn.CONCAT(B4756,A4764)</f>
        <v>319F0CE-G</v>
      </c>
      <c r="C4764" s="17" t="str">
        <f>_xlfn.XLOOKUP(H4764,'Materiales unitario'!$A$1:$A$2500,'Materiales unitario'!B$1:B$2500,,0,1)</f>
        <v>Termoencogible</v>
      </c>
      <c r="D4764" s="184" t="str">
        <f>_xlfn.XLOOKUP(H4764,'Materiales unitario'!A$1:A$2500,'Materiales unitario'!C$1:C$2500,,0,1)</f>
        <v>un</v>
      </c>
      <c r="E4764" s="197">
        <f>_xlfn.XLOOKUP(H4764,'Materiales unitario'!$A$1:$A$2500,'Materiales unitario'!D$1:D$2500,,0,1)</f>
        <v>5000</v>
      </c>
      <c r="F4764" s="19">
        <v>0.1</v>
      </c>
      <c r="G4764" s="20">
        <f t="shared" si="139"/>
        <v>500</v>
      </c>
      <c r="H4764" s="211" t="s">
        <v>373</v>
      </c>
    </row>
    <row r="4765" spans="1:8">
      <c r="A4765" s="211" t="s">
        <v>491</v>
      </c>
      <c r="B4765" s="216" t="str">
        <f ca="1">_xlfn.CONCAT(B4756,A4765)</f>
        <v>319F0CE-H</v>
      </c>
      <c r="C4765" s="17"/>
      <c r="D4765" s="184"/>
      <c r="E4765" s="197"/>
      <c r="F4765" s="19">
        <v>0</v>
      </c>
      <c r="G4765" s="20"/>
    </row>
    <row r="4766" spans="1:8">
      <c r="A4766" s="211" t="s">
        <v>492</v>
      </c>
      <c r="B4766" s="216" t="str">
        <f ca="1">_xlfn.CONCAT(B4756,A4766)</f>
        <v>319F0CE-I</v>
      </c>
      <c r="C4766" s="17"/>
      <c r="D4766" s="184"/>
      <c r="E4766" s="197"/>
      <c r="F4766" s="19">
        <v>0</v>
      </c>
      <c r="G4766" s="20"/>
    </row>
    <row r="4767" spans="1:8">
      <c r="A4767" s="211" t="s">
        <v>493</v>
      </c>
      <c r="B4767" s="216" t="str">
        <f ca="1">_xlfn.CONCAT(B4756,A4767)</f>
        <v>319F0CE-J</v>
      </c>
      <c r="C4767" s="17"/>
      <c r="D4767" s="184"/>
      <c r="E4767" s="197"/>
      <c r="F4767" s="19">
        <v>0</v>
      </c>
      <c r="G4767" s="20"/>
    </row>
    <row r="4768" spans="1:8">
      <c r="A4768" s="211" t="s">
        <v>494</v>
      </c>
      <c r="B4768" s="216" t="str">
        <f ca="1">_xlfn.CONCAT(B4756,A4768)</f>
        <v>319F0CE-K</v>
      </c>
      <c r="C4768" s="17"/>
      <c r="D4768" s="184"/>
      <c r="E4768" s="197"/>
      <c r="F4768" s="19">
        <v>0</v>
      </c>
      <c r="G4768" s="20"/>
    </row>
    <row r="4769" spans="1:7">
      <c r="A4769" s="211" t="s">
        <v>495</v>
      </c>
      <c r="B4769" s="216" t="str">
        <f ca="1">_xlfn.CONCAT(B4756,A4769)</f>
        <v>319F0CE-L</v>
      </c>
      <c r="C4769" s="17"/>
      <c r="D4769" s="184"/>
      <c r="E4769" s="197"/>
      <c r="F4769" s="19">
        <v>0</v>
      </c>
      <c r="G4769" s="20"/>
    </row>
    <row r="4770" spans="1:7">
      <c r="A4770" s="211" t="s">
        <v>496</v>
      </c>
      <c r="B4770" s="216" t="str">
        <f ca="1">_xlfn.CONCAT(B4756,A4770)</f>
        <v>319F0CE-M</v>
      </c>
      <c r="C4770" s="17"/>
      <c r="D4770" s="184"/>
      <c r="E4770" s="197"/>
      <c r="F4770" s="19">
        <v>0</v>
      </c>
      <c r="G4770" s="20"/>
    </row>
    <row r="4771" spans="1:7">
      <c r="A4771" s="211" t="s">
        <v>497</v>
      </c>
      <c r="B4771" s="216" t="str">
        <f ca="1">_xlfn.CONCAT(B4756,A4771)</f>
        <v>319F0CE-N</v>
      </c>
      <c r="C4771" s="17"/>
      <c r="D4771" s="184"/>
      <c r="E4771" s="197"/>
      <c r="F4771" s="19">
        <v>0</v>
      </c>
      <c r="G4771" s="20"/>
    </row>
    <row r="4772" spans="1:7">
      <c r="A4772" s="211" t="s">
        <v>498</v>
      </c>
      <c r="B4772" s="216" t="str">
        <f ca="1">_xlfn.CONCAT(B4756,A4772)</f>
        <v>319F0CE-O</v>
      </c>
      <c r="C4772" s="17"/>
      <c r="D4772" s="184"/>
      <c r="E4772" s="197"/>
      <c r="F4772" s="19">
        <v>0</v>
      </c>
      <c r="G4772" s="20"/>
    </row>
    <row r="4773" spans="1:7">
      <c r="A4773" s="211" t="s">
        <v>499</v>
      </c>
      <c r="B4773" s="216" t="str">
        <f ca="1">_xlfn.CONCAT(B4756,A4773)</f>
        <v>319F0CE-P</v>
      </c>
      <c r="C4773" s="17"/>
      <c r="D4773" s="184"/>
      <c r="E4773" s="197"/>
      <c r="F4773" s="19">
        <v>0</v>
      </c>
      <c r="G4773" s="20"/>
    </row>
    <row r="4774" spans="1:7">
      <c r="A4774" s="211" t="s">
        <v>500</v>
      </c>
      <c r="B4774" s="216" t="str">
        <f ca="1">_xlfn.CONCAT(B4756,A4774)</f>
        <v>319F0CE-Q</v>
      </c>
      <c r="C4774" s="17"/>
      <c r="D4774" s="184"/>
      <c r="E4774" s="197"/>
      <c r="F4774" s="19">
        <v>0</v>
      </c>
      <c r="G4774" s="20"/>
    </row>
    <row r="4775" spans="1:7">
      <c r="A4775" s="211" t="s">
        <v>501</v>
      </c>
      <c r="B4775" s="216" t="str">
        <f ca="1">_xlfn.CONCAT(B4756,A4775)</f>
        <v>319F0CE-R</v>
      </c>
      <c r="C4775" s="17"/>
      <c r="D4775" s="184"/>
      <c r="E4775" s="197"/>
      <c r="F4775" s="19">
        <v>0</v>
      </c>
      <c r="G4775" s="20"/>
    </row>
    <row r="4776" spans="1:7">
      <c r="A4776" s="211" t="s">
        <v>502</v>
      </c>
      <c r="B4776" s="216" t="str">
        <f ca="1">_xlfn.CONCAT(B4756,A4776)</f>
        <v>319F0CE-S</v>
      </c>
      <c r="C4776" s="17"/>
      <c r="D4776" s="184"/>
      <c r="E4776" s="197"/>
      <c r="F4776" s="19">
        <v>0</v>
      </c>
      <c r="G4776" s="20"/>
    </row>
    <row r="4777" spans="1:7">
      <c r="A4777" s="211" t="s">
        <v>503</v>
      </c>
      <c r="B4777" s="216" t="str">
        <f ca="1">_xlfn.CONCAT(B4756,A4777)</f>
        <v>319F0CE-T</v>
      </c>
      <c r="C4777" s="17"/>
      <c r="D4777" s="184"/>
      <c r="E4777" s="197"/>
      <c r="F4777" s="19">
        <v>0</v>
      </c>
      <c r="G4777" s="20"/>
    </row>
    <row r="4778" spans="1:7" ht="14.25" thickBot="1">
      <c r="A4778" s="211" t="s">
        <v>504</v>
      </c>
      <c r="B4778" s="216" t="str">
        <f ca="1">_xlfn.CONCAT(B4756,A4778)</f>
        <v>319F0CE-U</v>
      </c>
      <c r="C4778" s="17"/>
      <c r="D4778" s="184"/>
      <c r="E4778" s="197"/>
      <c r="F4778" s="19">
        <v>0</v>
      </c>
      <c r="G4778" s="20"/>
    </row>
    <row r="4779" spans="1:7" ht="14.25" thickBot="1">
      <c r="A4779" s="211" t="s">
        <v>505</v>
      </c>
      <c r="B4779" s="216" t="str">
        <f ca="1">_xlfn.CONCAT(B4756,A4779)</f>
        <v>319F0CE-V</v>
      </c>
      <c r="C4779" s="17" t="s">
        <v>17</v>
      </c>
      <c r="D4779" s="192" t="s">
        <v>17</v>
      </c>
      <c r="E4779" s="18"/>
      <c r="F4779" s="22" t="s">
        <v>18</v>
      </c>
      <c r="G4779" s="23">
        <f>SUM(G4758:G4778)</f>
        <v>116352.45</v>
      </c>
    </row>
    <row r="4780" spans="1:7" ht="15.75" thickBot="1">
      <c r="A4780" s="211" t="s">
        <v>506</v>
      </c>
      <c r="B4780" s="216" t="str">
        <f ca="1">_xlfn.CONCAT(B4756,A4780)</f>
        <v>319F0CE-W</v>
      </c>
      <c r="C4780" s="10" t="s">
        <v>19</v>
      </c>
      <c r="D4780" s="190"/>
      <c r="E4780" s="11"/>
      <c r="F4780" s="12"/>
      <c r="G4780" s="13"/>
    </row>
    <row r="4781" spans="1:7" ht="14.25" thickBot="1">
      <c r="A4781" s="211" t="s">
        <v>507</v>
      </c>
      <c r="B4781" s="216" t="str">
        <f ca="1">_xlfn.CONCAT(B4756,A4781)</f>
        <v>319F0CE-X</v>
      </c>
      <c r="C4781" s="14" t="s">
        <v>1</v>
      </c>
      <c r="D4781" s="15"/>
      <c r="E4781" s="15" t="s">
        <v>20</v>
      </c>
      <c r="F4781" s="16" t="s">
        <v>21</v>
      </c>
      <c r="G4781" s="15" t="s">
        <v>5</v>
      </c>
    </row>
    <row r="4782" spans="1:7">
      <c r="A4782" s="211" t="s">
        <v>508</v>
      </c>
      <c r="B4782" s="216" t="str">
        <f ca="1">_xlfn.CONCAT(B4756,A4782)</f>
        <v>319F0CE-Y</v>
      </c>
      <c r="C4782" s="24" t="s">
        <v>22</v>
      </c>
      <c r="D4782" s="184"/>
      <c r="E4782" s="25">
        <f>_xlfn.XLOOKUP(C4782,'H-MO'!B$7:B$30,'H-MO'!D$7:D$30,,0,1)</f>
        <v>2436.5624999999995</v>
      </c>
      <c r="F4782" s="19">
        <v>0.5</v>
      </c>
      <c r="G4782" s="33">
        <f t="shared" ref="G4782:G4787" si="140">+E4782*F4782</f>
        <v>1218.2812499999998</v>
      </c>
    </row>
    <row r="4783" spans="1:7">
      <c r="A4783" s="211" t="s">
        <v>509</v>
      </c>
      <c r="B4783" s="216" t="str">
        <f ca="1">_xlfn.CONCAT(B4756,A4783)</f>
        <v>319F0CE-Z</v>
      </c>
      <c r="C4783" s="24" t="s">
        <v>23</v>
      </c>
      <c r="D4783" s="184"/>
      <c r="E4783" s="25">
        <f>_xlfn.XLOOKUP(C4783,'H-MO'!B$7:B$30,'H-MO'!D$7:D$30,,0,1)</f>
        <v>1461.9374999999998</v>
      </c>
      <c r="F4783" s="19">
        <v>0.04</v>
      </c>
      <c r="G4783" s="33">
        <f t="shared" si="140"/>
        <v>58.477499999999992</v>
      </c>
    </row>
    <row r="4784" spans="1:7">
      <c r="A4784" s="211" t="s">
        <v>510</v>
      </c>
      <c r="B4784" s="216" t="str">
        <f ca="1">_xlfn.CONCAT(B4756,A4784)</f>
        <v>319F0CE-aa</v>
      </c>
      <c r="C4784" s="24" t="s">
        <v>24</v>
      </c>
      <c r="D4784" s="185"/>
      <c r="E4784" s="25">
        <f>_xlfn.XLOOKUP(C4784,'H-MO'!B$7:B$30,'H-MO'!D$7:D$30,,0,1)</f>
        <v>29238.749999999996</v>
      </c>
      <c r="F4784" s="28">
        <v>0.1</v>
      </c>
      <c r="G4784" s="33">
        <f t="shared" si="140"/>
        <v>2923.875</v>
      </c>
    </row>
    <row r="4785" spans="1:7">
      <c r="A4785" s="211" t="s">
        <v>511</v>
      </c>
      <c r="B4785" s="216" t="str">
        <f ca="1">_xlfn.CONCAT(B4756,A4785)</f>
        <v>319F0CE-ab</v>
      </c>
      <c r="C4785" s="24" t="s">
        <v>25</v>
      </c>
      <c r="D4785" s="185"/>
      <c r="E4785" s="25">
        <f>_xlfn.XLOOKUP(C4785,'H-MO'!B$7:B$30,'H-MO'!D$7:D$30,,0,1)</f>
        <v>2761.4374999999995</v>
      </c>
      <c r="F4785" s="28">
        <v>0.5</v>
      </c>
      <c r="G4785" s="33">
        <f t="shared" si="140"/>
        <v>1380.7187499999998</v>
      </c>
    </row>
    <row r="4786" spans="1:7">
      <c r="A4786" s="211" t="s">
        <v>512</v>
      </c>
      <c r="B4786" s="216" t="str">
        <f ca="1">_xlfn.CONCAT(B4756,A4786)</f>
        <v>319F0CE-ac</v>
      </c>
      <c r="C4786" s="24"/>
      <c r="D4786" s="185"/>
      <c r="E4786" s="29"/>
      <c r="F4786" s="28">
        <v>0</v>
      </c>
      <c r="G4786" s="33">
        <f t="shared" si="140"/>
        <v>0</v>
      </c>
    </row>
    <row r="4787" spans="1:7" ht="14.25" thickBot="1">
      <c r="A4787" s="211" t="s">
        <v>513</v>
      </c>
      <c r="B4787" s="216" t="str">
        <f ca="1">_xlfn.CONCAT(B4756,A4787)</f>
        <v>319F0CE-ad</v>
      </c>
      <c r="C4787" s="24"/>
      <c r="D4787" s="185"/>
      <c r="E4787" s="29"/>
      <c r="F4787" s="28">
        <v>0</v>
      </c>
      <c r="G4787" s="33">
        <f t="shared" si="140"/>
        <v>0</v>
      </c>
    </row>
    <row r="4788" spans="1:7" ht="14.25" thickBot="1">
      <c r="A4788" s="211" t="s">
        <v>514</v>
      </c>
      <c r="B4788" s="216" t="str">
        <f ca="1">_xlfn.CONCAT(B4756,A4788)</f>
        <v>319F0CE-ae</v>
      </c>
      <c r="C4788" s="17"/>
      <c r="D4788" s="192"/>
      <c r="E4788" s="18"/>
      <c r="F4788" s="22" t="s">
        <v>26</v>
      </c>
      <c r="G4788" s="23">
        <f>SUM(G4782:G4787)</f>
        <v>5581.3525</v>
      </c>
    </row>
    <row r="4789" spans="1:7" ht="15.75" thickBot="1">
      <c r="A4789" s="211" t="s">
        <v>515</v>
      </c>
      <c r="B4789" s="216" t="str">
        <f ca="1">_xlfn.CONCAT(B4756,A4789)</f>
        <v>319F0CE-af</v>
      </c>
      <c r="C4789" s="10" t="s">
        <v>27</v>
      </c>
      <c r="D4789" s="190"/>
      <c r="E4789" s="11"/>
      <c r="F4789" s="12"/>
      <c r="G4789" s="13"/>
    </row>
    <row r="4790" spans="1:7" ht="14.25" thickBot="1">
      <c r="A4790" s="211" t="s">
        <v>516</v>
      </c>
      <c r="B4790" s="216" t="str">
        <f ca="1">_xlfn.CONCAT(B4756,A4790)</f>
        <v>319F0CE-ag</v>
      </c>
      <c r="C4790" s="14" t="s">
        <v>1</v>
      </c>
      <c r="D4790" s="15" t="s">
        <v>28</v>
      </c>
      <c r="E4790" s="15" t="s">
        <v>20</v>
      </c>
      <c r="F4790" s="16" t="s">
        <v>21</v>
      </c>
      <c r="G4790" s="15" t="s">
        <v>5</v>
      </c>
    </row>
    <row r="4791" spans="1:7">
      <c r="A4791" s="211" t="s">
        <v>517</v>
      </c>
      <c r="B4791" s="216" t="str">
        <f ca="1">_xlfn.CONCAT(B4756,A4791)</f>
        <v>319F0CE-ah</v>
      </c>
      <c r="C4791" s="30" t="s">
        <v>29</v>
      </c>
      <c r="D4791" s="186">
        <f>'H-MO'!$N$77</f>
        <v>725918.52892505517</v>
      </c>
      <c r="E4791" s="31">
        <f>+D4791/8</f>
        <v>90739.816115631897</v>
      </c>
      <c r="F4791" s="32">
        <v>1.3050528343120336</v>
      </c>
      <c r="G4791" s="33">
        <f>+E4791*F4791</f>
        <v>118420.25420665815</v>
      </c>
    </row>
    <row r="4792" spans="1:7">
      <c r="A4792" s="211" t="s">
        <v>518</v>
      </c>
      <c r="B4792" s="216" t="str">
        <f ca="1">_xlfn.CONCAT(B4756,A4792)</f>
        <v>319F0CE-ai</v>
      </c>
      <c r="C4792" s="34" t="s">
        <v>30</v>
      </c>
      <c r="D4792" s="187">
        <f>'H-MO'!$N$86</f>
        <v>685561.39085756091</v>
      </c>
      <c r="E4792" s="29">
        <f>+D4792/8</f>
        <v>85695.173857195114</v>
      </c>
      <c r="F4792" s="28">
        <v>0</v>
      </c>
      <c r="G4792" s="33">
        <f>+E4792*F4792</f>
        <v>0</v>
      </c>
    </row>
    <row r="4793" spans="1:7" ht="14.25" thickBot="1">
      <c r="A4793" s="211" t="s">
        <v>519</v>
      </c>
      <c r="B4793" s="216" t="str">
        <f ca="1">_xlfn.CONCAT(B4756,A4793)</f>
        <v>319F0CE-aj</v>
      </c>
      <c r="C4793" s="34"/>
      <c r="D4793" s="187"/>
      <c r="E4793" s="29"/>
      <c r="F4793" s="28"/>
      <c r="G4793" s="33">
        <f>+E4793*F4793</f>
        <v>0</v>
      </c>
    </row>
    <row r="4794" spans="1:7" ht="14.25" thickBot="1">
      <c r="A4794" s="211" t="s">
        <v>520</v>
      </c>
      <c r="B4794" s="216" t="str">
        <f ca="1">_xlfn.CONCAT(B4756,A4794)</f>
        <v>319F0CE-ak</v>
      </c>
      <c r="C4794" s="34"/>
      <c r="D4794" s="185"/>
      <c r="E4794" s="26"/>
      <c r="F4794" s="36" t="s">
        <v>31</v>
      </c>
      <c r="G4794" s="23">
        <f>SUM(G4791:G4793)</f>
        <v>118420.25420665815</v>
      </c>
    </row>
    <row r="4795" spans="1:7" ht="14.25" thickBot="1">
      <c r="A4795" s="211" t="s">
        <v>521</v>
      </c>
      <c r="B4795" s="216" t="str">
        <f ca="1">_xlfn.CONCAT(B4756,A4795)</f>
        <v>319F0CE-al</v>
      </c>
      <c r="C4795" s="37"/>
      <c r="E4795" s="38"/>
      <c r="F4795" s="22"/>
      <c r="G4795" s="39"/>
    </row>
    <row r="4796" spans="1:7" ht="16.5" thickBot="1">
      <c r="A4796" s="211" t="s">
        <v>522</v>
      </c>
      <c r="B4796" s="216" t="str">
        <f ca="1">_xlfn.CONCAT(B4756,A4796)</f>
        <v>319F0CE-am</v>
      </c>
      <c r="C4796" s="40"/>
      <c r="D4796" s="193"/>
      <c r="E4796" s="41"/>
      <c r="F4796" s="42"/>
      <c r="G4796" s="43">
        <f>+G4779+G4788+G4794</f>
        <v>240354.05670665816</v>
      </c>
    </row>
    <row r="4797" spans="1:7" ht="21.75" thickBot="1">
      <c r="B4797" s="212" t="s">
        <v>550</v>
      </c>
      <c r="C4797" s="2"/>
      <c r="D4797" s="183"/>
      <c r="F4797" s="4"/>
      <c r="G4797" s="5"/>
    </row>
    <row r="4798" spans="1:7" ht="18.75">
      <c r="A4798" s="213"/>
      <c r="B4798" s="214">
        <v>110</v>
      </c>
      <c r="C4798" s="242" t="str">
        <f ca="1">_xlfn.XLOOKUP(B4798,Cantidades!$A$10:$A$314,Cantidades!$C$10:$C$314,,0,1)</f>
        <v>Suministro e instalación de Acometida 3#6+1#6+1#6T, Al</v>
      </c>
      <c r="D4798" s="243"/>
      <c r="E4798" s="243"/>
      <c r="F4798" s="243"/>
      <c r="G4798" s="244"/>
    </row>
    <row r="4799" spans="1:7" ht="19.5" thickBot="1">
      <c r="A4799" s="215"/>
      <c r="B4799" s="216" t="s">
        <v>550</v>
      </c>
      <c r="C4799" s="177"/>
      <c r="D4799" s="189"/>
      <c r="E4799" s="178"/>
      <c r="F4799" s="179" t="s">
        <v>636</v>
      </c>
      <c r="G4799" s="209" t="str">
        <f ca="1">B4800</f>
        <v>3884F964-</v>
      </c>
    </row>
    <row r="4800" spans="1:7" ht="15.75" thickBot="1">
      <c r="B4800" s="212" t="str">
        <f ca="1">_xlfn.XLOOKUP(C4798,Cantidades!$C$1:$C$314,Cantidades!$B$1:$B$314,"",0,1)</f>
        <v>3884F964-</v>
      </c>
      <c r="C4800" s="10" t="s">
        <v>0</v>
      </c>
      <c r="D4800" s="190"/>
      <c r="E4800" s="11"/>
      <c r="F4800" s="12"/>
      <c r="G4800" s="13"/>
    </row>
    <row r="4801" spans="1:8" ht="14.25" thickBot="1">
      <c r="A4801" s="215"/>
      <c r="B4801" s="216" t="s">
        <v>550</v>
      </c>
      <c r="C4801" s="14" t="s">
        <v>1</v>
      </c>
      <c r="D4801" s="15" t="s">
        <v>2</v>
      </c>
      <c r="E4801" s="15" t="s">
        <v>3</v>
      </c>
      <c r="F4801" s="16" t="s">
        <v>4</v>
      </c>
      <c r="G4801" s="15" t="s">
        <v>5</v>
      </c>
    </row>
    <row r="4802" spans="1:8">
      <c r="A4802" s="211" t="s">
        <v>484</v>
      </c>
      <c r="B4802" s="216" t="str">
        <f ca="1">_xlfn.CONCAT(B4800,A4802)</f>
        <v>3884F964-A</v>
      </c>
      <c r="C4802" s="17" t="str">
        <f>_xlfn.XLOOKUP(H4802,'Materiales unitario'!$A$1:$A$2500,'Materiales unitario'!B$1:B$2500,,0,1)</f>
        <v>Cable de Aluminio aislado #6 AWG - THHN/THWN</v>
      </c>
      <c r="D4802" s="184" t="str">
        <f>_xlfn.XLOOKUP(H4802,'Materiales unitario'!A$1:A$2500,'Materiales unitario'!C$1:C$2500,,0,1)</f>
        <v>ml</v>
      </c>
      <c r="E4802" s="197">
        <f>_xlfn.XLOOKUP(H4802,'Materiales unitario'!$A$1:$A$2500,'Materiales unitario'!D$1:D$2500,,0,1)</f>
        <v>3213</v>
      </c>
      <c r="F4802" s="19">
        <v>5.25</v>
      </c>
      <c r="G4802" s="20">
        <f>+E4802*F4802</f>
        <v>16868.25</v>
      </c>
      <c r="H4802" s="211" t="s">
        <v>262</v>
      </c>
    </row>
    <row r="4803" spans="1:8">
      <c r="A4803" s="211" t="s">
        <v>485</v>
      </c>
      <c r="B4803" s="216" t="str">
        <f ca="1">_xlfn.CONCAT(B4800,A4803)</f>
        <v>3884F964-B</v>
      </c>
      <c r="C4803" s="17" t="str">
        <f>_xlfn.XLOOKUP(H4803,'Materiales unitario'!$A$1:$A$2500,'Materiales unitario'!B$1:B$2500,,0,1)</f>
        <v>Borna bimetálica de ojo tipo pala #6 AWG</v>
      </c>
      <c r="D4803" s="184" t="str">
        <f>_xlfn.XLOOKUP(H4803,'Materiales unitario'!A$1:A$2500,'Materiales unitario'!C$1:C$2500,,0,1)</f>
        <v>un</v>
      </c>
      <c r="E4803" s="197">
        <f>_xlfn.XLOOKUP(H4803,'Materiales unitario'!$A$1:$A$2500,'Materiales unitario'!D$1:D$2500,,0,1)</f>
        <v>3094</v>
      </c>
      <c r="F4803" s="19">
        <v>0.5</v>
      </c>
      <c r="G4803" s="20">
        <f>+E4803*F4803</f>
        <v>1547</v>
      </c>
      <c r="H4803" s="211" t="s">
        <v>247</v>
      </c>
    </row>
    <row r="4804" spans="1:8">
      <c r="A4804" s="211" t="s">
        <v>486</v>
      </c>
      <c r="B4804" s="216" t="str">
        <f ca="1">_xlfn.CONCAT(B4800,A4804)</f>
        <v>3884F964-C</v>
      </c>
      <c r="C4804" s="17" t="str">
        <f>_xlfn.XLOOKUP(H4804,'Materiales unitario'!$A$1:$A$2500,'Materiales unitario'!B$1:B$2500,,0,1)</f>
        <v>Termoencogible</v>
      </c>
      <c r="D4804" s="184" t="str">
        <f>_xlfn.XLOOKUP(H4804,'Materiales unitario'!A$1:A$2500,'Materiales unitario'!C$1:C$2500,,0,1)</f>
        <v>un</v>
      </c>
      <c r="E4804" s="197">
        <f>_xlfn.XLOOKUP(H4804,'Materiales unitario'!$A$1:$A$2500,'Materiales unitario'!D$1:D$2500,,0,1)</f>
        <v>5000</v>
      </c>
      <c r="F4804" s="19">
        <v>0.1</v>
      </c>
      <c r="G4804" s="20">
        <f>+E4804*F4804</f>
        <v>500</v>
      </c>
      <c r="H4804" s="211" t="s">
        <v>373</v>
      </c>
    </row>
    <row r="4805" spans="1:8">
      <c r="A4805" s="211" t="s">
        <v>487</v>
      </c>
      <c r="B4805" s="216" t="str">
        <f ca="1">_xlfn.CONCAT(B4800,A4805)</f>
        <v>3884F964-D</v>
      </c>
      <c r="C4805" s="17"/>
      <c r="D4805" s="184"/>
      <c r="E4805" s="197"/>
      <c r="F4805" s="19"/>
      <c r="G4805" s="20"/>
    </row>
    <row r="4806" spans="1:8">
      <c r="A4806" s="211" t="s">
        <v>488</v>
      </c>
      <c r="B4806" s="216" t="str">
        <f ca="1">_xlfn.CONCAT(B4800,A4806)</f>
        <v>3884F964-E</v>
      </c>
      <c r="C4806" s="17"/>
      <c r="D4806" s="184"/>
      <c r="E4806" s="197"/>
      <c r="F4806" s="19"/>
      <c r="G4806" s="20"/>
    </row>
    <row r="4807" spans="1:8">
      <c r="A4807" s="211" t="s">
        <v>489</v>
      </c>
      <c r="B4807" s="216" t="str">
        <f ca="1">_xlfn.CONCAT(B4800,A4807)</f>
        <v>3884F964-F</v>
      </c>
      <c r="C4807" s="17"/>
      <c r="D4807" s="184"/>
      <c r="E4807" s="197"/>
      <c r="F4807" s="19"/>
      <c r="G4807" s="20"/>
    </row>
    <row r="4808" spans="1:8">
      <c r="A4808" s="211" t="s">
        <v>490</v>
      </c>
      <c r="B4808" s="216" t="str">
        <f ca="1">_xlfn.CONCAT(B4800,A4808)</f>
        <v>3884F964-G</v>
      </c>
      <c r="C4808" s="17"/>
      <c r="D4808" s="184"/>
      <c r="E4808" s="197"/>
      <c r="F4808" s="19"/>
      <c r="G4808" s="20"/>
    </row>
    <row r="4809" spans="1:8">
      <c r="A4809" s="211" t="s">
        <v>491</v>
      </c>
      <c r="B4809" s="216" t="str">
        <f ca="1">_xlfn.CONCAT(B4800,A4809)</f>
        <v>3884F964-H</v>
      </c>
      <c r="C4809" s="17"/>
      <c r="D4809" s="184"/>
      <c r="E4809" s="197"/>
      <c r="F4809" s="19"/>
      <c r="G4809" s="20"/>
    </row>
    <row r="4810" spans="1:8">
      <c r="A4810" s="211" t="s">
        <v>492</v>
      </c>
      <c r="B4810" s="216" t="str">
        <f ca="1">_xlfn.CONCAT(B4800,A4810)</f>
        <v>3884F964-I</v>
      </c>
      <c r="C4810" s="17"/>
      <c r="D4810" s="184"/>
      <c r="E4810" s="197"/>
      <c r="F4810" s="19"/>
      <c r="G4810" s="20"/>
    </row>
    <row r="4811" spans="1:8">
      <c r="A4811" s="211" t="s">
        <v>493</v>
      </c>
      <c r="B4811" s="216" t="str">
        <f ca="1">_xlfn.CONCAT(B4800,A4811)</f>
        <v>3884F964-J</v>
      </c>
      <c r="C4811" s="17"/>
      <c r="D4811" s="184"/>
      <c r="E4811" s="197"/>
      <c r="F4811" s="19"/>
      <c r="G4811" s="20"/>
    </row>
    <row r="4812" spans="1:8">
      <c r="A4812" s="211" t="s">
        <v>494</v>
      </c>
      <c r="B4812" s="216" t="str">
        <f ca="1">_xlfn.CONCAT(B4800,A4812)</f>
        <v>3884F964-K</v>
      </c>
      <c r="C4812" s="17"/>
      <c r="D4812" s="184"/>
      <c r="E4812" s="197"/>
      <c r="F4812" s="19"/>
      <c r="G4812" s="20"/>
    </row>
    <row r="4813" spans="1:8">
      <c r="A4813" s="211" t="s">
        <v>495</v>
      </c>
      <c r="B4813" s="216" t="str">
        <f ca="1">_xlfn.CONCAT(B4800,A4813)</f>
        <v>3884F964-L</v>
      </c>
      <c r="C4813" s="17"/>
      <c r="D4813" s="184"/>
      <c r="E4813" s="197"/>
      <c r="F4813" s="19"/>
      <c r="G4813" s="20"/>
    </row>
    <row r="4814" spans="1:8">
      <c r="A4814" s="211" t="s">
        <v>496</v>
      </c>
      <c r="B4814" s="216" t="str">
        <f ca="1">_xlfn.CONCAT(B4800,A4814)</f>
        <v>3884F964-M</v>
      </c>
      <c r="C4814" s="17"/>
      <c r="D4814" s="184"/>
      <c r="E4814" s="197"/>
      <c r="F4814" s="19"/>
      <c r="G4814" s="20"/>
    </row>
    <row r="4815" spans="1:8">
      <c r="A4815" s="211" t="s">
        <v>497</v>
      </c>
      <c r="B4815" s="216" t="str">
        <f ca="1">_xlfn.CONCAT(B4800,A4815)</f>
        <v>3884F964-N</v>
      </c>
      <c r="C4815" s="17"/>
      <c r="D4815" s="184"/>
      <c r="E4815" s="197"/>
      <c r="F4815" s="19"/>
      <c r="G4815" s="20"/>
    </row>
    <row r="4816" spans="1:8">
      <c r="A4816" s="211" t="s">
        <v>498</v>
      </c>
      <c r="B4816" s="216" t="str">
        <f ca="1">_xlfn.CONCAT(B4800,A4816)</f>
        <v>3884F964-O</v>
      </c>
      <c r="C4816" s="17"/>
      <c r="D4816" s="184"/>
      <c r="E4816" s="197"/>
      <c r="F4816" s="19"/>
      <c r="G4816" s="20"/>
    </row>
    <row r="4817" spans="1:7">
      <c r="A4817" s="211" t="s">
        <v>499</v>
      </c>
      <c r="B4817" s="216" t="str">
        <f ca="1">_xlfn.CONCAT(B4800,A4817)</f>
        <v>3884F964-P</v>
      </c>
      <c r="C4817" s="17"/>
      <c r="D4817" s="184"/>
      <c r="E4817" s="197"/>
      <c r="F4817" s="19"/>
      <c r="G4817" s="20"/>
    </row>
    <row r="4818" spans="1:7">
      <c r="A4818" s="211" t="s">
        <v>500</v>
      </c>
      <c r="B4818" s="216" t="str">
        <f ca="1">_xlfn.CONCAT(B4800,A4818)</f>
        <v>3884F964-Q</v>
      </c>
      <c r="C4818" s="17"/>
      <c r="D4818" s="184"/>
      <c r="E4818" s="197"/>
      <c r="F4818" s="19"/>
      <c r="G4818" s="20"/>
    </row>
    <row r="4819" spans="1:7">
      <c r="A4819" s="211" t="s">
        <v>501</v>
      </c>
      <c r="B4819" s="216" t="str">
        <f ca="1">_xlfn.CONCAT(B4800,A4819)</f>
        <v>3884F964-R</v>
      </c>
      <c r="C4819" s="17"/>
      <c r="D4819" s="184"/>
      <c r="E4819" s="197"/>
      <c r="F4819" s="19"/>
      <c r="G4819" s="20"/>
    </row>
    <row r="4820" spans="1:7">
      <c r="A4820" s="211" t="s">
        <v>502</v>
      </c>
      <c r="B4820" s="216" t="str">
        <f ca="1">_xlfn.CONCAT(B4800,A4820)</f>
        <v>3884F964-S</v>
      </c>
      <c r="C4820" s="17"/>
      <c r="D4820" s="184"/>
      <c r="E4820" s="197"/>
      <c r="F4820" s="19"/>
      <c r="G4820" s="20"/>
    </row>
    <row r="4821" spans="1:7">
      <c r="A4821" s="211" t="s">
        <v>503</v>
      </c>
      <c r="B4821" s="216" t="str">
        <f ca="1">_xlfn.CONCAT(B4800,A4821)</f>
        <v>3884F964-T</v>
      </c>
      <c r="C4821" s="17"/>
      <c r="D4821" s="184"/>
      <c r="E4821" s="197"/>
      <c r="F4821" s="19"/>
      <c r="G4821" s="20"/>
    </row>
    <row r="4822" spans="1:7" ht="14.25" thickBot="1">
      <c r="A4822" s="211" t="s">
        <v>504</v>
      </c>
      <c r="B4822" s="216" t="str">
        <f ca="1">_xlfn.CONCAT(B4800,A4822)</f>
        <v>3884F964-U</v>
      </c>
      <c r="C4822" s="17"/>
      <c r="D4822" s="184"/>
      <c r="E4822" s="197"/>
      <c r="F4822" s="19"/>
      <c r="G4822" s="20"/>
    </row>
    <row r="4823" spans="1:7" ht="14.25" thickBot="1">
      <c r="A4823" s="211" t="s">
        <v>505</v>
      </c>
      <c r="B4823" s="216" t="str">
        <f ca="1">_xlfn.CONCAT(B4800,A4823)</f>
        <v>3884F964-V</v>
      </c>
      <c r="C4823" s="17" t="s">
        <v>17</v>
      </c>
      <c r="D4823" s="192" t="s">
        <v>17</v>
      </c>
      <c r="E4823" s="18"/>
      <c r="F4823" s="22" t="s">
        <v>18</v>
      </c>
      <c r="G4823" s="23">
        <f>SUM(G4802:G4822)</f>
        <v>18915.25</v>
      </c>
    </row>
    <row r="4824" spans="1:7" ht="15.75" thickBot="1">
      <c r="A4824" s="211" t="s">
        <v>506</v>
      </c>
      <c r="B4824" s="216" t="str">
        <f ca="1">_xlfn.CONCAT(B4800,A4824)</f>
        <v>3884F964-W</v>
      </c>
      <c r="C4824" s="10" t="s">
        <v>19</v>
      </c>
      <c r="D4824" s="190"/>
      <c r="E4824" s="11"/>
      <c r="F4824" s="12"/>
      <c r="G4824" s="13"/>
    </row>
    <row r="4825" spans="1:7" ht="14.25" thickBot="1">
      <c r="A4825" s="211" t="s">
        <v>507</v>
      </c>
      <c r="B4825" s="216" t="str">
        <f ca="1">_xlfn.CONCAT(B4800,A4825)</f>
        <v>3884F964-X</v>
      </c>
      <c r="C4825" s="14" t="s">
        <v>1</v>
      </c>
      <c r="D4825" s="15"/>
      <c r="E4825" s="15" t="s">
        <v>20</v>
      </c>
      <c r="F4825" s="16" t="s">
        <v>21</v>
      </c>
      <c r="G4825" s="15" t="s">
        <v>5</v>
      </c>
    </row>
    <row r="4826" spans="1:7">
      <c r="A4826" s="211" t="s">
        <v>508</v>
      </c>
      <c r="B4826" s="216" t="str">
        <f ca="1">_xlfn.CONCAT(B4800,A4826)</f>
        <v>3884F964-Y</v>
      </c>
      <c r="C4826" s="24" t="s">
        <v>22</v>
      </c>
      <c r="D4826" s="184"/>
      <c r="E4826" s="25">
        <f>_xlfn.XLOOKUP(C4826,'H-MO'!B$7:B$30,'H-MO'!D$7:D$30,,0,1)</f>
        <v>2436.5624999999995</v>
      </c>
      <c r="F4826" s="19">
        <v>0.5</v>
      </c>
      <c r="G4826" s="33">
        <f t="shared" ref="G4826:G4831" si="141">+E4826*F4826</f>
        <v>1218.2812499999998</v>
      </c>
    </row>
    <row r="4827" spans="1:7">
      <c r="A4827" s="211" t="s">
        <v>509</v>
      </c>
      <c r="B4827" s="216" t="str">
        <f ca="1">_xlfn.CONCAT(B4800,A4827)</f>
        <v>3884F964-Z</v>
      </c>
      <c r="C4827" s="24" t="s">
        <v>23</v>
      </c>
      <c r="D4827" s="184"/>
      <c r="E4827" s="25">
        <f>_xlfn.XLOOKUP(C4827,'H-MO'!B$7:B$30,'H-MO'!D$7:D$30,,0,1)</f>
        <v>1461.9374999999998</v>
      </c>
      <c r="F4827" s="19">
        <v>0.04</v>
      </c>
      <c r="G4827" s="33">
        <f t="shared" si="141"/>
        <v>58.477499999999992</v>
      </c>
    </row>
    <row r="4828" spans="1:7">
      <c r="A4828" s="211" t="s">
        <v>510</v>
      </c>
      <c r="B4828" s="216" t="str">
        <f ca="1">_xlfn.CONCAT(B4800,A4828)</f>
        <v>3884F964-aa</v>
      </c>
      <c r="C4828" s="24" t="s">
        <v>24</v>
      </c>
      <c r="D4828" s="185"/>
      <c r="E4828" s="25">
        <f>_xlfn.XLOOKUP(C4828,'H-MO'!B$7:B$30,'H-MO'!D$7:D$30,,0,1)</f>
        <v>29238.749999999996</v>
      </c>
      <c r="F4828" s="28">
        <v>0.1</v>
      </c>
      <c r="G4828" s="33">
        <f t="shared" si="141"/>
        <v>2923.875</v>
      </c>
    </row>
    <row r="4829" spans="1:7">
      <c r="A4829" s="211" t="s">
        <v>511</v>
      </c>
      <c r="B4829" s="216" t="str">
        <f ca="1">_xlfn.CONCAT(B4800,A4829)</f>
        <v>3884F964-ab</v>
      </c>
      <c r="C4829" s="24" t="s">
        <v>25</v>
      </c>
      <c r="D4829" s="185"/>
      <c r="E4829" s="25">
        <f>_xlfn.XLOOKUP(C4829,'H-MO'!B$7:B$30,'H-MO'!D$7:D$30,,0,1)</f>
        <v>2761.4374999999995</v>
      </c>
      <c r="F4829" s="28">
        <v>0.5</v>
      </c>
      <c r="G4829" s="33">
        <f t="shared" si="141"/>
        <v>1380.7187499999998</v>
      </c>
    </row>
    <row r="4830" spans="1:7">
      <c r="A4830" s="211" t="s">
        <v>512</v>
      </c>
      <c r="B4830" s="216" t="str">
        <f ca="1">_xlfn.CONCAT(B4800,A4830)</f>
        <v>3884F964-ac</v>
      </c>
      <c r="C4830" s="24"/>
      <c r="D4830" s="185"/>
      <c r="E4830" s="29"/>
      <c r="F4830" s="28"/>
      <c r="G4830" s="33">
        <f t="shared" si="141"/>
        <v>0</v>
      </c>
    </row>
    <row r="4831" spans="1:7" ht="14.25" thickBot="1">
      <c r="A4831" s="211" t="s">
        <v>513</v>
      </c>
      <c r="B4831" s="216" t="str">
        <f ca="1">_xlfn.CONCAT(B4800,A4831)</f>
        <v>3884F964-ad</v>
      </c>
      <c r="C4831" s="24"/>
      <c r="D4831" s="185"/>
      <c r="E4831" s="29"/>
      <c r="F4831" s="28"/>
      <c r="G4831" s="33">
        <f t="shared" si="141"/>
        <v>0</v>
      </c>
    </row>
    <row r="4832" spans="1:7" ht="14.25" thickBot="1">
      <c r="A4832" s="211" t="s">
        <v>514</v>
      </c>
      <c r="B4832" s="216" t="str">
        <f ca="1">_xlfn.CONCAT(B4800,A4832)</f>
        <v>3884F964-ae</v>
      </c>
      <c r="C4832" s="17"/>
      <c r="D4832" s="192"/>
      <c r="E4832" s="18"/>
      <c r="F4832" s="22" t="s">
        <v>26</v>
      </c>
      <c r="G4832" s="23">
        <f>SUM(G4826:G4831)</f>
        <v>5581.3525</v>
      </c>
    </row>
    <row r="4833" spans="1:8" ht="15.75" thickBot="1">
      <c r="A4833" s="211" t="s">
        <v>515</v>
      </c>
      <c r="B4833" s="216" t="str">
        <f ca="1">_xlfn.CONCAT(B4800,A4833)</f>
        <v>3884F964-af</v>
      </c>
      <c r="C4833" s="10" t="s">
        <v>27</v>
      </c>
      <c r="D4833" s="190"/>
      <c r="E4833" s="11"/>
      <c r="F4833" s="12"/>
      <c r="G4833" s="13"/>
    </row>
    <row r="4834" spans="1:8" ht="14.25" thickBot="1">
      <c r="A4834" s="211" t="s">
        <v>516</v>
      </c>
      <c r="B4834" s="216" t="str">
        <f ca="1">_xlfn.CONCAT(B4800,A4834)</f>
        <v>3884F964-ag</v>
      </c>
      <c r="C4834" s="14" t="s">
        <v>1</v>
      </c>
      <c r="D4834" s="15" t="s">
        <v>28</v>
      </c>
      <c r="E4834" s="15" t="s">
        <v>20</v>
      </c>
      <c r="F4834" s="16" t="s">
        <v>21</v>
      </c>
      <c r="G4834" s="15" t="s">
        <v>5</v>
      </c>
    </row>
    <row r="4835" spans="1:8">
      <c r="A4835" s="211" t="s">
        <v>517</v>
      </c>
      <c r="B4835" s="216" t="str">
        <f ca="1">_xlfn.CONCAT(B4800,A4835)</f>
        <v>3884F964-ah</v>
      </c>
      <c r="C4835" s="30" t="s">
        <v>29</v>
      </c>
      <c r="D4835" s="186">
        <f>'H-MO'!$N$77</f>
        <v>725918.52892505517</v>
      </c>
      <c r="E4835" s="31">
        <f>+D4835/8</f>
        <v>90739.816115631897</v>
      </c>
      <c r="F4835" s="32">
        <v>0.15</v>
      </c>
      <c r="G4835" s="33">
        <f>+E4835*F4835</f>
        <v>13610.972417344785</v>
      </c>
    </row>
    <row r="4836" spans="1:8">
      <c r="A4836" s="211" t="s">
        <v>518</v>
      </c>
      <c r="B4836" s="216" t="str">
        <f ca="1">_xlfn.CONCAT(B4800,A4836)</f>
        <v>3884F964-ai</v>
      </c>
      <c r="C4836" s="34" t="s">
        <v>30</v>
      </c>
      <c r="D4836" s="187">
        <f>'H-MO'!$N$86</f>
        <v>685561.39085756091</v>
      </c>
      <c r="E4836" s="29">
        <f>+D4836/8</f>
        <v>85695.173857195114</v>
      </c>
      <c r="F4836" s="28"/>
      <c r="G4836" s="33">
        <f>+E4836*F4836</f>
        <v>0</v>
      </c>
    </row>
    <row r="4837" spans="1:8" ht="14.25" thickBot="1">
      <c r="A4837" s="211" t="s">
        <v>519</v>
      </c>
      <c r="B4837" s="216" t="str">
        <f ca="1">_xlfn.CONCAT(B4800,A4837)</f>
        <v>3884F964-aj</v>
      </c>
      <c r="C4837" s="34"/>
      <c r="D4837" s="187"/>
      <c r="E4837" s="29"/>
      <c r="F4837" s="28"/>
      <c r="G4837" s="33">
        <f>+E4837*F4837</f>
        <v>0</v>
      </c>
    </row>
    <row r="4838" spans="1:8" ht="14.25" thickBot="1">
      <c r="A4838" s="211" t="s">
        <v>520</v>
      </c>
      <c r="B4838" s="216" t="str">
        <f ca="1">_xlfn.CONCAT(B4800,A4838)</f>
        <v>3884F964-ak</v>
      </c>
      <c r="C4838" s="34"/>
      <c r="D4838" s="185"/>
      <c r="E4838" s="26"/>
      <c r="F4838" s="36" t="s">
        <v>31</v>
      </c>
      <c r="G4838" s="23">
        <f>SUM(G4835:G4837)</f>
        <v>13610.972417344785</v>
      </c>
    </row>
    <row r="4839" spans="1:8" ht="14.25" thickBot="1">
      <c r="A4839" s="211" t="s">
        <v>521</v>
      </c>
      <c r="B4839" s="216" t="str">
        <f ca="1">_xlfn.CONCAT(B4800,A4839)</f>
        <v>3884F964-al</v>
      </c>
      <c r="C4839" s="37"/>
      <c r="E4839" s="38"/>
      <c r="F4839" s="22"/>
      <c r="G4839" s="39"/>
    </row>
    <row r="4840" spans="1:8" ht="16.5" thickBot="1">
      <c r="A4840" s="211" t="s">
        <v>522</v>
      </c>
      <c r="B4840" s="216" t="str">
        <f ca="1">_xlfn.CONCAT(B4800,A4840)</f>
        <v>3884F964-am</v>
      </c>
      <c r="C4840" s="40"/>
      <c r="D4840" s="193"/>
      <c r="E4840" s="41"/>
      <c r="F4840" s="42"/>
      <c r="G4840" s="43">
        <f>+G4823+G4832+G4838</f>
        <v>38107.574917344784</v>
      </c>
    </row>
    <row r="4841" spans="1:8" ht="21.75" thickBot="1">
      <c r="B4841" s="212" t="s">
        <v>550</v>
      </c>
      <c r="C4841" s="2"/>
      <c r="D4841" s="183"/>
      <c r="F4841" s="4"/>
      <c r="G4841" s="5"/>
    </row>
    <row r="4842" spans="1:8" ht="18.75">
      <c r="A4842" s="213"/>
      <c r="B4842" s="214">
        <v>111</v>
      </c>
      <c r="C4842" s="242" t="str">
        <f ca="1">_xlfn.XLOOKUP(B4842,Cantidades!$A$10:$A$314,Cantidades!$C$10:$C$314,,0,1)</f>
        <v>Suministro e instalación de Acometida 3#1/0+1#2+1#6T, Al</v>
      </c>
      <c r="D4842" s="243"/>
      <c r="E4842" s="243"/>
      <c r="F4842" s="243"/>
      <c r="G4842" s="244"/>
    </row>
    <row r="4843" spans="1:8" ht="19.5" thickBot="1">
      <c r="A4843" s="215"/>
      <c r="B4843" s="216" t="s">
        <v>550</v>
      </c>
      <c r="C4843" s="177"/>
      <c r="D4843" s="189"/>
      <c r="E4843" s="178"/>
      <c r="F4843" s="179" t="s">
        <v>636</v>
      </c>
      <c r="G4843" s="209" t="str">
        <f ca="1">B4844</f>
        <v>F0DE30F-</v>
      </c>
    </row>
    <row r="4844" spans="1:8" ht="15.75" thickBot="1">
      <c r="B4844" s="212" t="str">
        <f ca="1">_xlfn.XLOOKUP(C4842,Cantidades!$C$1:$C$314,Cantidades!$B$1:$B$314,"",0,1)</f>
        <v>F0DE30F-</v>
      </c>
      <c r="C4844" s="10" t="s">
        <v>0</v>
      </c>
      <c r="D4844" s="190"/>
      <c r="E4844" s="11"/>
      <c r="F4844" s="12"/>
      <c r="G4844" s="13"/>
    </row>
    <row r="4845" spans="1:8" ht="14.25" thickBot="1">
      <c r="A4845" s="215"/>
      <c r="B4845" s="216" t="s">
        <v>550</v>
      </c>
      <c r="C4845" s="14" t="s">
        <v>1</v>
      </c>
      <c r="D4845" s="15" t="s">
        <v>2</v>
      </c>
      <c r="E4845" s="15" t="s">
        <v>3</v>
      </c>
      <c r="F4845" s="16" t="s">
        <v>4</v>
      </c>
      <c r="G4845" s="15" t="s">
        <v>5</v>
      </c>
    </row>
    <row r="4846" spans="1:8">
      <c r="A4846" s="211" t="s">
        <v>484</v>
      </c>
      <c r="B4846" s="216" t="str">
        <f ca="1">_xlfn.CONCAT(B4844,A4846)</f>
        <v>F0DE30F-A</v>
      </c>
      <c r="C4846" s="17" t="str">
        <f>_xlfn.XLOOKUP(H4846,'Materiales unitario'!$A$1:$A$2500,'Materiales unitario'!B$1:B$2500,,0,1)</f>
        <v>Cable de Aluminio aislado #1/0 AWG - THHN/THWN</v>
      </c>
      <c r="D4846" s="184" t="str">
        <f>_xlfn.XLOOKUP(H4846,'Materiales unitario'!A$1:A$2500,'Materiales unitario'!C$1:C$2500,,0,1)</f>
        <v>ml</v>
      </c>
      <c r="E4846" s="197">
        <f>_xlfn.XLOOKUP(H4846,'Materiales unitario'!$A$1:$A$2500,'Materiales unitario'!D$1:D$2500,,0,1)</f>
        <v>9758</v>
      </c>
      <c r="F4846" s="19">
        <v>3.15</v>
      </c>
      <c r="G4846" s="20">
        <f t="shared" ref="G4846:G4851" si="142">+E4846*F4846</f>
        <v>30737.7</v>
      </c>
      <c r="H4846" s="211" t="s">
        <v>257</v>
      </c>
    </row>
    <row r="4847" spans="1:8">
      <c r="A4847" s="211" t="s">
        <v>485</v>
      </c>
      <c r="B4847" s="216" t="str">
        <f ca="1">_xlfn.CONCAT(B4844,A4847)</f>
        <v>F0DE30F-B</v>
      </c>
      <c r="C4847" s="17" t="str">
        <f>_xlfn.XLOOKUP(H4847,'Materiales unitario'!$A$1:$A$2500,'Materiales unitario'!B$1:B$2500,,0,1)</f>
        <v>Cable de Aluminio aislado #2 AWG - THHN/THWN</v>
      </c>
      <c r="D4847" s="184" t="str">
        <f>_xlfn.XLOOKUP(H4847,'Materiales unitario'!A$1:A$2500,'Materiales unitario'!C$1:C$2500,,0,1)</f>
        <v>ml</v>
      </c>
      <c r="E4847" s="197">
        <f>_xlfn.XLOOKUP(H4847,'Materiales unitario'!$A$1:$A$2500,'Materiales unitario'!D$1:D$2500,,0,1)</f>
        <v>6188</v>
      </c>
      <c r="F4847" s="19">
        <v>1.05</v>
      </c>
      <c r="G4847" s="20">
        <f t="shared" si="142"/>
        <v>6497.4000000000005</v>
      </c>
      <c r="H4847" s="211" t="s">
        <v>258</v>
      </c>
    </row>
    <row r="4848" spans="1:8">
      <c r="A4848" s="211" t="s">
        <v>486</v>
      </c>
      <c r="B4848" s="216" t="str">
        <f ca="1">_xlfn.CONCAT(B4844,A4848)</f>
        <v>F0DE30F-C</v>
      </c>
      <c r="C4848" s="17" t="str">
        <f>_xlfn.XLOOKUP(H4848,'Materiales unitario'!$A$1:$A$2500,'Materiales unitario'!B$1:B$2500,,0,1)</f>
        <v>Cable de Aluminio aislado #6 AWG - THHN/THWN</v>
      </c>
      <c r="D4848" s="184" t="str">
        <f>_xlfn.XLOOKUP(H4848,'Materiales unitario'!A$1:A$2500,'Materiales unitario'!C$1:C$2500,,0,1)</f>
        <v>ml</v>
      </c>
      <c r="E4848" s="197">
        <f>_xlfn.XLOOKUP(H4848,'Materiales unitario'!$A$1:$A$2500,'Materiales unitario'!D$1:D$2500,,0,1)</f>
        <v>3213</v>
      </c>
      <c r="F4848" s="19">
        <v>1.05</v>
      </c>
      <c r="G4848" s="20">
        <f t="shared" si="142"/>
        <v>3373.65</v>
      </c>
      <c r="H4848" s="211" t="s">
        <v>262</v>
      </c>
    </row>
    <row r="4849" spans="1:8">
      <c r="A4849" s="211" t="s">
        <v>487</v>
      </c>
      <c r="B4849" s="216" t="str">
        <f ca="1">_xlfn.CONCAT(B4844,A4849)</f>
        <v>F0DE30F-D</v>
      </c>
      <c r="C4849" s="17" t="str">
        <f>_xlfn.XLOOKUP(H4849,'Materiales unitario'!$A$1:$A$2500,'Materiales unitario'!B$1:B$2500,,0,1)</f>
        <v>Borna bimetálica de ojo tipo pala #1/0 AWG</v>
      </c>
      <c r="D4849" s="184" t="str">
        <f>_xlfn.XLOOKUP(H4849,'Materiales unitario'!A$1:A$2500,'Materiales unitario'!C$1:C$2500,,0,1)</f>
        <v>un</v>
      </c>
      <c r="E4849" s="197">
        <f>_xlfn.XLOOKUP(H4849,'Materiales unitario'!$A$1:$A$2500,'Materiales unitario'!D$1:D$2500,,0,1)</f>
        <v>8925</v>
      </c>
      <c r="F4849" s="19">
        <v>0.1</v>
      </c>
      <c r="G4849" s="20">
        <f t="shared" si="142"/>
        <v>892.5</v>
      </c>
      <c r="H4849" s="211" t="s">
        <v>242</v>
      </c>
    </row>
    <row r="4850" spans="1:8">
      <c r="A4850" s="211" t="s">
        <v>488</v>
      </c>
      <c r="B4850" s="216" t="str">
        <f ca="1">_xlfn.CONCAT(B4844,A4850)</f>
        <v>F0DE30F-E</v>
      </c>
      <c r="C4850" s="17" t="str">
        <f>_xlfn.XLOOKUP(H4850,'Materiales unitario'!$A$1:$A$2500,'Materiales unitario'!B$1:B$2500,,0,1)</f>
        <v>Borna bimetálica de ojo tipo pala #2 AWG</v>
      </c>
      <c r="D4850" s="184" t="str">
        <f>_xlfn.XLOOKUP(H4850,'Materiales unitario'!A$1:A$2500,'Materiales unitario'!C$1:C$2500,,0,1)</f>
        <v>un</v>
      </c>
      <c r="E4850" s="197">
        <f>_xlfn.XLOOKUP(H4850,'Materiales unitario'!$A$1:$A$2500,'Materiales unitario'!D$1:D$2500,,0,1)</f>
        <v>8806</v>
      </c>
      <c r="F4850" s="19">
        <v>0.3</v>
      </c>
      <c r="G4850" s="20">
        <f t="shared" si="142"/>
        <v>2641.7999999999997</v>
      </c>
      <c r="H4850" s="211" t="s">
        <v>243</v>
      </c>
    </row>
    <row r="4851" spans="1:8">
      <c r="A4851" s="211" t="s">
        <v>489</v>
      </c>
      <c r="B4851" s="216" t="str">
        <f ca="1">_xlfn.CONCAT(B4844,A4851)</f>
        <v>F0DE30F-F</v>
      </c>
      <c r="C4851" s="17" t="str">
        <f>_xlfn.XLOOKUP(H4851,'Materiales unitario'!$A$1:$A$2500,'Materiales unitario'!B$1:B$2500,,0,1)</f>
        <v>Borna bimetálica de ojo tipo pala #6 AWG</v>
      </c>
      <c r="D4851" s="184" t="str">
        <f>_xlfn.XLOOKUP(H4851,'Materiales unitario'!A$1:A$2500,'Materiales unitario'!C$1:C$2500,,0,1)</f>
        <v>un</v>
      </c>
      <c r="E4851" s="197">
        <f>_xlfn.XLOOKUP(H4851,'Materiales unitario'!$A$1:$A$2500,'Materiales unitario'!D$1:D$2500,,0,1)</f>
        <v>3094</v>
      </c>
      <c r="F4851" s="19">
        <v>0.1</v>
      </c>
      <c r="G4851" s="20">
        <f t="shared" si="142"/>
        <v>309.40000000000003</v>
      </c>
      <c r="H4851" s="211" t="s">
        <v>247</v>
      </c>
    </row>
    <row r="4852" spans="1:8">
      <c r="A4852" s="211" t="s">
        <v>490</v>
      </c>
      <c r="B4852" s="216" t="str">
        <f ca="1">_xlfn.CONCAT(B4844,A4852)</f>
        <v>F0DE30F-G</v>
      </c>
      <c r="C4852" s="17"/>
      <c r="D4852" s="184"/>
      <c r="E4852" s="197"/>
      <c r="F4852" s="19"/>
      <c r="G4852" s="20"/>
    </row>
    <row r="4853" spans="1:8">
      <c r="A4853" s="211" t="s">
        <v>491</v>
      </c>
      <c r="B4853" s="216" t="str">
        <f ca="1">_xlfn.CONCAT(B4844,A4853)</f>
        <v>F0DE30F-H</v>
      </c>
      <c r="C4853" s="17"/>
      <c r="D4853" s="184"/>
      <c r="E4853" s="197"/>
      <c r="F4853" s="19"/>
      <c r="G4853" s="20"/>
    </row>
    <row r="4854" spans="1:8">
      <c r="A4854" s="211" t="s">
        <v>492</v>
      </c>
      <c r="B4854" s="216" t="str">
        <f ca="1">_xlfn.CONCAT(B4844,A4854)</f>
        <v>F0DE30F-I</v>
      </c>
      <c r="C4854" s="17"/>
      <c r="D4854" s="184"/>
      <c r="E4854" s="197"/>
      <c r="F4854" s="19"/>
      <c r="G4854" s="20"/>
    </row>
    <row r="4855" spans="1:8">
      <c r="A4855" s="211" t="s">
        <v>493</v>
      </c>
      <c r="B4855" s="216" t="str">
        <f ca="1">_xlfn.CONCAT(B4844,A4855)</f>
        <v>F0DE30F-J</v>
      </c>
      <c r="C4855" s="17"/>
      <c r="D4855" s="184"/>
      <c r="E4855" s="197"/>
      <c r="F4855" s="19"/>
      <c r="G4855" s="20"/>
    </row>
    <row r="4856" spans="1:8">
      <c r="A4856" s="211" t="s">
        <v>494</v>
      </c>
      <c r="B4856" s="216" t="str">
        <f ca="1">_xlfn.CONCAT(B4844,A4856)</f>
        <v>F0DE30F-K</v>
      </c>
      <c r="C4856" s="17"/>
      <c r="D4856" s="184"/>
      <c r="E4856" s="197"/>
      <c r="F4856" s="19"/>
      <c r="G4856" s="20"/>
    </row>
    <row r="4857" spans="1:8">
      <c r="A4857" s="211" t="s">
        <v>495</v>
      </c>
      <c r="B4857" s="216" t="str">
        <f ca="1">_xlfn.CONCAT(B4844,A4857)</f>
        <v>F0DE30F-L</v>
      </c>
      <c r="C4857" s="17"/>
      <c r="D4857" s="184"/>
      <c r="E4857" s="197"/>
      <c r="F4857" s="19"/>
      <c r="G4857" s="20"/>
    </row>
    <row r="4858" spans="1:8">
      <c r="A4858" s="211" t="s">
        <v>496</v>
      </c>
      <c r="B4858" s="216" t="str">
        <f ca="1">_xlfn.CONCAT(B4844,A4858)</f>
        <v>F0DE30F-M</v>
      </c>
      <c r="C4858" s="17"/>
      <c r="D4858" s="184"/>
      <c r="E4858" s="197"/>
      <c r="F4858" s="19"/>
      <c r="G4858" s="20"/>
    </row>
    <row r="4859" spans="1:8">
      <c r="A4859" s="211" t="s">
        <v>497</v>
      </c>
      <c r="B4859" s="216" t="str">
        <f ca="1">_xlfn.CONCAT(B4844,A4859)</f>
        <v>F0DE30F-N</v>
      </c>
      <c r="C4859" s="17"/>
      <c r="D4859" s="184"/>
      <c r="E4859" s="197"/>
      <c r="F4859" s="19"/>
      <c r="G4859" s="20"/>
    </row>
    <row r="4860" spans="1:8">
      <c r="A4860" s="211" t="s">
        <v>498</v>
      </c>
      <c r="B4860" s="216" t="str">
        <f ca="1">_xlfn.CONCAT(B4844,A4860)</f>
        <v>F0DE30F-O</v>
      </c>
      <c r="C4860" s="17"/>
      <c r="D4860" s="184"/>
      <c r="E4860" s="197"/>
      <c r="F4860" s="19"/>
      <c r="G4860" s="20"/>
    </row>
    <row r="4861" spans="1:8">
      <c r="A4861" s="211" t="s">
        <v>499</v>
      </c>
      <c r="B4861" s="216" t="str">
        <f ca="1">_xlfn.CONCAT(B4844,A4861)</f>
        <v>F0DE30F-P</v>
      </c>
      <c r="C4861" s="17"/>
      <c r="D4861" s="184"/>
      <c r="E4861" s="197"/>
      <c r="F4861" s="19"/>
      <c r="G4861" s="20"/>
    </row>
    <row r="4862" spans="1:8">
      <c r="A4862" s="211" t="s">
        <v>500</v>
      </c>
      <c r="B4862" s="216" t="str">
        <f ca="1">_xlfn.CONCAT(B4844,A4862)</f>
        <v>F0DE30F-Q</v>
      </c>
      <c r="C4862" s="17"/>
      <c r="D4862" s="184"/>
      <c r="E4862" s="197"/>
      <c r="F4862" s="19"/>
      <c r="G4862" s="20"/>
    </row>
    <row r="4863" spans="1:8">
      <c r="A4863" s="211" t="s">
        <v>501</v>
      </c>
      <c r="B4863" s="216" t="str">
        <f ca="1">_xlfn.CONCAT(B4844,A4863)</f>
        <v>F0DE30F-R</v>
      </c>
      <c r="C4863" s="17"/>
      <c r="D4863" s="184"/>
      <c r="E4863" s="197"/>
      <c r="F4863" s="19"/>
      <c r="G4863" s="20"/>
    </row>
    <row r="4864" spans="1:8">
      <c r="A4864" s="211" t="s">
        <v>502</v>
      </c>
      <c r="B4864" s="216" t="str">
        <f ca="1">_xlfn.CONCAT(B4844,A4864)</f>
        <v>F0DE30F-S</v>
      </c>
      <c r="C4864" s="17"/>
      <c r="D4864" s="184"/>
      <c r="E4864" s="197"/>
      <c r="F4864" s="19"/>
      <c r="G4864" s="20"/>
    </row>
    <row r="4865" spans="1:7">
      <c r="A4865" s="211" t="s">
        <v>503</v>
      </c>
      <c r="B4865" s="216" t="str">
        <f ca="1">_xlfn.CONCAT(B4844,A4865)</f>
        <v>F0DE30F-T</v>
      </c>
      <c r="C4865" s="17"/>
      <c r="D4865" s="184"/>
      <c r="E4865" s="197"/>
      <c r="F4865" s="19"/>
      <c r="G4865" s="20"/>
    </row>
    <row r="4866" spans="1:7" ht="14.25" thickBot="1">
      <c r="A4866" s="211" t="s">
        <v>504</v>
      </c>
      <c r="B4866" s="216" t="str">
        <f ca="1">_xlfn.CONCAT(B4844,A4866)</f>
        <v>F0DE30F-U</v>
      </c>
      <c r="C4866" s="17"/>
      <c r="D4866" s="184"/>
      <c r="E4866" s="197"/>
      <c r="F4866" s="19"/>
      <c r="G4866" s="20"/>
    </row>
    <row r="4867" spans="1:7" ht="14.25" thickBot="1">
      <c r="A4867" s="211" t="s">
        <v>505</v>
      </c>
      <c r="B4867" s="216" t="str">
        <f ca="1">_xlfn.CONCAT(B4844,A4867)</f>
        <v>F0DE30F-V</v>
      </c>
      <c r="C4867" s="17" t="s">
        <v>17</v>
      </c>
      <c r="D4867" s="192" t="s">
        <v>17</v>
      </c>
      <c r="E4867" s="18"/>
      <c r="F4867" s="22" t="s">
        <v>18</v>
      </c>
      <c r="G4867" s="23">
        <f>SUM(G4846:G4866)</f>
        <v>44452.450000000004</v>
      </c>
    </row>
    <row r="4868" spans="1:7" ht="15.75" thickBot="1">
      <c r="A4868" s="211" t="s">
        <v>506</v>
      </c>
      <c r="B4868" s="216" t="str">
        <f ca="1">_xlfn.CONCAT(B4844,A4868)</f>
        <v>F0DE30F-W</v>
      </c>
      <c r="C4868" s="10" t="s">
        <v>19</v>
      </c>
      <c r="D4868" s="190"/>
      <c r="E4868" s="11"/>
      <c r="F4868" s="12"/>
      <c r="G4868" s="13"/>
    </row>
    <row r="4869" spans="1:7" ht="14.25" thickBot="1">
      <c r="A4869" s="211" t="s">
        <v>507</v>
      </c>
      <c r="B4869" s="216" t="str">
        <f ca="1">_xlfn.CONCAT(B4844,A4869)</f>
        <v>F0DE30F-X</v>
      </c>
      <c r="C4869" s="14" t="s">
        <v>1</v>
      </c>
      <c r="D4869" s="15"/>
      <c r="E4869" s="15" t="s">
        <v>20</v>
      </c>
      <c r="F4869" s="16" t="s">
        <v>21</v>
      </c>
      <c r="G4869" s="15" t="s">
        <v>5</v>
      </c>
    </row>
    <row r="4870" spans="1:7">
      <c r="A4870" s="211" t="s">
        <v>508</v>
      </c>
      <c r="B4870" s="216" t="str">
        <f ca="1">_xlfn.CONCAT(B4844,A4870)</f>
        <v>F0DE30F-Y</v>
      </c>
      <c r="C4870" s="24" t="s">
        <v>22</v>
      </c>
      <c r="D4870" s="184"/>
      <c r="E4870" s="25">
        <f>_xlfn.XLOOKUP(C4870,'H-MO'!B$7:B$30,'H-MO'!D$7:D$30,,0,1)</f>
        <v>2436.5624999999995</v>
      </c>
      <c r="F4870" s="19">
        <v>0.5</v>
      </c>
      <c r="G4870" s="33">
        <f t="shared" ref="G4870:G4875" si="143">+E4870*F4870</f>
        <v>1218.2812499999998</v>
      </c>
    </row>
    <row r="4871" spans="1:7">
      <c r="A4871" s="211" t="s">
        <v>509</v>
      </c>
      <c r="B4871" s="216" t="str">
        <f ca="1">_xlfn.CONCAT(B4844,A4871)</f>
        <v>F0DE30F-Z</v>
      </c>
      <c r="C4871" s="24" t="s">
        <v>23</v>
      </c>
      <c r="D4871" s="184"/>
      <c r="E4871" s="25">
        <f>_xlfn.XLOOKUP(C4871,'H-MO'!B$7:B$30,'H-MO'!D$7:D$30,,0,1)</f>
        <v>1461.9374999999998</v>
      </c>
      <c r="F4871" s="19">
        <v>0.04</v>
      </c>
      <c r="G4871" s="33">
        <f t="shared" si="143"/>
        <v>58.477499999999992</v>
      </c>
    </row>
    <row r="4872" spans="1:7">
      <c r="A4872" s="211" t="s">
        <v>510</v>
      </c>
      <c r="B4872" s="216" t="str">
        <f ca="1">_xlfn.CONCAT(B4844,A4872)</f>
        <v>F0DE30F-aa</v>
      </c>
      <c r="C4872" s="24" t="s">
        <v>24</v>
      </c>
      <c r="D4872" s="185"/>
      <c r="E4872" s="25">
        <f>_xlfn.XLOOKUP(C4872,'H-MO'!B$7:B$30,'H-MO'!D$7:D$30,,0,1)</f>
        <v>29238.749999999996</v>
      </c>
      <c r="F4872" s="28">
        <v>0.1</v>
      </c>
      <c r="G4872" s="33">
        <f t="shared" si="143"/>
        <v>2923.875</v>
      </c>
    </row>
    <row r="4873" spans="1:7">
      <c r="A4873" s="211" t="s">
        <v>511</v>
      </c>
      <c r="B4873" s="216" t="str">
        <f ca="1">_xlfn.CONCAT(B4844,A4873)</f>
        <v>F0DE30F-ab</v>
      </c>
      <c r="C4873" s="24" t="s">
        <v>25</v>
      </c>
      <c r="D4873" s="185"/>
      <c r="E4873" s="25">
        <f>_xlfn.XLOOKUP(C4873,'H-MO'!B$7:B$30,'H-MO'!D$7:D$30,,0,1)</f>
        <v>2761.4374999999995</v>
      </c>
      <c r="F4873" s="28">
        <v>0.5</v>
      </c>
      <c r="G4873" s="33">
        <f t="shared" si="143"/>
        <v>1380.7187499999998</v>
      </c>
    </row>
    <row r="4874" spans="1:7">
      <c r="A4874" s="211" t="s">
        <v>512</v>
      </c>
      <c r="B4874" s="216" t="str">
        <f ca="1">_xlfn.CONCAT(B4844,A4874)</f>
        <v>F0DE30F-ac</v>
      </c>
      <c r="C4874" s="24"/>
      <c r="D4874" s="185"/>
      <c r="E4874" s="29"/>
      <c r="F4874" s="28"/>
      <c r="G4874" s="33">
        <f t="shared" si="143"/>
        <v>0</v>
      </c>
    </row>
    <row r="4875" spans="1:7" ht="14.25" thickBot="1">
      <c r="A4875" s="211" t="s">
        <v>513</v>
      </c>
      <c r="B4875" s="216" t="str">
        <f ca="1">_xlfn.CONCAT(B4844,A4875)</f>
        <v>F0DE30F-ad</v>
      </c>
      <c r="C4875" s="24"/>
      <c r="D4875" s="185"/>
      <c r="E4875" s="29"/>
      <c r="F4875" s="28"/>
      <c r="G4875" s="33">
        <f t="shared" si="143"/>
        <v>0</v>
      </c>
    </row>
    <row r="4876" spans="1:7" ht="14.25" thickBot="1">
      <c r="A4876" s="211" t="s">
        <v>514</v>
      </c>
      <c r="B4876" s="216" t="str">
        <f ca="1">_xlfn.CONCAT(B4844,A4876)</f>
        <v>F0DE30F-ae</v>
      </c>
      <c r="C4876" s="17"/>
      <c r="D4876" s="192"/>
      <c r="E4876" s="18"/>
      <c r="F4876" s="22" t="s">
        <v>26</v>
      </c>
      <c r="G4876" s="23">
        <f>SUM(G4870:G4875)</f>
        <v>5581.3525</v>
      </c>
    </row>
    <row r="4877" spans="1:7" ht="15.75" thickBot="1">
      <c r="A4877" s="211" t="s">
        <v>515</v>
      </c>
      <c r="B4877" s="216" t="str">
        <f ca="1">_xlfn.CONCAT(B4844,A4877)</f>
        <v>F0DE30F-af</v>
      </c>
      <c r="C4877" s="10" t="s">
        <v>27</v>
      </c>
      <c r="D4877" s="190"/>
      <c r="E4877" s="11"/>
      <c r="F4877" s="12"/>
      <c r="G4877" s="13"/>
    </row>
    <row r="4878" spans="1:7" ht="14.25" thickBot="1">
      <c r="A4878" s="211" t="s">
        <v>516</v>
      </c>
      <c r="B4878" s="216" t="str">
        <f ca="1">_xlfn.CONCAT(B4844,A4878)</f>
        <v>F0DE30F-ag</v>
      </c>
      <c r="C4878" s="14" t="s">
        <v>1</v>
      </c>
      <c r="D4878" s="15" t="s">
        <v>28</v>
      </c>
      <c r="E4878" s="15" t="s">
        <v>20</v>
      </c>
      <c r="F4878" s="16" t="s">
        <v>21</v>
      </c>
      <c r="G4878" s="15" t="s">
        <v>5</v>
      </c>
    </row>
    <row r="4879" spans="1:7">
      <c r="A4879" s="211" t="s">
        <v>517</v>
      </c>
      <c r="B4879" s="216" t="str">
        <f ca="1">_xlfn.CONCAT(B4844,A4879)</f>
        <v>F0DE30F-ah</v>
      </c>
      <c r="C4879" s="30" t="s">
        <v>29</v>
      </c>
      <c r="D4879" s="186">
        <f>'H-MO'!$N$77</f>
        <v>725918.52892505517</v>
      </c>
      <c r="E4879" s="31">
        <f>+D4879/8</f>
        <v>90739.816115631897</v>
      </c>
      <c r="F4879" s="32">
        <v>0.46960773146856288</v>
      </c>
      <c r="G4879" s="33">
        <f>+E4879*F4879</f>
        <v>42612.119199936438</v>
      </c>
    </row>
    <row r="4880" spans="1:7">
      <c r="A4880" s="211" t="s">
        <v>518</v>
      </c>
      <c r="B4880" s="216" t="str">
        <f ca="1">_xlfn.CONCAT(B4844,A4880)</f>
        <v>F0DE30F-ai</v>
      </c>
      <c r="C4880" s="34" t="s">
        <v>30</v>
      </c>
      <c r="D4880" s="187">
        <f>'H-MO'!$N$86</f>
        <v>685561.39085756091</v>
      </c>
      <c r="E4880" s="29">
        <f>+D4880/8</f>
        <v>85695.173857195114</v>
      </c>
      <c r="F4880" s="28">
        <v>0</v>
      </c>
      <c r="G4880" s="33">
        <f>+E4880*F4880</f>
        <v>0</v>
      </c>
    </row>
    <row r="4881" spans="1:8" ht="14.25" thickBot="1">
      <c r="A4881" s="211" t="s">
        <v>519</v>
      </c>
      <c r="B4881" s="216" t="str">
        <f ca="1">_xlfn.CONCAT(B4844,A4881)</f>
        <v>F0DE30F-aj</v>
      </c>
      <c r="C4881" s="34"/>
      <c r="D4881" s="187"/>
      <c r="E4881" s="29"/>
      <c r="F4881" s="28"/>
      <c r="G4881" s="33">
        <f>+E4881*F4881</f>
        <v>0</v>
      </c>
    </row>
    <row r="4882" spans="1:8" ht="14.25" thickBot="1">
      <c r="A4882" s="211" t="s">
        <v>520</v>
      </c>
      <c r="B4882" s="216" t="str">
        <f ca="1">_xlfn.CONCAT(B4844,A4882)</f>
        <v>F0DE30F-ak</v>
      </c>
      <c r="C4882" s="34"/>
      <c r="D4882" s="185"/>
      <c r="E4882" s="26"/>
      <c r="F4882" s="36" t="s">
        <v>31</v>
      </c>
      <c r="G4882" s="23">
        <f>SUM(G4879:G4881)</f>
        <v>42612.119199936438</v>
      </c>
    </row>
    <row r="4883" spans="1:8" ht="14.25" thickBot="1">
      <c r="A4883" s="211" t="s">
        <v>521</v>
      </c>
      <c r="B4883" s="216" t="str">
        <f ca="1">_xlfn.CONCAT(B4844,A4883)</f>
        <v>F0DE30F-al</v>
      </c>
      <c r="C4883" s="37"/>
      <c r="E4883" s="38"/>
      <c r="F4883" s="22"/>
      <c r="G4883" s="39"/>
    </row>
    <row r="4884" spans="1:8" ht="16.5" thickBot="1">
      <c r="A4884" s="211" t="s">
        <v>522</v>
      </c>
      <c r="B4884" s="216" t="str">
        <f ca="1">_xlfn.CONCAT(B4844,A4884)</f>
        <v>F0DE30F-am</v>
      </c>
      <c r="C4884" s="40"/>
      <c r="D4884" s="193"/>
      <c r="E4884" s="41"/>
      <c r="F4884" s="42"/>
      <c r="G4884" s="43">
        <f>+G4867+G4876+G4882</f>
        <v>92645.921699936443</v>
      </c>
    </row>
    <row r="4885" spans="1:8" ht="21.75" thickBot="1">
      <c r="B4885" s="212" t="s">
        <v>550</v>
      </c>
      <c r="C4885" s="2"/>
      <c r="D4885" s="183"/>
      <c r="F4885" s="4"/>
      <c r="G4885" s="5"/>
    </row>
    <row r="4886" spans="1:8" ht="18.75">
      <c r="A4886" s="213"/>
      <c r="B4886" s="214">
        <v>112</v>
      </c>
      <c r="C4886" s="242" t="str">
        <f ca="1">_xlfn.XLOOKUP(B4886,Cantidades!$A$10:$A$314,Cantidades!$C$10:$C$314,,0,1)</f>
        <v>Suministro e instalación de malla de puesta a tierra subestación. Incluye 4 varillas CW 5/8"x8', 40m de cable 2/0 Cu desnudo, soldaduras cadweld.</v>
      </c>
      <c r="D4886" s="243"/>
      <c r="E4886" s="243"/>
      <c r="F4886" s="243"/>
      <c r="G4886" s="244"/>
    </row>
    <row r="4887" spans="1:8" ht="19.5" thickBot="1">
      <c r="A4887" s="215"/>
      <c r="B4887" s="216" t="s">
        <v>550</v>
      </c>
      <c r="C4887" s="177"/>
      <c r="D4887" s="189"/>
      <c r="E4887" s="178"/>
      <c r="F4887" s="179" t="s">
        <v>636</v>
      </c>
      <c r="G4887" s="209" t="str">
        <f ca="1">B4888</f>
        <v>2382DBD0-</v>
      </c>
    </row>
    <row r="4888" spans="1:8" ht="15.75" thickBot="1">
      <c r="B4888" s="212" t="str">
        <f ca="1">_xlfn.XLOOKUP(C4886,Cantidades!$C$1:$C$314,Cantidades!$B$1:$B$314,"",0,1)</f>
        <v>2382DBD0-</v>
      </c>
      <c r="C4888" s="10" t="s">
        <v>0</v>
      </c>
      <c r="D4888" s="190"/>
      <c r="E4888" s="11"/>
      <c r="F4888" s="12"/>
      <c r="G4888" s="13"/>
    </row>
    <row r="4889" spans="1:8" ht="14.25" thickBot="1">
      <c r="A4889" s="215"/>
      <c r="B4889" s="216" t="s">
        <v>550</v>
      </c>
      <c r="C4889" s="14" t="s">
        <v>1</v>
      </c>
      <c r="D4889" s="15" t="s">
        <v>2</v>
      </c>
      <c r="E4889" s="15" t="s">
        <v>3</v>
      </c>
      <c r="F4889" s="16" t="s">
        <v>4</v>
      </c>
      <c r="G4889" s="15" t="s">
        <v>5</v>
      </c>
    </row>
    <row r="4890" spans="1:8">
      <c r="A4890" s="211" t="s">
        <v>484</v>
      </c>
      <c r="B4890" s="216" t="str">
        <f ca="1">_xlfn.CONCAT(B4888,A4890)</f>
        <v>2382DBD0-A</v>
      </c>
      <c r="C4890" s="17" t="str">
        <f>_xlfn.XLOOKUP(H4890,'Materiales unitario'!$A$1:$A$2500,'Materiales unitario'!B$1:B$2500,,0,1)</f>
        <v xml:space="preserve">Cable de cobre desnudo #2/0 AWG </v>
      </c>
      <c r="D4890" s="184" t="str">
        <f>_xlfn.XLOOKUP(H4890,'Materiales unitario'!A$1:A$2500,'Materiales unitario'!C$1:C$2500,,0,1)</f>
        <v>ml</v>
      </c>
      <c r="E4890" s="197">
        <f>_xlfn.XLOOKUP(H4890,'Materiales unitario'!$A$1:$A$2500,'Materiales unitario'!D$1:D$2500,,0,1)</f>
        <v>46870</v>
      </c>
      <c r="F4890" s="19">
        <v>45</v>
      </c>
      <c r="G4890" s="20">
        <f t="shared" ref="G4890:G4896" si="144">+E4890*F4890</f>
        <v>2109150</v>
      </c>
      <c r="H4890" s="211" t="s">
        <v>275</v>
      </c>
    </row>
    <row r="4891" spans="1:8">
      <c r="A4891" s="211" t="s">
        <v>485</v>
      </c>
      <c r="B4891" s="216" t="str">
        <f ca="1">_xlfn.CONCAT(B4888,A4891)</f>
        <v>2382DBD0-B</v>
      </c>
      <c r="C4891" s="17" t="str">
        <f>_xlfn.XLOOKUP(H4891,'Materiales unitario'!$A$1:$A$2500,'Materiales unitario'!B$1:B$2500,,0,1)</f>
        <v>Varilla de cobre ø5/8" X 2.40 mts - tierras</v>
      </c>
      <c r="D4891" s="184" t="str">
        <f>_xlfn.XLOOKUP(H4891,'Materiales unitario'!A$1:A$2500,'Materiales unitario'!C$1:C$2500,,0,1)</f>
        <v>un</v>
      </c>
      <c r="E4891" s="197">
        <f>_xlfn.XLOOKUP(H4891,'Materiales unitario'!$A$1:$A$2500,'Materiales unitario'!D$1:D$2500,,0,1)</f>
        <v>308445</v>
      </c>
      <c r="F4891" s="19">
        <v>4</v>
      </c>
      <c r="G4891" s="20">
        <f t="shared" si="144"/>
        <v>1233780</v>
      </c>
      <c r="H4891" s="211" t="s">
        <v>394</v>
      </c>
    </row>
    <row r="4892" spans="1:8">
      <c r="A4892" s="211" t="s">
        <v>486</v>
      </c>
      <c r="B4892" s="216" t="str">
        <f ca="1">_xlfn.CONCAT(B4888,A4892)</f>
        <v>2382DBD0-C</v>
      </c>
      <c r="C4892" s="17" t="str">
        <f>_xlfn.XLOOKUP(H4892,'Materiales unitario'!$A$1:$A$2500,'Materiales unitario'!B$1:B$2500,,0,1)</f>
        <v>Favigel (bulto de 25 Kgs)</v>
      </c>
      <c r="D4892" s="184" t="str">
        <f>_xlfn.XLOOKUP(H4892,'Materiales unitario'!A$1:A$2500,'Materiales unitario'!C$1:C$2500,,0,1)</f>
        <v>Kg.</v>
      </c>
      <c r="E4892" s="197">
        <f>_xlfn.XLOOKUP(H4892,'Materiales unitario'!$A$1:$A$2500,'Materiales unitario'!D$1:D$2500,,0,1)</f>
        <v>124600</v>
      </c>
      <c r="F4892" s="19">
        <v>4</v>
      </c>
      <c r="G4892" s="20">
        <f t="shared" si="144"/>
        <v>498400</v>
      </c>
      <c r="H4892" s="211" t="s">
        <v>322</v>
      </c>
    </row>
    <row r="4893" spans="1:8">
      <c r="A4893" s="211" t="s">
        <v>487</v>
      </c>
      <c r="B4893" s="216" t="str">
        <f ca="1">_xlfn.CONCAT(B4888,A4893)</f>
        <v>2382DBD0-D</v>
      </c>
      <c r="C4893" s="17" t="str">
        <f>_xlfn.XLOOKUP(H4893,'Materiales unitario'!$A$1:$A$2500,'Materiales unitario'!B$1:B$2500,,0,1)</f>
        <v>Soldadura Cadweld 115 gr.</v>
      </c>
      <c r="D4893" s="184" t="str">
        <f>_xlfn.XLOOKUP(H4893,'Materiales unitario'!A$1:A$2500,'Materiales unitario'!C$1:C$2500,,0,1)</f>
        <v>un</v>
      </c>
      <c r="E4893" s="197">
        <f>_xlfn.XLOOKUP(H4893,'Materiales unitario'!$A$1:$A$2500,'Materiales unitario'!D$1:D$2500,,0,1)</f>
        <v>20845</v>
      </c>
      <c r="F4893" s="19">
        <v>10</v>
      </c>
      <c r="G4893" s="20">
        <f t="shared" si="144"/>
        <v>208450</v>
      </c>
      <c r="H4893" s="211" t="s">
        <v>353</v>
      </c>
    </row>
    <row r="4894" spans="1:8">
      <c r="A4894" s="211" t="s">
        <v>488</v>
      </c>
      <c r="B4894" s="216" t="str">
        <f ca="1">_xlfn.CONCAT(B4888,A4894)</f>
        <v>2382DBD0-E</v>
      </c>
      <c r="C4894" s="17" t="str">
        <f>_xlfn.XLOOKUP(H4894,'Materiales unitario'!$A$1:$A$2500,'Materiales unitario'!B$1:B$2500,,0,1)</f>
        <v>Molde estandar en grafito + pinza  para soldadura</v>
      </c>
      <c r="D4894" s="184" t="str">
        <f>_xlfn.XLOOKUP(H4894,'Materiales unitario'!A$1:A$2500,'Materiales unitario'!C$1:C$2500,,0,1)</f>
        <v>jg</v>
      </c>
      <c r="E4894" s="197">
        <f>_xlfn.XLOOKUP(H4894,'Materiales unitario'!$A$1:$A$2500,'Materiales unitario'!D$1:D$2500,,0,1)</f>
        <v>256333</v>
      </c>
      <c r="F4894" s="19">
        <v>0.6</v>
      </c>
      <c r="G4894" s="20">
        <f t="shared" si="144"/>
        <v>153799.79999999999</v>
      </c>
      <c r="H4894" s="211" t="s">
        <v>340</v>
      </c>
    </row>
    <row r="4895" spans="1:8">
      <c r="A4895" s="211" t="s">
        <v>489</v>
      </c>
      <c r="B4895" s="216" t="str">
        <f ca="1">_xlfn.CONCAT(B4888,A4895)</f>
        <v>2382DBD0-F</v>
      </c>
      <c r="C4895" s="17" t="str">
        <f>_xlfn.XLOOKUP(H4895,'Materiales unitario'!$A$1:$A$2500,'Materiales unitario'!B$1:B$2500,,0,1)</f>
        <v>Accesorios de limpieza (Cepillo de alambre - Chispero)</v>
      </c>
      <c r="D4895" s="184" t="str">
        <f>_xlfn.XLOOKUP(H4895,'Materiales unitario'!A$1:A$2500,'Materiales unitario'!C$1:C$2500,,0,1)</f>
        <v>un</v>
      </c>
      <c r="E4895" s="197">
        <f>_xlfn.XLOOKUP(H4895,'Materiales unitario'!$A$1:$A$2500,'Materiales unitario'!D$1:D$2500,,0,1)</f>
        <v>12000</v>
      </c>
      <c r="F4895" s="19">
        <v>1</v>
      </c>
      <c r="G4895" s="20">
        <f t="shared" si="144"/>
        <v>12000</v>
      </c>
      <c r="H4895" s="211" t="s">
        <v>223</v>
      </c>
    </row>
    <row r="4896" spans="1:8">
      <c r="A4896" s="211" t="s">
        <v>490</v>
      </c>
      <c r="B4896" s="216" t="str">
        <f ca="1">_xlfn.CONCAT(B4888,A4896)</f>
        <v>2382DBD0-G</v>
      </c>
      <c r="C4896" s="17" t="str">
        <f>_xlfn.XLOOKUP(H4896,'Materiales unitario'!$A$1:$A$2500,'Materiales unitario'!B$1:B$2500,,0,1)</f>
        <v>Borna terminal estañada  de ojo tipo pala #2/0 AWG</v>
      </c>
      <c r="D4896" s="184" t="str">
        <f>_xlfn.XLOOKUP(H4896,'Materiales unitario'!A$1:A$2500,'Materiales unitario'!C$1:C$2500,,0,1)</f>
        <v>un</v>
      </c>
      <c r="E4896" s="197">
        <f>_xlfn.XLOOKUP(H4896,'Materiales unitario'!$A$1:$A$2500,'Materiales unitario'!D$1:D$2500,,0,1)</f>
        <v>7120</v>
      </c>
      <c r="F4896" s="19">
        <v>8</v>
      </c>
      <c r="G4896" s="20">
        <f t="shared" si="144"/>
        <v>56960</v>
      </c>
      <c r="H4896" s="211" t="s">
        <v>249</v>
      </c>
    </row>
    <row r="4897" spans="1:7">
      <c r="A4897" s="211" t="s">
        <v>491</v>
      </c>
      <c r="B4897" s="216" t="str">
        <f ca="1">_xlfn.CONCAT(B4888,A4897)</f>
        <v>2382DBD0-H</v>
      </c>
      <c r="C4897" s="17"/>
      <c r="D4897" s="184"/>
      <c r="E4897" s="197"/>
      <c r="F4897" s="19"/>
      <c r="G4897" s="20"/>
    </row>
    <row r="4898" spans="1:7">
      <c r="A4898" s="211" t="s">
        <v>492</v>
      </c>
      <c r="B4898" s="216" t="str">
        <f ca="1">_xlfn.CONCAT(B4888,A4898)</f>
        <v>2382DBD0-I</v>
      </c>
      <c r="C4898" s="17"/>
      <c r="D4898" s="184"/>
      <c r="E4898" s="197"/>
      <c r="F4898" s="19"/>
      <c r="G4898" s="20"/>
    </row>
    <row r="4899" spans="1:7">
      <c r="A4899" s="211" t="s">
        <v>493</v>
      </c>
      <c r="B4899" s="216" t="str">
        <f ca="1">_xlfn.CONCAT(B4888,A4899)</f>
        <v>2382DBD0-J</v>
      </c>
      <c r="C4899" s="17"/>
      <c r="D4899" s="184"/>
      <c r="E4899" s="197"/>
      <c r="F4899" s="19"/>
      <c r="G4899" s="20"/>
    </row>
    <row r="4900" spans="1:7">
      <c r="A4900" s="211" t="s">
        <v>494</v>
      </c>
      <c r="B4900" s="216" t="str">
        <f ca="1">_xlfn.CONCAT(B4888,A4900)</f>
        <v>2382DBD0-K</v>
      </c>
      <c r="C4900" s="17"/>
      <c r="D4900" s="184"/>
      <c r="E4900" s="197"/>
      <c r="F4900" s="19"/>
      <c r="G4900" s="20"/>
    </row>
    <row r="4901" spans="1:7">
      <c r="A4901" s="211" t="s">
        <v>495</v>
      </c>
      <c r="B4901" s="216" t="str">
        <f ca="1">_xlfn.CONCAT(B4888,A4901)</f>
        <v>2382DBD0-L</v>
      </c>
      <c r="C4901" s="17"/>
      <c r="D4901" s="184"/>
      <c r="E4901" s="197"/>
      <c r="F4901" s="19"/>
      <c r="G4901" s="20"/>
    </row>
    <row r="4902" spans="1:7">
      <c r="A4902" s="211" t="s">
        <v>496</v>
      </c>
      <c r="B4902" s="216" t="str">
        <f ca="1">_xlfn.CONCAT(B4888,A4902)</f>
        <v>2382DBD0-M</v>
      </c>
      <c r="C4902" s="17"/>
      <c r="D4902" s="184"/>
      <c r="E4902" s="197"/>
      <c r="F4902" s="19"/>
      <c r="G4902" s="20"/>
    </row>
    <row r="4903" spans="1:7">
      <c r="A4903" s="211" t="s">
        <v>497</v>
      </c>
      <c r="B4903" s="216" t="str">
        <f ca="1">_xlfn.CONCAT(B4888,A4903)</f>
        <v>2382DBD0-N</v>
      </c>
      <c r="C4903" s="17"/>
      <c r="D4903" s="184"/>
      <c r="E4903" s="197"/>
      <c r="F4903" s="19"/>
      <c r="G4903" s="20"/>
    </row>
    <row r="4904" spans="1:7">
      <c r="A4904" s="211" t="s">
        <v>498</v>
      </c>
      <c r="B4904" s="216" t="str">
        <f ca="1">_xlfn.CONCAT(B4888,A4904)</f>
        <v>2382DBD0-O</v>
      </c>
      <c r="C4904" s="17"/>
      <c r="D4904" s="184"/>
      <c r="E4904" s="197"/>
      <c r="F4904" s="19"/>
      <c r="G4904" s="20"/>
    </row>
    <row r="4905" spans="1:7">
      <c r="A4905" s="211" t="s">
        <v>499</v>
      </c>
      <c r="B4905" s="216" t="str">
        <f ca="1">_xlfn.CONCAT(B4888,A4905)</f>
        <v>2382DBD0-P</v>
      </c>
      <c r="C4905" s="17"/>
      <c r="D4905" s="184"/>
      <c r="E4905" s="197"/>
      <c r="F4905" s="19"/>
      <c r="G4905" s="20"/>
    </row>
    <row r="4906" spans="1:7">
      <c r="A4906" s="211" t="s">
        <v>500</v>
      </c>
      <c r="B4906" s="216" t="str">
        <f ca="1">_xlfn.CONCAT(B4888,A4906)</f>
        <v>2382DBD0-Q</v>
      </c>
      <c r="C4906" s="17"/>
      <c r="D4906" s="184"/>
      <c r="E4906" s="197"/>
      <c r="F4906" s="19"/>
      <c r="G4906" s="20"/>
    </row>
    <row r="4907" spans="1:7">
      <c r="A4907" s="211" t="s">
        <v>501</v>
      </c>
      <c r="B4907" s="216" t="str">
        <f ca="1">_xlfn.CONCAT(B4888,A4907)</f>
        <v>2382DBD0-R</v>
      </c>
      <c r="C4907" s="17"/>
      <c r="D4907" s="184"/>
      <c r="E4907" s="197"/>
      <c r="F4907" s="19"/>
      <c r="G4907" s="20"/>
    </row>
    <row r="4908" spans="1:7">
      <c r="A4908" s="211" t="s">
        <v>502</v>
      </c>
      <c r="B4908" s="216" t="str">
        <f ca="1">_xlfn.CONCAT(B4888,A4908)</f>
        <v>2382DBD0-S</v>
      </c>
      <c r="C4908" s="17"/>
      <c r="D4908" s="184"/>
      <c r="E4908" s="197"/>
      <c r="F4908" s="19"/>
      <c r="G4908" s="20"/>
    </row>
    <row r="4909" spans="1:7">
      <c r="A4909" s="211" t="s">
        <v>503</v>
      </c>
      <c r="B4909" s="216" t="str">
        <f ca="1">_xlfn.CONCAT(B4888,A4909)</f>
        <v>2382DBD0-T</v>
      </c>
      <c r="C4909" s="17"/>
      <c r="D4909" s="184"/>
      <c r="E4909" s="197"/>
      <c r="F4909" s="19"/>
      <c r="G4909" s="20"/>
    </row>
    <row r="4910" spans="1:7" ht="14.25" thickBot="1">
      <c r="A4910" s="211" t="s">
        <v>504</v>
      </c>
      <c r="B4910" s="216" t="str">
        <f ca="1">_xlfn.CONCAT(B4888,A4910)</f>
        <v>2382DBD0-U</v>
      </c>
      <c r="C4910" s="17"/>
      <c r="D4910" s="184"/>
      <c r="E4910" s="197"/>
      <c r="F4910" s="19"/>
      <c r="G4910" s="20"/>
    </row>
    <row r="4911" spans="1:7" ht="14.25" thickBot="1">
      <c r="A4911" s="211" t="s">
        <v>505</v>
      </c>
      <c r="B4911" s="216" t="str">
        <f ca="1">_xlfn.CONCAT(B4888,A4911)</f>
        <v>2382DBD0-V</v>
      </c>
      <c r="C4911" s="17" t="s">
        <v>17</v>
      </c>
      <c r="D4911" s="192" t="s">
        <v>17</v>
      </c>
      <c r="E4911" s="18"/>
      <c r="F4911" s="22" t="s">
        <v>18</v>
      </c>
      <c r="G4911" s="23">
        <f>SUM(G4890:G4910)</f>
        <v>4272539.8</v>
      </c>
    </row>
    <row r="4912" spans="1:7" ht="15.75" thickBot="1">
      <c r="A4912" s="211" t="s">
        <v>506</v>
      </c>
      <c r="B4912" s="216" t="str">
        <f ca="1">_xlfn.CONCAT(B4888,A4912)</f>
        <v>2382DBD0-W</v>
      </c>
      <c r="C4912" s="10" t="s">
        <v>19</v>
      </c>
      <c r="D4912" s="190"/>
      <c r="E4912" s="11"/>
      <c r="F4912" s="12"/>
      <c r="G4912" s="13"/>
    </row>
    <row r="4913" spans="1:7" ht="14.25" thickBot="1">
      <c r="A4913" s="211" t="s">
        <v>507</v>
      </c>
      <c r="B4913" s="216" t="str">
        <f ca="1">_xlfn.CONCAT(B4888,A4913)</f>
        <v>2382DBD0-X</v>
      </c>
      <c r="C4913" s="14" t="s">
        <v>1</v>
      </c>
      <c r="D4913" s="15"/>
      <c r="E4913" s="15" t="s">
        <v>20</v>
      </c>
      <c r="F4913" s="16" t="s">
        <v>21</v>
      </c>
      <c r="G4913" s="15" t="s">
        <v>5</v>
      </c>
    </row>
    <row r="4914" spans="1:7">
      <c r="A4914" s="211" t="s">
        <v>508</v>
      </c>
      <c r="B4914" s="216" t="str">
        <f ca="1">_xlfn.CONCAT(B4888,A4914)</f>
        <v>2382DBD0-Y</v>
      </c>
      <c r="C4914" s="24" t="s">
        <v>22</v>
      </c>
      <c r="D4914" s="184"/>
      <c r="E4914" s="25">
        <f>_xlfn.XLOOKUP(C4914,'H-MO'!B$7:B$30,'H-MO'!D$7:D$30,,0,1)</f>
        <v>2436.5624999999995</v>
      </c>
      <c r="F4914" s="19">
        <v>6</v>
      </c>
      <c r="G4914" s="33">
        <f t="shared" ref="G4914:G4919" si="145">+E4914*F4914</f>
        <v>14619.374999999996</v>
      </c>
    </row>
    <row r="4915" spans="1:7">
      <c r="A4915" s="211" t="s">
        <v>509</v>
      </c>
      <c r="B4915" s="216" t="str">
        <f ca="1">_xlfn.CONCAT(B4888,A4915)</f>
        <v>2382DBD0-Z</v>
      </c>
      <c r="C4915" s="24" t="s">
        <v>23</v>
      </c>
      <c r="D4915" s="184"/>
      <c r="E4915" s="25">
        <f>_xlfn.XLOOKUP(C4915,'H-MO'!B$7:B$30,'H-MO'!D$7:D$30,,0,1)</f>
        <v>1461.9374999999998</v>
      </c>
      <c r="F4915" s="19">
        <v>2</v>
      </c>
      <c r="G4915" s="33">
        <f t="shared" si="145"/>
        <v>2923.8749999999995</v>
      </c>
    </row>
    <row r="4916" spans="1:7">
      <c r="A4916" s="211" t="s">
        <v>510</v>
      </c>
      <c r="B4916" s="216" t="str">
        <f ca="1">_xlfn.CONCAT(B4888,A4916)</f>
        <v>2382DBD0-aa</v>
      </c>
      <c r="C4916" s="24" t="s">
        <v>24</v>
      </c>
      <c r="D4916" s="185"/>
      <c r="E4916" s="25">
        <f>_xlfn.XLOOKUP(C4916,'H-MO'!B$7:B$30,'H-MO'!D$7:D$30,,0,1)</f>
        <v>29238.749999999996</v>
      </c>
      <c r="F4916" s="28">
        <v>1.5</v>
      </c>
      <c r="G4916" s="33">
        <f t="shared" si="145"/>
        <v>43858.124999999993</v>
      </c>
    </row>
    <row r="4917" spans="1:7">
      <c r="A4917" s="211" t="s">
        <v>511</v>
      </c>
      <c r="B4917" s="216" t="str">
        <f ca="1">_xlfn.CONCAT(B4888,A4917)</f>
        <v>2382DBD0-ab</v>
      </c>
      <c r="C4917" s="24" t="s">
        <v>25</v>
      </c>
      <c r="D4917" s="185"/>
      <c r="E4917" s="25">
        <f>_xlfn.XLOOKUP(C4917,'H-MO'!B$7:B$30,'H-MO'!D$7:D$30,,0,1)</f>
        <v>2761.4374999999995</v>
      </c>
      <c r="F4917" s="28">
        <v>1</v>
      </c>
      <c r="G4917" s="33">
        <f t="shared" si="145"/>
        <v>2761.4374999999995</v>
      </c>
    </row>
    <row r="4918" spans="1:7">
      <c r="A4918" s="211" t="s">
        <v>512</v>
      </c>
      <c r="B4918" s="216" t="str">
        <f ca="1">_xlfn.CONCAT(B4888,A4918)</f>
        <v>2382DBD0-ac</v>
      </c>
      <c r="C4918" s="24"/>
      <c r="D4918" s="185"/>
      <c r="E4918" s="29"/>
      <c r="F4918" s="28"/>
      <c r="G4918" s="33">
        <f t="shared" si="145"/>
        <v>0</v>
      </c>
    </row>
    <row r="4919" spans="1:7" ht="14.25" thickBot="1">
      <c r="A4919" s="211" t="s">
        <v>513</v>
      </c>
      <c r="B4919" s="216" t="str">
        <f ca="1">_xlfn.CONCAT(B4888,A4919)</f>
        <v>2382DBD0-ad</v>
      </c>
      <c r="C4919" s="24"/>
      <c r="D4919" s="185"/>
      <c r="E4919" s="29"/>
      <c r="F4919" s="28"/>
      <c r="G4919" s="33">
        <f t="shared" si="145"/>
        <v>0</v>
      </c>
    </row>
    <row r="4920" spans="1:7" ht="14.25" thickBot="1">
      <c r="A4920" s="211" t="s">
        <v>514</v>
      </c>
      <c r="B4920" s="216" t="str">
        <f ca="1">_xlfn.CONCAT(B4888,A4920)</f>
        <v>2382DBD0-ae</v>
      </c>
      <c r="C4920" s="17"/>
      <c r="D4920" s="192"/>
      <c r="E4920" s="18"/>
      <c r="F4920" s="22" t="s">
        <v>26</v>
      </c>
      <c r="G4920" s="23">
        <f>SUM(G4914:G4919)</f>
        <v>64162.812499999985</v>
      </c>
    </row>
    <row r="4921" spans="1:7" ht="15.75" thickBot="1">
      <c r="A4921" s="211" t="s">
        <v>515</v>
      </c>
      <c r="B4921" s="216" t="str">
        <f ca="1">_xlfn.CONCAT(B4888,A4921)</f>
        <v>2382DBD0-af</v>
      </c>
      <c r="C4921" s="10" t="s">
        <v>27</v>
      </c>
      <c r="D4921" s="190"/>
      <c r="E4921" s="11"/>
      <c r="F4921" s="12"/>
      <c r="G4921" s="13"/>
    </row>
    <row r="4922" spans="1:7" ht="14.25" thickBot="1">
      <c r="A4922" s="211" t="s">
        <v>516</v>
      </c>
      <c r="B4922" s="216" t="str">
        <f ca="1">_xlfn.CONCAT(B4888,A4922)</f>
        <v>2382DBD0-ag</v>
      </c>
      <c r="C4922" s="14" t="s">
        <v>1</v>
      </c>
      <c r="D4922" s="15" t="s">
        <v>28</v>
      </c>
      <c r="E4922" s="15" t="s">
        <v>20</v>
      </c>
      <c r="F4922" s="16" t="s">
        <v>21</v>
      </c>
      <c r="G4922" s="15" t="s">
        <v>5</v>
      </c>
    </row>
    <row r="4923" spans="1:7">
      <c r="A4923" s="211" t="s">
        <v>517</v>
      </c>
      <c r="B4923" s="216" t="str">
        <f ca="1">_xlfn.CONCAT(B4888,A4923)</f>
        <v>2382DBD0-ah</v>
      </c>
      <c r="C4923" s="30" t="s">
        <v>29</v>
      </c>
      <c r="D4923" s="186">
        <f>'H-MO'!$N$77</f>
        <v>725918.52892505517</v>
      </c>
      <c r="E4923" s="31">
        <f>+D4923/8</f>
        <v>90739.816115631897</v>
      </c>
      <c r="F4923" s="32">
        <v>9</v>
      </c>
      <c r="G4923" s="33">
        <f>+E4923*F4923</f>
        <v>816658.34504068713</v>
      </c>
    </row>
    <row r="4924" spans="1:7">
      <c r="A4924" s="211" t="s">
        <v>518</v>
      </c>
      <c r="B4924" s="216" t="str">
        <f ca="1">_xlfn.CONCAT(B4888,A4924)</f>
        <v>2382DBD0-ai</v>
      </c>
      <c r="C4924" s="34" t="s">
        <v>30</v>
      </c>
      <c r="D4924" s="187">
        <f>'H-MO'!$N$86</f>
        <v>685561.39085756091</v>
      </c>
      <c r="E4924" s="29">
        <f>+D4924/8</f>
        <v>85695.173857195114</v>
      </c>
      <c r="F4924" s="28">
        <v>0</v>
      </c>
      <c r="G4924" s="33">
        <f>+E4924*F4924</f>
        <v>0</v>
      </c>
    </row>
    <row r="4925" spans="1:7" ht="14.25" thickBot="1">
      <c r="A4925" s="211" t="s">
        <v>519</v>
      </c>
      <c r="B4925" s="216" t="str">
        <f ca="1">_xlfn.CONCAT(B4888,A4925)</f>
        <v>2382DBD0-aj</v>
      </c>
      <c r="C4925" s="34"/>
      <c r="D4925" s="187"/>
      <c r="E4925" s="29"/>
      <c r="F4925" s="28"/>
      <c r="G4925" s="33">
        <f>+E4925*F4925</f>
        <v>0</v>
      </c>
    </row>
    <row r="4926" spans="1:7" ht="14.25" thickBot="1">
      <c r="A4926" s="211" t="s">
        <v>520</v>
      </c>
      <c r="B4926" s="216" t="str">
        <f ca="1">_xlfn.CONCAT(B4888,A4926)</f>
        <v>2382DBD0-ak</v>
      </c>
      <c r="C4926" s="34"/>
      <c r="D4926" s="185"/>
      <c r="E4926" s="26"/>
      <c r="F4926" s="36" t="s">
        <v>31</v>
      </c>
      <c r="G4926" s="23">
        <f>SUM(G4923:G4925)</f>
        <v>816658.34504068713</v>
      </c>
    </row>
    <row r="4927" spans="1:7" ht="14.25" thickBot="1">
      <c r="A4927" s="211" t="s">
        <v>521</v>
      </c>
      <c r="B4927" s="216" t="str">
        <f ca="1">_xlfn.CONCAT(B4888,A4927)</f>
        <v>2382DBD0-al</v>
      </c>
      <c r="C4927" s="37"/>
      <c r="E4927" s="38"/>
      <c r="F4927" s="22"/>
      <c r="G4927" s="39"/>
    </row>
    <row r="4928" spans="1:7" ht="16.5" thickBot="1">
      <c r="A4928" s="211" t="s">
        <v>522</v>
      </c>
      <c r="B4928" s="216" t="str">
        <f ca="1">_xlfn.CONCAT(B4888,A4928)</f>
        <v>2382DBD0-am</v>
      </c>
      <c r="C4928" s="40"/>
      <c r="D4928" s="193"/>
      <c r="E4928" s="41"/>
      <c r="F4928" s="42"/>
      <c r="G4928" s="43">
        <f>+G4911+G4920+G4926</f>
        <v>5153360.9575406872</v>
      </c>
    </row>
    <row r="4929" spans="1:8" ht="21.75" thickBot="1">
      <c r="B4929" s="212" t="s">
        <v>550</v>
      </c>
      <c r="C4929" s="2"/>
      <c r="D4929" s="183"/>
      <c r="F4929" s="4"/>
      <c r="G4929" s="5"/>
    </row>
    <row r="4930" spans="1:8" ht="18.75">
      <c r="A4930" s="213"/>
      <c r="B4930" s="214">
        <v>113</v>
      </c>
      <c r="C4930" s="242" t="str">
        <f ca="1">_xlfn.XLOOKUP(B4930,Cantidades!$A$10:$A$314,Cantidades!$C$10:$C$314,,0,1)</f>
        <v>Suministro e instalación cable 2/0 Cu desnudo.</v>
      </c>
      <c r="D4930" s="243"/>
      <c r="E4930" s="243"/>
      <c r="F4930" s="243"/>
      <c r="G4930" s="244"/>
    </row>
    <row r="4931" spans="1:8" ht="19.5" thickBot="1">
      <c r="A4931" s="215"/>
      <c r="B4931" s="216" t="s">
        <v>550</v>
      </c>
      <c r="C4931" s="177"/>
      <c r="D4931" s="189"/>
      <c r="E4931" s="178"/>
      <c r="F4931" s="179" t="s">
        <v>636</v>
      </c>
      <c r="G4931" s="209" t="str">
        <f ca="1">B4932</f>
        <v>2E017F27-</v>
      </c>
    </row>
    <row r="4932" spans="1:8" ht="15.75" thickBot="1">
      <c r="B4932" s="212" t="str">
        <f ca="1">_xlfn.XLOOKUP(C4930,Cantidades!$C$1:$C$314,Cantidades!$B$1:$B$314,"",0,1)</f>
        <v>2E017F27-</v>
      </c>
      <c r="C4932" s="10" t="s">
        <v>0</v>
      </c>
      <c r="D4932" s="190"/>
      <c r="E4932" s="11"/>
      <c r="F4932" s="12"/>
      <c r="G4932" s="13"/>
    </row>
    <row r="4933" spans="1:8" ht="14.25" thickBot="1">
      <c r="A4933" s="215"/>
      <c r="B4933" s="216" t="s">
        <v>550</v>
      </c>
      <c r="C4933" s="14" t="s">
        <v>1</v>
      </c>
      <c r="D4933" s="15" t="s">
        <v>2</v>
      </c>
      <c r="E4933" s="15" t="s">
        <v>3</v>
      </c>
      <c r="F4933" s="16" t="s">
        <v>4</v>
      </c>
      <c r="G4933" s="15" t="s">
        <v>5</v>
      </c>
    </row>
    <row r="4934" spans="1:8">
      <c r="A4934" s="211" t="s">
        <v>484</v>
      </c>
      <c r="B4934" s="216" t="str">
        <f ca="1">_xlfn.CONCAT(B4932,A4934)</f>
        <v>2E017F27-A</v>
      </c>
      <c r="C4934" s="17" t="str">
        <f>_xlfn.XLOOKUP(H4934,'Materiales unitario'!$A$1:$A$2500,'Materiales unitario'!B$1:B$2500,,0,1)</f>
        <v xml:space="preserve">Cable de cobre desnudo #2/0 AWG </v>
      </c>
      <c r="D4934" s="184" t="str">
        <f>_xlfn.XLOOKUP(H4934,'Materiales unitario'!A$1:A$2500,'Materiales unitario'!C$1:C$2500,,0,1)</f>
        <v>ml</v>
      </c>
      <c r="E4934" s="197">
        <f>_xlfn.XLOOKUP(H4934,'Materiales unitario'!$A$1:$A$2500,'Materiales unitario'!D$1:D$2500,,0,1)</f>
        <v>46870</v>
      </c>
      <c r="F4934" s="19">
        <v>1.05</v>
      </c>
      <c r="G4934" s="20">
        <f>+E4934*F4934</f>
        <v>49213.5</v>
      </c>
      <c r="H4934" s="211" t="s">
        <v>275</v>
      </c>
    </row>
    <row r="4935" spans="1:8">
      <c r="A4935" s="211" t="s">
        <v>485</v>
      </c>
      <c r="B4935" s="216" t="str">
        <f ca="1">_xlfn.CONCAT(B4932,A4935)</f>
        <v>2E017F27-B</v>
      </c>
      <c r="C4935" s="17" t="str">
        <f>_xlfn.XLOOKUP(H4935,'Materiales unitario'!$A$1:$A$2500,'Materiales unitario'!B$1:B$2500,,0,1)</f>
        <v>Borna terminal estañada  de ojo tipo pala #2/0 AWG</v>
      </c>
      <c r="D4935" s="184" t="str">
        <f>_xlfn.XLOOKUP(H4935,'Materiales unitario'!A$1:A$2500,'Materiales unitario'!C$1:C$2500,,0,1)</f>
        <v>un</v>
      </c>
      <c r="E4935" s="197">
        <f>_xlfn.XLOOKUP(H4935,'Materiales unitario'!$A$1:$A$2500,'Materiales unitario'!D$1:D$2500,,0,1)</f>
        <v>7120</v>
      </c>
      <c r="F4935" s="19">
        <v>0.1</v>
      </c>
      <c r="G4935" s="20">
        <f>+E4935*F4935</f>
        <v>712</v>
      </c>
      <c r="H4935" s="211" t="s">
        <v>249</v>
      </c>
    </row>
    <row r="4936" spans="1:8">
      <c r="A4936" s="211" t="s">
        <v>486</v>
      </c>
      <c r="B4936" s="216" t="str">
        <f ca="1">_xlfn.CONCAT(B4932,A4936)</f>
        <v>2E017F27-C</v>
      </c>
      <c r="C4936" s="17"/>
      <c r="D4936" s="184"/>
      <c r="E4936" s="197"/>
      <c r="F4936" s="19"/>
      <c r="G4936" s="20"/>
    </row>
    <row r="4937" spans="1:8">
      <c r="A4937" s="211" t="s">
        <v>487</v>
      </c>
      <c r="B4937" s="216" t="str">
        <f ca="1">_xlfn.CONCAT(B4932,A4937)</f>
        <v>2E017F27-D</v>
      </c>
      <c r="C4937" s="17"/>
      <c r="D4937" s="184"/>
      <c r="E4937" s="197"/>
      <c r="F4937" s="19"/>
      <c r="G4937" s="20"/>
    </row>
    <row r="4938" spans="1:8">
      <c r="A4938" s="211" t="s">
        <v>488</v>
      </c>
      <c r="B4938" s="216" t="str">
        <f ca="1">_xlfn.CONCAT(B4932,A4938)</f>
        <v>2E017F27-E</v>
      </c>
      <c r="C4938" s="17"/>
      <c r="D4938" s="184"/>
      <c r="E4938" s="197"/>
      <c r="F4938" s="19"/>
      <c r="G4938" s="20"/>
    </row>
    <row r="4939" spans="1:8">
      <c r="A4939" s="211" t="s">
        <v>489</v>
      </c>
      <c r="B4939" s="216" t="str">
        <f ca="1">_xlfn.CONCAT(B4932,A4939)</f>
        <v>2E017F27-F</v>
      </c>
      <c r="C4939" s="17"/>
      <c r="D4939" s="184"/>
      <c r="E4939" s="197"/>
      <c r="F4939" s="19"/>
      <c r="G4939" s="20"/>
    </row>
    <row r="4940" spans="1:8">
      <c r="A4940" s="211" t="s">
        <v>490</v>
      </c>
      <c r="B4940" s="216" t="str">
        <f ca="1">_xlfn.CONCAT(B4932,A4940)</f>
        <v>2E017F27-G</v>
      </c>
      <c r="C4940" s="17"/>
      <c r="D4940" s="184"/>
      <c r="E4940" s="197"/>
      <c r="F4940" s="19"/>
      <c r="G4940" s="20"/>
    </row>
    <row r="4941" spans="1:8">
      <c r="A4941" s="211" t="s">
        <v>491</v>
      </c>
      <c r="B4941" s="216" t="str">
        <f ca="1">_xlfn.CONCAT(B4932,A4941)</f>
        <v>2E017F27-H</v>
      </c>
      <c r="C4941" s="17"/>
      <c r="D4941" s="184"/>
      <c r="E4941" s="197"/>
      <c r="F4941" s="19"/>
      <c r="G4941" s="20"/>
    </row>
    <row r="4942" spans="1:8">
      <c r="A4942" s="211" t="s">
        <v>492</v>
      </c>
      <c r="B4942" s="216" t="str">
        <f ca="1">_xlfn.CONCAT(B4932,A4942)</f>
        <v>2E017F27-I</v>
      </c>
      <c r="C4942" s="17"/>
      <c r="D4942" s="184"/>
      <c r="E4942" s="197"/>
      <c r="F4942" s="19"/>
      <c r="G4942" s="20"/>
    </row>
    <row r="4943" spans="1:8">
      <c r="A4943" s="211" t="s">
        <v>493</v>
      </c>
      <c r="B4943" s="216" t="str">
        <f ca="1">_xlfn.CONCAT(B4932,A4943)</f>
        <v>2E017F27-J</v>
      </c>
      <c r="C4943" s="17"/>
      <c r="D4943" s="184"/>
      <c r="E4943" s="197"/>
      <c r="F4943" s="19"/>
      <c r="G4943" s="20"/>
    </row>
    <row r="4944" spans="1:8">
      <c r="A4944" s="211" t="s">
        <v>494</v>
      </c>
      <c r="B4944" s="216" t="str">
        <f ca="1">_xlfn.CONCAT(B4932,A4944)</f>
        <v>2E017F27-K</v>
      </c>
      <c r="C4944" s="17"/>
      <c r="D4944" s="184"/>
      <c r="E4944" s="197"/>
      <c r="F4944" s="19"/>
      <c r="G4944" s="20"/>
    </row>
    <row r="4945" spans="1:7">
      <c r="A4945" s="211" t="s">
        <v>495</v>
      </c>
      <c r="B4945" s="216" t="str">
        <f ca="1">_xlfn.CONCAT(B4932,A4945)</f>
        <v>2E017F27-L</v>
      </c>
      <c r="C4945" s="17"/>
      <c r="D4945" s="184"/>
      <c r="E4945" s="197"/>
      <c r="F4945" s="19"/>
      <c r="G4945" s="20"/>
    </row>
    <row r="4946" spans="1:7">
      <c r="A4946" s="211" t="s">
        <v>496</v>
      </c>
      <c r="B4946" s="216" t="str">
        <f ca="1">_xlfn.CONCAT(B4932,A4946)</f>
        <v>2E017F27-M</v>
      </c>
      <c r="C4946" s="17"/>
      <c r="D4946" s="184"/>
      <c r="E4946" s="197"/>
      <c r="F4946" s="19"/>
      <c r="G4946" s="20"/>
    </row>
    <row r="4947" spans="1:7">
      <c r="A4947" s="211" t="s">
        <v>497</v>
      </c>
      <c r="B4947" s="216" t="str">
        <f ca="1">_xlfn.CONCAT(B4932,A4947)</f>
        <v>2E017F27-N</v>
      </c>
      <c r="C4947" s="17"/>
      <c r="D4947" s="184"/>
      <c r="E4947" s="197"/>
      <c r="F4947" s="19"/>
      <c r="G4947" s="20"/>
    </row>
    <row r="4948" spans="1:7">
      <c r="A4948" s="211" t="s">
        <v>498</v>
      </c>
      <c r="B4948" s="216" t="str">
        <f ca="1">_xlfn.CONCAT(B4932,A4948)</f>
        <v>2E017F27-O</v>
      </c>
      <c r="C4948" s="17"/>
      <c r="D4948" s="184"/>
      <c r="E4948" s="197"/>
      <c r="F4948" s="19"/>
      <c r="G4948" s="20"/>
    </row>
    <row r="4949" spans="1:7">
      <c r="A4949" s="211" t="s">
        <v>499</v>
      </c>
      <c r="B4949" s="216" t="str">
        <f ca="1">_xlfn.CONCAT(B4932,A4949)</f>
        <v>2E017F27-P</v>
      </c>
      <c r="C4949" s="17"/>
      <c r="D4949" s="184"/>
      <c r="E4949" s="197"/>
      <c r="F4949" s="19"/>
      <c r="G4949" s="20"/>
    </row>
    <row r="4950" spans="1:7">
      <c r="A4950" s="211" t="s">
        <v>500</v>
      </c>
      <c r="B4950" s="216" t="str">
        <f ca="1">_xlfn.CONCAT(B4932,A4950)</f>
        <v>2E017F27-Q</v>
      </c>
      <c r="C4950" s="17"/>
      <c r="D4950" s="184"/>
      <c r="E4950" s="197"/>
      <c r="F4950" s="19"/>
      <c r="G4950" s="20"/>
    </row>
    <row r="4951" spans="1:7">
      <c r="A4951" s="211" t="s">
        <v>501</v>
      </c>
      <c r="B4951" s="216" t="str">
        <f ca="1">_xlfn.CONCAT(B4932,A4951)</f>
        <v>2E017F27-R</v>
      </c>
      <c r="C4951" s="17"/>
      <c r="D4951" s="184"/>
      <c r="E4951" s="197"/>
      <c r="F4951" s="19"/>
      <c r="G4951" s="20"/>
    </row>
    <row r="4952" spans="1:7">
      <c r="A4952" s="211" t="s">
        <v>502</v>
      </c>
      <c r="B4952" s="216" t="str">
        <f ca="1">_xlfn.CONCAT(B4932,A4952)</f>
        <v>2E017F27-S</v>
      </c>
      <c r="C4952" s="17"/>
      <c r="D4952" s="184"/>
      <c r="E4952" s="197"/>
      <c r="F4952" s="19"/>
      <c r="G4952" s="20"/>
    </row>
    <row r="4953" spans="1:7">
      <c r="A4953" s="211" t="s">
        <v>503</v>
      </c>
      <c r="B4953" s="216" t="str">
        <f ca="1">_xlfn.CONCAT(B4932,A4953)</f>
        <v>2E017F27-T</v>
      </c>
      <c r="C4953" s="17"/>
      <c r="D4953" s="184"/>
      <c r="E4953" s="197"/>
      <c r="F4953" s="19"/>
      <c r="G4953" s="20"/>
    </row>
    <row r="4954" spans="1:7" ht="14.25" thickBot="1">
      <c r="A4954" s="211" t="s">
        <v>504</v>
      </c>
      <c r="B4954" s="216" t="str">
        <f ca="1">_xlfn.CONCAT(B4932,A4954)</f>
        <v>2E017F27-U</v>
      </c>
      <c r="C4954" s="17"/>
      <c r="D4954" s="184"/>
      <c r="E4954" s="197"/>
      <c r="F4954" s="19"/>
      <c r="G4954" s="20"/>
    </row>
    <row r="4955" spans="1:7" ht="14.25" thickBot="1">
      <c r="A4955" s="211" t="s">
        <v>505</v>
      </c>
      <c r="B4955" s="216" t="str">
        <f ca="1">_xlfn.CONCAT(B4932,A4955)</f>
        <v>2E017F27-V</v>
      </c>
      <c r="C4955" s="17" t="s">
        <v>17</v>
      </c>
      <c r="D4955" s="192" t="s">
        <v>17</v>
      </c>
      <c r="E4955" s="18"/>
      <c r="F4955" s="22" t="s">
        <v>18</v>
      </c>
      <c r="G4955" s="23">
        <f>SUM(G4934:G4954)</f>
        <v>49925.5</v>
      </c>
    </row>
    <row r="4956" spans="1:7" ht="15.75" thickBot="1">
      <c r="A4956" s="211" t="s">
        <v>506</v>
      </c>
      <c r="B4956" s="216" t="str">
        <f ca="1">_xlfn.CONCAT(B4932,A4956)</f>
        <v>2E017F27-W</v>
      </c>
      <c r="C4956" s="10" t="s">
        <v>19</v>
      </c>
      <c r="D4956" s="190"/>
      <c r="E4956" s="11"/>
      <c r="F4956" s="12"/>
      <c r="G4956" s="13"/>
    </row>
    <row r="4957" spans="1:7" ht="14.25" thickBot="1">
      <c r="A4957" s="211" t="s">
        <v>507</v>
      </c>
      <c r="B4957" s="216" t="str">
        <f ca="1">_xlfn.CONCAT(B4932,A4957)</f>
        <v>2E017F27-X</v>
      </c>
      <c r="C4957" s="14" t="s">
        <v>1</v>
      </c>
      <c r="D4957" s="15"/>
      <c r="E4957" s="15" t="s">
        <v>20</v>
      </c>
      <c r="F4957" s="16" t="s">
        <v>21</v>
      </c>
      <c r="G4957" s="15" t="s">
        <v>5</v>
      </c>
    </row>
    <row r="4958" spans="1:7">
      <c r="A4958" s="211" t="s">
        <v>508</v>
      </c>
      <c r="B4958" s="216" t="str">
        <f ca="1">_xlfn.CONCAT(B4932,A4958)</f>
        <v>2E017F27-Y</v>
      </c>
      <c r="C4958" s="24" t="s">
        <v>22</v>
      </c>
      <c r="D4958" s="184"/>
      <c r="E4958" s="25">
        <f>_xlfn.XLOOKUP(C4958,'H-MO'!B$7:B$30,'H-MO'!D$7:D$30,,0,1)</f>
        <v>2436.5624999999995</v>
      </c>
      <c r="F4958" s="19">
        <v>0.5</v>
      </c>
      <c r="G4958" s="33">
        <f t="shared" ref="G4958:G4963" si="146">+E4958*F4958</f>
        <v>1218.2812499999998</v>
      </c>
    </row>
    <row r="4959" spans="1:7">
      <c r="A4959" s="211" t="s">
        <v>509</v>
      </c>
      <c r="B4959" s="216" t="str">
        <f ca="1">_xlfn.CONCAT(B4932,A4959)</f>
        <v>2E017F27-Z</v>
      </c>
      <c r="C4959" s="24" t="s">
        <v>23</v>
      </c>
      <c r="D4959" s="184"/>
      <c r="E4959" s="25">
        <f>_xlfn.XLOOKUP(C4959,'H-MO'!B$7:B$30,'H-MO'!D$7:D$30,,0,1)</f>
        <v>1461.9374999999998</v>
      </c>
      <c r="F4959" s="19">
        <v>0.01</v>
      </c>
      <c r="G4959" s="33">
        <f t="shared" si="146"/>
        <v>14.619374999999998</v>
      </c>
    </row>
    <row r="4960" spans="1:7">
      <c r="A4960" s="211" t="s">
        <v>510</v>
      </c>
      <c r="B4960" s="216" t="str">
        <f ca="1">_xlfn.CONCAT(B4932,A4960)</f>
        <v>2E017F27-aa</v>
      </c>
      <c r="C4960" s="24" t="s">
        <v>24</v>
      </c>
      <c r="D4960" s="185"/>
      <c r="E4960" s="25">
        <f>_xlfn.XLOOKUP(C4960,'H-MO'!B$7:B$30,'H-MO'!D$7:D$30,,0,1)</f>
        <v>29238.749999999996</v>
      </c>
      <c r="F4960" s="28">
        <v>2E-3</v>
      </c>
      <c r="G4960" s="33">
        <f t="shared" si="146"/>
        <v>58.477499999999992</v>
      </c>
    </row>
    <row r="4961" spans="1:7">
      <c r="A4961" s="211" t="s">
        <v>511</v>
      </c>
      <c r="B4961" s="216" t="str">
        <f ca="1">_xlfn.CONCAT(B4932,A4961)</f>
        <v>2E017F27-ab</v>
      </c>
      <c r="C4961" s="24" t="s">
        <v>25</v>
      </c>
      <c r="D4961" s="185"/>
      <c r="E4961" s="25">
        <f>_xlfn.XLOOKUP(C4961,'H-MO'!B$7:B$30,'H-MO'!D$7:D$30,,0,1)</f>
        <v>2761.4374999999995</v>
      </c>
      <c r="F4961" s="28">
        <v>2E-3</v>
      </c>
      <c r="G4961" s="33">
        <f t="shared" si="146"/>
        <v>5.5228749999999991</v>
      </c>
    </row>
    <row r="4962" spans="1:7">
      <c r="A4962" s="211" t="s">
        <v>512</v>
      </c>
      <c r="B4962" s="216" t="str">
        <f ca="1">_xlfn.CONCAT(B4932,A4962)</f>
        <v>2E017F27-ac</v>
      </c>
      <c r="C4962" s="24"/>
      <c r="D4962" s="185"/>
      <c r="E4962" s="29"/>
      <c r="F4962" s="28"/>
      <c r="G4962" s="33">
        <f t="shared" si="146"/>
        <v>0</v>
      </c>
    </row>
    <row r="4963" spans="1:7" ht="14.25" thickBot="1">
      <c r="A4963" s="211" t="s">
        <v>513</v>
      </c>
      <c r="B4963" s="216" t="str">
        <f ca="1">_xlfn.CONCAT(B4932,A4963)</f>
        <v>2E017F27-ad</v>
      </c>
      <c r="C4963" s="24"/>
      <c r="D4963" s="185"/>
      <c r="E4963" s="29"/>
      <c r="F4963" s="28"/>
      <c r="G4963" s="33">
        <f t="shared" si="146"/>
        <v>0</v>
      </c>
    </row>
    <row r="4964" spans="1:7" ht="14.25" thickBot="1">
      <c r="A4964" s="211" t="s">
        <v>514</v>
      </c>
      <c r="B4964" s="216" t="str">
        <f ca="1">_xlfn.CONCAT(B4932,A4964)</f>
        <v>2E017F27-ae</v>
      </c>
      <c r="C4964" s="17"/>
      <c r="D4964" s="192"/>
      <c r="E4964" s="18"/>
      <c r="F4964" s="22" t="s">
        <v>26</v>
      </c>
      <c r="G4964" s="23">
        <f>SUM(G4958:G4963)</f>
        <v>1296.9009999999998</v>
      </c>
    </row>
    <row r="4965" spans="1:7" ht="15.75" thickBot="1">
      <c r="A4965" s="211" t="s">
        <v>515</v>
      </c>
      <c r="B4965" s="216" t="str">
        <f ca="1">_xlfn.CONCAT(B4932,A4965)</f>
        <v>2E017F27-af</v>
      </c>
      <c r="C4965" s="10" t="s">
        <v>27</v>
      </c>
      <c r="D4965" s="190"/>
      <c r="E4965" s="11"/>
      <c r="F4965" s="12"/>
      <c r="G4965" s="13"/>
    </row>
    <row r="4966" spans="1:7" ht="14.25" thickBot="1">
      <c r="A4966" s="211" t="s">
        <v>516</v>
      </c>
      <c r="B4966" s="216" t="str">
        <f ca="1">_xlfn.CONCAT(B4932,A4966)</f>
        <v>2E017F27-ag</v>
      </c>
      <c r="C4966" s="14" t="s">
        <v>1</v>
      </c>
      <c r="D4966" s="15" t="s">
        <v>28</v>
      </c>
      <c r="E4966" s="15" t="s">
        <v>20</v>
      </c>
      <c r="F4966" s="16" t="s">
        <v>21</v>
      </c>
      <c r="G4966" s="15" t="s">
        <v>5</v>
      </c>
    </row>
    <row r="4967" spans="1:7">
      <c r="A4967" s="211" t="s">
        <v>517</v>
      </c>
      <c r="B4967" s="216" t="str">
        <f ca="1">_xlfn.CONCAT(B4932,A4967)</f>
        <v>2E017F27-ah</v>
      </c>
      <c r="C4967" s="30" t="s">
        <v>29</v>
      </c>
      <c r="D4967" s="186">
        <f>'H-MO'!$N$77</f>
        <v>725918.52892505517</v>
      </c>
      <c r="E4967" s="31">
        <f>+D4967/8</f>
        <v>90739.816115631897</v>
      </c>
      <c r="F4967" s="32">
        <v>0.16212161566430069</v>
      </c>
      <c r="G4967" s="33">
        <f>+E4967*F4967</f>
        <v>14710.885593747793</v>
      </c>
    </row>
    <row r="4968" spans="1:7">
      <c r="A4968" s="211" t="s">
        <v>518</v>
      </c>
      <c r="B4968" s="216" t="str">
        <f ca="1">_xlfn.CONCAT(B4932,A4968)</f>
        <v>2E017F27-ai</v>
      </c>
      <c r="C4968" s="34" t="s">
        <v>30</v>
      </c>
      <c r="D4968" s="187">
        <f>'H-MO'!$N$86</f>
        <v>685561.39085756091</v>
      </c>
      <c r="E4968" s="29">
        <f>+D4968/8</f>
        <v>85695.173857195114</v>
      </c>
      <c r="F4968" s="28">
        <v>0.15</v>
      </c>
      <c r="G4968" s="33">
        <f>+E4968*F4968</f>
        <v>12854.276078579267</v>
      </c>
    </row>
    <row r="4969" spans="1:7" ht="14.25" thickBot="1">
      <c r="A4969" s="211" t="s">
        <v>519</v>
      </c>
      <c r="B4969" s="216" t="str">
        <f ca="1">_xlfn.CONCAT(B4932,A4969)</f>
        <v>2E017F27-aj</v>
      </c>
      <c r="C4969" s="34"/>
      <c r="D4969" s="187"/>
      <c r="E4969" s="29"/>
      <c r="F4969" s="28"/>
      <c r="G4969" s="33">
        <f>+E4969*F4969</f>
        <v>0</v>
      </c>
    </row>
    <row r="4970" spans="1:7" ht="14.25" thickBot="1">
      <c r="A4970" s="211" t="s">
        <v>520</v>
      </c>
      <c r="B4970" s="216" t="str">
        <f ca="1">_xlfn.CONCAT(B4932,A4970)</f>
        <v>2E017F27-ak</v>
      </c>
      <c r="C4970" s="34"/>
      <c r="D4970" s="185"/>
      <c r="E4970" s="26"/>
      <c r="F4970" s="36" t="s">
        <v>31</v>
      </c>
      <c r="G4970" s="23">
        <f>SUM(G4967:G4969)</f>
        <v>27565.16167232706</v>
      </c>
    </row>
    <row r="4971" spans="1:7" ht="14.25" thickBot="1">
      <c r="A4971" s="211" t="s">
        <v>521</v>
      </c>
      <c r="B4971" s="216" t="str">
        <f ca="1">_xlfn.CONCAT(B4932,A4971)</f>
        <v>2E017F27-al</v>
      </c>
      <c r="C4971" s="37"/>
      <c r="E4971" s="38"/>
      <c r="F4971" s="22"/>
      <c r="G4971" s="39"/>
    </row>
    <row r="4972" spans="1:7" ht="16.5" thickBot="1">
      <c r="A4972" s="211" t="s">
        <v>522</v>
      </c>
      <c r="B4972" s="216" t="str">
        <f ca="1">_xlfn.CONCAT(B4932,A4972)</f>
        <v>2E017F27-am</v>
      </c>
      <c r="C4972" s="40"/>
      <c r="D4972" s="193"/>
      <c r="E4972" s="41"/>
      <c r="F4972" s="42"/>
      <c r="G4972" s="43">
        <f>+G4955+G4964+G4970</f>
        <v>78787.562672327054</v>
      </c>
    </row>
    <row r="4973" spans="1:7" ht="21.75" thickBot="1">
      <c r="B4973" s="212" t="s">
        <v>550</v>
      </c>
      <c r="C4973" s="2"/>
      <c r="D4973" s="183"/>
      <c r="F4973" s="4"/>
      <c r="G4973" s="5"/>
    </row>
    <row r="4974" spans="1:7" ht="18.75">
      <c r="A4974" s="213"/>
      <c r="B4974" s="214">
        <v>114</v>
      </c>
      <c r="C4974" s="242" t="str">
        <f ca="1">_xlfn.XLOOKUP(B4974,Cantidades!$A$10:$A$314,Cantidades!$C$10:$C$314,,0,1)</f>
        <v>Suministro e instalación de barraje equipontencial de 50x10 mm</v>
      </c>
      <c r="D4974" s="243"/>
      <c r="E4974" s="243"/>
      <c r="F4974" s="243"/>
      <c r="G4974" s="244"/>
    </row>
    <row r="4975" spans="1:7" ht="19.5" thickBot="1">
      <c r="A4975" s="215"/>
      <c r="B4975" s="216" t="s">
        <v>550</v>
      </c>
      <c r="C4975" s="177"/>
      <c r="D4975" s="189"/>
      <c r="E4975" s="178"/>
      <c r="F4975" s="179" t="s">
        <v>636</v>
      </c>
      <c r="G4975" s="209" t="str">
        <f ca="1">B4976</f>
        <v>4E35A41-</v>
      </c>
    </row>
    <row r="4976" spans="1:7" ht="15.75" thickBot="1">
      <c r="B4976" s="212" t="str">
        <f ca="1">_xlfn.XLOOKUP(C4974,Cantidades!$C$1:$C$314,Cantidades!$B$1:$B$314,"",0,1)</f>
        <v>4E35A41-</v>
      </c>
      <c r="C4976" s="10" t="s">
        <v>0</v>
      </c>
      <c r="D4976" s="190"/>
      <c r="E4976" s="11"/>
      <c r="F4976" s="12"/>
      <c r="G4976" s="13"/>
    </row>
    <row r="4977" spans="1:8" ht="14.25" thickBot="1">
      <c r="A4977" s="215"/>
      <c r="B4977" s="216" t="s">
        <v>550</v>
      </c>
      <c r="C4977" s="14" t="s">
        <v>1</v>
      </c>
      <c r="D4977" s="15" t="s">
        <v>2</v>
      </c>
      <c r="E4977" s="15" t="s">
        <v>3</v>
      </c>
      <c r="F4977" s="16" t="s">
        <v>4</v>
      </c>
      <c r="G4977" s="15" t="s">
        <v>5</v>
      </c>
    </row>
    <row r="4978" spans="1:8">
      <c r="A4978" s="211" t="s">
        <v>484</v>
      </c>
      <c r="B4978" s="216" t="str">
        <f ca="1">_xlfn.CONCAT(B4976,A4978)</f>
        <v>4E35A41-A</v>
      </c>
      <c r="C4978" s="17" t="str">
        <f>_xlfn.XLOOKUP(H4978,'Materiales unitario'!$A$1:$A$2500,'Materiales unitario'!B$1:B$2500,,0,1)</f>
        <v>barraje equipontencial de 50x10 mm</v>
      </c>
      <c r="D4978" s="184" t="str">
        <f>_xlfn.XLOOKUP(H4978,'Materiales unitario'!A$1:A$2500,'Materiales unitario'!C$1:C$2500,,0,1)</f>
        <v>un</v>
      </c>
      <c r="E4978" s="197">
        <f>_xlfn.XLOOKUP(H4978,'Materiales unitario'!$A$1:$A$2500,'Materiales unitario'!D$1:D$2500,,0,1)</f>
        <v>122300</v>
      </c>
      <c r="F4978" s="19">
        <v>1.05</v>
      </c>
      <c r="G4978" s="20">
        <f>+E4978*F4978</f>
        <v>128415</v>
      </c>
      <c r="H4978" s="211" t="s">
        <v>239</v>
      </c>
    </row>
    <row r="4979" spans="1:8">
      <c r="A4979" s="211" t="s">
        <v>485</v>
      </c>
      <c r="B4979" s="216" t="str">
        <f ca="1">_xlfn.CONCAT(B4976,A4979)</f>
        <v>4E35A41-B</v>
      </c>
      <c r="C4979" s="17"/>
      <c r="D4979" s="184"/>
      <c r="E4979" s="197"/>
      <c r="F4979" s="19"/>
      <c r="G4979" s="20"/>
    </row>
    <row r="4980" spans="1:8">
      <c r="A4980" s="211" t="s">
        <v>486</v>
      </c>
      <c r="B4980" s="216" t="str">
        <f ca="1">_xlfn.CONCAT(B4976,A4980)</f>
        <v>4E35A41-C</v>
      </c>
      <c r="C4980" s="17"/>
      <c r="D4980" s="184"/>
      <c r="E4980" s="197"/>
      <c r="F4980" s="19"/>
      <c r="G4980" s="20"/>
    </row>
    <row r="4981" spans="1:8">
      <c r="A4981" s="211" t="s">
        <v>487</v>
      </c>
      <c r="B4981" s="216" t="str">
        <f ca="1">_xlfn.CONCAT(B4976,A4981)</f>
        <v>4E35A41-D</v>
      </c>
      <c r="C4981" s="17"/>
      <c r="D4981" s="184"/>
      <c r="E4981" s="197"/>
      <c r="F4981" s="19"/>
      <c r="G4981" s="20"/>
    </row>
    <row r="4982" spans="1:8">
      <c r="A4982" s="211" t="s">
        <v>488</v>
      </c>
      <c r="B4982" s="216" t="str">
        <f ca="1">_xlfn.CONCAT(B4976,A4982)</f>
        <v>4E35A41-E</v>
      </c>
      <c r="C4982" s="17"/>
      <c r="D4982" s="184"/>
      <c r="E4982" s="197"/>
      <c r="F4982" s="19"/>
      <c r="G4982" s="20"/>
    </row>
    <row r="4983" spans="1:8">
      <c r="A4983" s="211" t="s">
        <v>489</v>
      </c>
      <c r="B4983" s="216" t="str">
        <f ca="1">_xlfn.CONCAT(B4976,A4983)</f>
        <v>4E35A41-F</v>
      </c>
      <c r="C4983" s="17"/>
      <c r="D4983" s="184"/>
      <c r="E4983" s="197"/>
      <c r="F4983" s="19"/>
      <c r="G4983" s="20"/>
    </row>
    <row r="4984" spans="1:8">
      <c r="A4984" s="211" t="s">
        <v>490</v>
      </c>
      <c r="B4984" s="216" t="str">
        <f ca="1">_xlfn.CONCAT(B4976,A4984)</f>
        <v>4E35A41-G</v>
      </c>
      <c r="C4984" s="17"/>
      <c r="D4984" s="184"/>
      <c r="E4984" s="197"/>
      <c r="F4984" s="19"/>
      <c r="G4984" s="20"/>
    </row>
    <row r="4985" spans="1:8">
      <c r="A4985" s="211" t="s">
        <v>491</v>
      </c>
      <c r="B4985" s="216" t="str">
        <f ca="1">_xlfn.CONCAT(B4976,A4985)</f>
        <v>4E35A41-H</v>
      </c>
      <c r="C4985" s="17"/>
      <c r="D4985" s="184"/>
      <c r="E4985" s="197"/>
      <c r="F4985" s="19"/>
      <c r="G4985" s="20"/>
    </row>
    <row r="4986" spans="1:8">
      <c r="A4986" s="211" t="s">
        <v>492</v>
      </c>
      <c r="B4986" s="216" t="str">
        <f ca="1">_xlfn.CONCAT(B4976,A4986)</f>
        <v>4E35A41-I</v>
      </c>
      <c r="C4986" s="17"/>
      <c r="D4986" s="184"/>
      <c r="E4986" s="197"/>
      <c r="F4986" s="19"/>
      <c r="G4986" s="20"/>
    </row>
    <row r="4987" spans="1:8">
      <c r="A4987" s="211" t="s">
        <v>493</v>
      </c>
      <c r="B4987" s="216" t="str">
        <f ca="1">_xlfn.CONCAT(B4976,A4987)</f>
        <v>4E35A41-J</v>
      </c>
      <c r="C4987" s="17"/>
      <c r="D4987" s="184"/>
      <c r="E4987" s="197"/>
      <c r="F4987" s="19"/>
      <c r="G4987" s="20"/>
    </row>
    <row r="4988" spans="1:8">
      <c r="A4988" s="211" t="s">
        <v>494</v>
      </c>
      <c r="B4988" s="216" t="str">
        <f ca="1">_xlfn.CONCAT(B4976,A4988)</f>
        <v>4E35A41-K</v>
      </c>
      <c r="C4988" s="17"/>
      <c r="D4988" s="184"/>
      <c r="E4988" s="197"/>
      <c r="F4988" s="19"/>
      <c r="G4988" s="20"/>
    </row>
    <row r="4989" spans="1:8">
      <c r="A4989" s="211" t="s">
        <v>495</v>
      </c>
      <c r="B4989" s="216" t="str">
        <f ca="1">_xlfn.CONCAT(B4976,A4989)</f>
        <v>4E35A41-L</v>
      </c>
      <c r="C4989" s="17"/>
      <c r="D4989" s="184"/>
      <c r="E4989" s="197"/>
      <c r="F4989" s="19"/>
      <c r="G4989" s="20"/>
    </row>
    <row r="4990" spans="1:8">
      <c r="A4990" s="211" t="s">
        <v>496</v>
      </c>
      <c r="B4990" s="216" t="str">
        <f ca="1">_xlfn.CONCAT(B4976,A4990)</f>
        <v>4E35A41-M</v>
      </c>
      <c r="C4990" s="17"/>
      <c r="D4990" s="184"/>
      <c r="E4990" s="197"/>
      <c r="F4990" s="19"/>
      <c r="G4990" s="20"/>
    </row>
    <row r="4991" spans="1:8">
      <c r="A4991" s="211" t="s">
        <v>497</v>
      </c>
      <c r="B4991" s="216" t="str">
        <f ca="1">_xlfn.CONCAT(B4976,A4991)</f>
        <v>4E35A41-N</v>
      </c>
      <c r="C4991" s="17"/>
      <c r="D4991" s="184"/>
      <c r="E4991" s="197"/>
      <c r="F4991" s="19"/>
      <c r="G4991" s="20"/>
    </row>
    <row r="4992" spans="1:8">
      <c r="A4992" s="211" t="s">
        <v>498</v>
      </c>
      <c r="B4992" s="216" t="str">
        <f ca="1">_xlfn.CONCAT(B4976,A4992)</f>
        <v>4E35A41-O</v>
      </c>
      <c r="C4992" s="17"/>
      <c r="D4992" s="184"/>
      <c r="E4992" s="197"/>
      <c r="F4992" s="19"/>
      <c r="G4992" s="20"/>
    </row>
    <row r="4993" spans="1:7">
      <c r="A4993" s="211" t="s">
        <v>499</v>
      </c>
      <c r="B4993" s="216" t="str">
        <f ca="1">_xlfn.CONCAT(B4976,A4993)</f>
        <v>4E35A41-P</v>
      </c>
      <c r="C4993" s="17"/>
      <c r="D4993" s="184"/>
      <c r="E4993" s="197"/>
      <c r="F4993" s="19"/>
      <c r="G4993" s="20"/>
    </row>
    <row r="4994" spans="1:7">
      <c r="A4994" s="211" t="s">
        <v>500</v>
      </c>
      <c r="B4994" s="216" t="str">
        <f ca="1">_xlfn.CONCAT(B4976,A4994)</f>
        <v>4E35A41-Q</v>
      </c>
      <c r="C4994" s="17"/>
      <c r="D4994" s="184"/>
      <c r="E4994" s="197"/>
      <c r="F4994" s="19"/>
      <c r="G4994" s="20"/>
    </row>
    <row r="4995" spans="1:7">
      <c r="A4995" s="211" t="s">
        <v>501</v>
      </c>
      <c r="B4995" s="216" t="str">
        <f ca="1">_xlfn.CONCAT(B4976,A4995)</f>
        <v>4E35A41-R</v>
      </c>
      <c r="C4995" s="17"/>
      <c r="D4995" s="184"/>
      <c r="E4995" s="197"/>
      <c r="F4995" s="19"/>
      <c r="G4995" s="20"/>
    </row>
    <row r="4996" spans="1:7">
      <c r="A4996" s="211" t="s">
        <v>502</v>
      </c>
      <c r="B4996" s="216" t="str">
        <f ca="1">_xlfn.CONCAT(B4976,A4996)</f>
        <v>4E35A41-S</v>
      </c>
      <c r="C4996" s="17"/>
      <c r="D4996" s="184"/>
      <c r="E4996" s="197"/>
      <c r="F4996" s="19"/>
      <c r="G4996" s="20"/>
    </row>
    <row r="4997" spans="1:7">
      <c r="A4997" s="211" t="s">
        <v>503</v>
      </c>
      <c r="B4997" s="216" t="str">
        <f ca="1">_xlfn.CONCAT(B4976,A4997)</f>
        <v>4E35A41-T</v>
      </c>
      <c r="C4997" s="17"/>
      <c r="D4997" s="184"/>
      <c r="E4997" s="197"/>
      <c r="F4997" s="19"/>
      <c r="G4997" s="20"/>
    </row>
    <row r="4998" spans="1:7" ht="14.25" thickBot="1">
      <c r="A4998" s="211" t="s">
        <v>504</v>
      </c>
      <c r="B4998" s="216" t="str">
        <f ca="1">_xlfn.CONCAT(B4976,A4998)</f>
        <v>4E35A41-U</v>
      </c>
      <c r="C4998" s="17"/>
      <c r="D4998" s="184"/>
      <c r="E4998" s="197"/>
      <c r="F4998" s="19"/>
      <c r="G4998" s="20"/>
    </row>
    <row r="4999" spans="1:7" ht="14.25" thickBot="1">
      <c r="A4999" s="211" t="s">
        <v>505</v>
      </c>
      <c r="B4999" s="216" t="str">
        <f ca="1">_xlfn.CONCAT(B4976,A4999)</f>
        <v>4E35A41-V</v>
      </c>
      <c r="C4999" s="17" t="s">
        <v>17</v>
      </c>
      <c r="D4999" s="192" t="s">
        <v>17</v>
      </c>
      <c r="E4999" s="18"/>
      <c r="F4999" s="22" t="s">
        <v>18</v>
      </c>
      <c r="G4999" s="23">
        <f>SUM(G4978:G4998)</f>
        <v>128415</v>
      </c>
    </row>
    <row r="5000" spans="1:7" ht="15.75" thickBot="1">
      <c r="A5000" s="211" t="s">
        <v>506</v>
      </c>
      <c r="B5000" s="216" t="str">
        <f ca="1">_xlfn.CONCAT(B4976,A5000)</f>
        <v>4E35A41-W</v>
      </c>
      <c r="C5000" s="10" t="s">
        <v>19</v>
      </c>
      <c r="D5000" s="190"/>
      <c r="E5000" s="11"/>
      <c r="F5000" s="12"/>
      <c r="G5000" s="13"/>
    </row>
    <row r="5001" spans="1:7" ht="14.25" thickBot="1">
      <c r="A5001" s="211" t="s">
        <v>507</v>
      </c>
      <c r="B5001" s="216" t="str">
        <f ca="1">_xlfn.CONCAT(B4976,A5001)</f>
        <v>4E35A41-X</v>
      </c>
      <c r="C5001" s="14" t="s">
        <v>1</v>
      </c>
      <c r="D5001" s="15"/>
      <c r="E5001" s="15" t="s">
        <v>20</v>
      </c>
      <c r="F5001" s="16" t="s">
        <v>21</v>
      </c>
      <c r="G5001" s="15" t="s">
        <v>5</v>
      </c>
    </row>
    <row r="5002" spans="1:7">
      <c r="A5002" s="211" t="s">
        <v>508</v>
      </c>
      <c r="B5002" s="216" t="str">
        <f ca="1">_xlfn.CONCAT(B4976,A5002)</f>
        <v>4E35A41-Y</v>
      </c>
      <c r="C5002" s="24" t="s">
        <v>22</v>
      </c>
      <c r="D5002" s="184"/>
      <c r="E5002" s="25">
        <f>_xlfn.XLOOKUP(C5002,'H-MO'!B$7:B$30,'H-MO'!D$7:D$30,,0,1)</f>
        <v>2436.5624999999995</v>
      </c>
      <c r="F5002" s="19">
        <v>0.3</v>
      </c>
      <c r="G5002" s="33">
        <f t="shared" ref="G5002:G5007" si="147">+E5002*F5002</f>
        <v>730.96874999999989</v>
      </c>
    </row>
    <row r="5003" spans="1:7">
      <c r="A5003" s="211" t="s">
        <v>509</v>
      </c>
      <c r="B5003" s="216" t="str">
        <f ca="1">_xlfn.CONCAT(B4976,A5003)</f>
        <v>4E35A41-Z</v>
      </c>
      <c r="C5003" s="24" t="s">
        <v>23</v>
      </c>
      <c r="D5003" s="184"/>
      <c r="E5003" s="25">
        <f>_xlfn.XLOOKUP(C5003,'H-MO'!B$7:B$30,'H-MO'!D$7:D$30,,0,1)</f>
        <v>1461.9374999999998</v>
      </c>
      <c r="F5003" s="19">
        <v>9.7711304347826086E-2</v>
      </c>
      <c r="G5003" s="33">
        <f t="shared" si="147"/>
        <v>142.84781999999998</v>
      </c>
    </row>
    <row r="5004" spans="1:7">
      <c r="A5004" s="211" t="s">
        <v>510</v>
      </c>
      <c r="B5004" s="216" t="str">
        <f ca="1">_xlfn.CONCAT(B4976,A5004)</f>
        <v>4E35A41-aa</v>
      </c>
      <c r="C5004" s="24" t="s">
        <v>24</v>
      </c>
      <c r="D5004" s="185"/>
      <c r="E5004" s="25">
        <f>_xlfn.XLOOKUP(C5004,'H-MO'!B$7:B$30,'H-MO'!D$7:D$30,,0,1)</f>
        <v>29238.749999999996</v>
      </c>
      <c r="F5004" s="28">
        <v>1.6285217391304348E-3</v>
      </c>
      <c r="G5004" s="33">
        <f t="shared" si="147"/>
        <v>47.615939999999995</v>
      </c>
    </row>
    <row r="5005" spans="1:7">
      <c r="A5005" s="211" t="s">
        <v>511</v>
      </c>
      <c r="B5005" s="216" t="str">
        <f ca="1">_xlfn.CONCAT(B4976,A5005)</f>
        <v>4E35A41-ab</v>
      </c>
      <c r="C5005" s="24" t="s">
        <v>25</v>
      </c>
      <c r="D5005" s="185"/>
      <c r="E5005" s="25">
        <f>_xlfn.XLOOKUP(C5005,'H-MO'!B$7:B$30,'H-MO'!D$7:D$30,,0,1)</f>
        <v>2761.4374999999995</v>
      </c>
      <c r="F5005" s="28">
        <v>0.4</v>
      </c>
      <c r="G5005" s="33">
        <f t="shared" si="147"/>
        <v>1104.5749999999998</v>
      </c>
    </row>
    <row r="5006" spans="1:7">
      <c r="A5006" s="211" t="s">
        <v>512</v>
      </c>
      <c r="B5006" s="216" t="str">
        <f ca="1">_xlfn.CONCAT(B4976,A5006)</f>
        <v>4E35A41-ac</v>
      </c>
      <c r="C5006" s="24"/>
      <c r="D5006" s="185"/>
      <c r="E5006" s="29"/>
      <c r="F5006" s="28"/>
      <c r="G5006" s="33">
        <f t="shared" si="147"/>
        <v>0</v>
      </c>
    </row>
    <row r="5007" spans="1:7" ht="14.25" thickBot="1">
      <c r="A5007" s="211" t="s">
        <v>513</v>
      </c>
      <c r="B5007" s="216" t="str">
        <f ca="1">_xlfn.CONCAT(B4976,A5007)</f>
        <v>4E35A41-ad</v>
      </c>
      <c r="C5007" s="24"/>
      <c r="D5007" s="185"/>
      <c r="E5007" s="29"/>
      <c r="F5007" s="28"/>
      <c r="G5007" s="33">
        <f t="shared" si="147"/>
        <v>0</v>
      </c>
    </row>
    <row r="5008" spans="1:7" ht="14.25" thickBot="1">
      <c r="A5008" s="211" t="s">
        <v>514</v>
      </c>
      <c r="B5008" s="216" t="str">
        <f ca="1">_xlfn.CONCAT(B4976,A5008)</f>
        <v>4E35A41-ae</v>
      </c>
      <c r="C5008" s="17"/>
      <c r="D5008" s="192"/>
      <c r="E5008" s="18"/>
      <c r="F5008" s="22" t="s">
        <v>26</v>
      </c>
      <c r="G5008" s="23">
        <f>SUM(G5002:G5007)</f>
        <v>2026.0075099999997</v>
      </c>
    </row>
    <row r="5009" spans="1:8" ht="15.75" thickBot="1">
      <c r="A5009" s="211" t="s">
        <v>515</v>
      </c>
      <c r="B5009" s="216" t="str">
        <f ca="1">_xlfn.CONCAT(B4976,A5009)</f>
        <v>4E35A41-af</v>
      </c>
      <c r="C5009" s="10" t="s">
        <v>27</v>
      </c>
      <c r="D5009" s="190"/>
      <c r="E5009" s="11"/>
      <c r="F5009" s="12"/>
      <c r="G5009" s="13"/>
    </row>
    <row r="5010" spans="1:8" ht="14.25" thickBot="1">
      <c r="A5010" s="211" t="s">
        <v>516</v>
      </c>
      <c r="B5010" s="216" t="str">
        <f ca="1">_xlfn.CONCAT(B4976,A5010)</f>
        <v>4E35A41-ag</v>
      </c>
      <c r="C5010" s="14" t="s">
        <v>1</v>
      </c>
      <c r="D5010" s="15" t="s">
        <v>28</v>
      </c>
      <c r="E5010" s="15" t="s">
        <v>20</v>
      </c>
      <c r="F5010" s="16" t="s">
        <v>21</v>
      </c>
      <c r="G5010" s="15" t="s">
        <v>5</v>
      </c>
    </row>
    <row r="5011" spans="1:8">
      <c r="A5011" s="211" t="s">
        <v>517</v>
      </c>
      <c r="B5011" s="216" t="str">
        <f ca="1">_xlfn.CONCAT(B4976,A5011)</f>
        <v>4E35A41-ah</v>
      </c>
      <c r="C5011" s="30" t="s">
        <v>29</v>
      </c>
      <c r="D5011" s="186">
        <f>'H-MO'!$N$77</f>
        <v>725918.52892505517</v>
      </c>
      <c r="E5011" s="31">
        <f>+D5011/8</f>
        <v>90739.816115631897</v>
      </c>
      <c r="F5011" s="32">
        <v>0.3</v>
      </c>
      <c r="G5011" s="33">
        <f>+E5011*F5011</f>
        <v>27221.94483468957</v>
      </c>
    </row>
    <row r="5012" spans="1:8">
      <c r="A5012" s="211" t="s">
        <v>518</v>
      </c>
      <c r="B5012" s="216" t="str">
        <f ca="1">_xlfn.CONCAT(B4976,A5012)</f>
        <v>4E35A41-ai</v>
      </c>
      <c r="C5012" s="34" t="s">
        <v>30</v>
      </c>
      <c r="D5012" s="187">
        <f>'H-MO'!$N$86</f>
        <v>685561.39085756091</v>
      </c>
      <c r="E5012" s="29">
        <f>+D5012/8</f>
        <v>85695.173857195114</v>
      </c>
      <c r="F5012" s="28">
        <v>0</v>
      </c>
      <c r="G5012" s="33">
        <f>+E5012*F5012</f>
        <v>0</v>
      </c>
    </row>
    <row r="5013" spans="1:8" ht="14.25" thickBot="1">
      <c r="A5013" s="211" t="s">
        <v>519</v>
      </c>
      <c r="B5013" s="216" t="str">
        <f ca="1">_xlfn.CONCAT(B4976,A5013)</f>
        <v>4E35A41-aj</v>
      </c>
      <c r="C5013" s="34"/>
      <c r="D5013" s="187"/>
      <c r="E5013" s="29"/>
      <c r="F5013" s="28"/>
      <c r="G5013" s="33">
        <f>+E5013*F5013</f>
        <v>0</v>
      </c>
    </row>
    <row r="5014" spans="1:8" ht="14.25" thickBot="1">
      <c r="A5014" s="211" t="s">
        <v>520</v>
      </c>
      <c r="B5014" s="216" t="str">
        <f ca="1">_xlfn.CONCAT(B4976,A5014)</f>
        <v>4E35A41-ak</v>
      </c>
      <c r="C5014" s="34"/>
      <c r="D5014" s="185"/>
      <c r="E5014" s="26"/>
      <c r="F5014" s="36" t="s">
        <v>31</v>
      </c>
      <c r="G5014" s="23">
        <f>SUM(G5011:G5013)</f>
        <v>27221.94483468957</v>
      </c>
    </row>
    <row r="5015" spans="1:8" ht="14.25" thickBot="1">
      <c r="A5015" s="211" t="s">
        <v>521</v>
      </c>
      <c r="B5015" s="216" t="str">
        <f ca="1">_xlfn.CONCAT(B4976,A5015)</f>
        <v>4E35A41-al</v>
      </c>
      <c r="C5015" s="37"/>
      <c r="E5015" s="38"/>
      <c r="F5015" s="22"/>
      <c r="G5015" s="39"/>
    </row>
    <row r="5016" spans="1:8" ht="16.5" thickBot="1">
      <c r="A5016" s="211" t="s">
        <v>522</v>
      </c>
      <c r="B5016" s="216" t="str">
        <f ca="1">_xlfn.CONCAT(B4976,A5016)</f>
        <v>4E35A41-am</v>
      </c>
      <c r="C5016" s="40"/>
      <c r="D5016" s="193"/>
      <c r="E5016" s="41"/>
      <c r="F5016" s="42"/>
      <c r="G5016" s="43">
        <f>+G4999+G5008+G5014</f>
        <v>157662.95234468958</v>
      </c>
    </row>
    <row r="5017" spans="1:8" ht="21.75" thickBot="1">
      <c r="B5017" s="212" t="s">
        <v>550</v>
      </c>
      <c r="C5017" s="2"/>
      <c r="D5017" s="183"/>
      <c r="F5017" s="4"/>
      <c r="G5017" s="5"/>
    </row>
    <row r="5018" spans="1:8" ht="18.75">
      <c r="A5018" s="213"/>
      <c r="B5018" s="214">
        <v>115</v>
      </c>
      <c r="C5018" s="242" t="str">
        <f ca="1">_xlfn.XLOOKUP(B5018,Cantidades!$A$10:$A$314,Cantidades!$C$10:$C$314,,0,1)</f>
        <v>Puesta a tierra equipos y elementos de subestación. Incluye cable de cobre # 2 desnudo, terminales de ojo, amarres, y demás elementos necesarios.</v>
      </c>
      <c r="D5018" s="243"/>
      <c r="E5018" s="243"/>
      <c r="F5018" s="243"/>
      <c r="G5018" s="244"/>
    </row>
    <row r="5019" spans="1:8" ht="19.5" thickBot="1">
      <c r="A5019" s="215"/>
      <c r="B5019" s="216" t="s">
        <v>550</v>
      </c>
      <c r="C5019" s="177"/>
      <c r="D5019" s="189"/>
      <c r="E5019" s="178"/>
      <c r="F5019" s="179" t="s">
        <v>636</v>
      </c>
      <c r="G5019" s="209" t="str">
        <f ca="1">B5020</f>
        <v>DDDA80-</v>
      </c>
    </row>
    <row r="5020" spans="1:8" ht="15.75" thickBot="1">
      <c r="B5020" s="212" t="str">
        <f ca="1">_xlfn.XLOOKUP(C5018,Cantidades!$C$1:$C$314,Cantidades!$B$1:$B$314,"",0,1)</f>
        <v>DDDA80-</v>
      </c>
      <c r="C5020" s="10" t="s">
        <v>0</v>
      </c>
      <c r="D5020" s="190"/>
      <c r="E5020" s="11"/>
      <c r="F5020" s="12"/>
      <c r="G5020" s="13"/>
    </row>
    <row r="5021" spans="1:8" ht="14.25" thickBot="1">
      <c r="A5021" s="215"/>
      <c r="B5021" s="216" t="s">
        <v>550</v>
      </c>
      <c r="C5021" s="14" t="s">
        <v>1</v>
      </c>
      <c r="D5021" s="15" t="s">
        <v>2</v>
      </c>
      <c r="E5021" s="15" t="s">
        <v>3</v>
      </c>
      <c r="F5021" s="16" t="s">
        <v>4</v>
      </c>
      <c r="G5021" s="15" t="s">
        <v>5</v>
      </c>
    </row>
    <row r="5022" spans="1:8">
      <c r="A5022" s="211" t="s">
        <v>484</v>
      </c>
      <c r="B5022" s="216" t="str">
        <f ca="1">_xlfn.CONCAT(B5020,A5022)</f>
        <v>DDDA80-A</v>
      </c>
      <c r="C5022" s="17" t="str">
        <f>_xlfn.XLOOKUP(H5022,'Materiales unitario'!$A$1:$A$2500,'Materiales unitario'!B$1:B$2500,,0,1)</f>
        <v xml:space="preserve">Cable de cobre desnudo #2 AWG </v>
      </c>
      <c r="D5022" s="184" t="str">
        <f>_xlfn.XLOOKUP(H5022,'Materiales unitario'!A$1:A$2500,'Materiales unitario'!C$1:C$2500,,0,1)</f>
        <v>ml</v>
      </c>
      <c r="E5022" s="197">
        <f>_xlfn.XLOOKUP(H5022,'Materiales unitario'!$A$1:$A$2500,'Materiales unitario'!D$1:D$2500,,0,1)</f>
        <v>24990</v>
      </c>
      <c r="F5022" s="19">
        <v>1.05</v>
      </c>
      <c r="G5022" s="20">
        <f>+E5022*F5022</f>
        <v>26239.5</v>
      </c>
      <c r="H5022" s="211" t="s">
        <v>1160</v>
      </c>
    </row>
    <row r="5023" spans="1:8">
      <c r="A5023" s="211" t="s">
        <v>485</v>
      </c>
      <c r="B5023" s="216" t="str">
        <f ca="1">_xlfn.CONCAT(B5020,A5023)</f>
        <v>DDDA80-B</v>
      </c>
      <c r="C5023" s="17" t="str">
        <f>_xlfn.XLOOKUP(H5023,'Materiales unitario'!$A$1:$A$2500,'Materiales unitario'!B$1:B$2500,,0,1)</f>
        <v>Borna terminal estañada de ojo tipo pala #2 AWG</v>
      </c>
      <c r="D5023" s="184" t="str">
        <f>_xlfn.XLOOKUP(H5023,'Materiales unitario'!A$1:A$2500,'Materiales unitario'!C$1:C$2500,,0,1)</f>
        <v>un</v>
      </c>
      <c r="E5023" s="197">
        <f>_xlfn.XLOOKUP(H5023,'Materiales unitario'!$A$1:$A$2500,'Materiales unitario'!D$1:D$2500,,0,1)</f>
        <v>3251</v>
      </c>
      <c r="F5023" s="19">
        <v>0.1</v>
      </c>
      <c r="G5023" s="20">
        <f>+E5023*F5023</f>
        <v>325.10000000000002</v>
      </c>
      <c r="H5023" s="211" t="s">
        <v>252</v>
      </c>
    </row>
    <row r="5024" spans="1:8">
      <c r="A5024" s="211" t="s">
        <v>486</v>
      </c>
      <c r="B5024" s="216" t="str">
        <f ca="1">_xlfn.CONCAT(B5020,A5024)</f>
        <v>DDDA80-C</v>
      </c>
      <c r="C5024" s="17" t="str">
        <f>_xlfn.XLOOKUP(H5024,'Materiales unitario'!$A$1:$A$2500,'Materiales unitario'!B$1:B$2500,,0,1)</f>
        <v>Amarre plastico</v>
      </c>
      <c r="D5024" s="184" t="str">
        <f>_xlfn.XLOOKUP(H5024,'Materiales unitario'!A$1:A$2500,'Materiales unitario'!C$1:C$2500,,0,1)</f>
        <v>un</v>
      </c>
      <c r="E5024" s="197">
        <f>_xlfn.XLOOKUP(H5024,'Materiales unitario'!$A$1:$A$2500,'Materiales unitario'!D$1:D$2500,,0,1)</f>
        <v>100</v>
      </c>
      <c r="F5024" s="19">
        <v>2</v>
      </c>
      <c r="G5024" s="20">
        <f>+E5024*F5024</f>
        <v>200</v>
      </c>
      <c r="H5024" s="211" t="s">
        <v>752</v>
      </c>
    </row>
    <row r="5025" spans="1:8">
      <c r="A5025" s="211" t="s">
        <v>487</v>
      </c>
      <c r="B5025" s="216" t="str">
        <f ca="1">_xlfn.CONCAT(B5020,A5025)</f>
        <v>DDDA80-D</v>
      </c>
      <c r="C5025" s="17" t="str">
        <f>_xlfn.XLOOKUP(H5025,'Materiales unitario'!$A$1:$A$2500,'Materiales unitario'!B$1:B$2500,,0,1)</f>
        <v>Tornillo Cabeza Lenteja Punta Broca 8x1pg</v>
      </c>
      <c r="D5025" s="184" t="str">
        <f>_xlfn.XLOOKUP(H5025,'Materiales unitario'!A$1:A$2500,'Materiales unitario'!C$1:C$2500,,0,1)</f>
        <v>un</v>
      </c>
      <c r="E5025" s="197">
        <f>_xlfn.XLOOKUP(H5025,'Materiales unitario'!$A$1:$A$2500,'Materiales unitario'!D$1:D$2500,,0,1)</f>
        <v>80</v>
      </c>
      <c r="F5025" s="19">
        <v>0.1</v>
      </c>
      <c r="G5025" s="20">
        <f>+E5025*F5025</f>
        <v>8</v>
      </c>
      <c r="H5025" s="211" t="s">
        <v>1162</v>
      </c>
    </row>
    <row r="5026" spans="1:8">
      <c r="A5026" s="211" t="s">
        <v>488</v>
      </c>
      <c r="B5026" s="216" t="str">
        <f ca="1">_xlfn.CONCAT(B5020,A5026)</f>
        <v>DDDA80-E</v>
      </c>
      <c r="C5026" s="17"/>
      <c r="D5026" s="184"/>
      <c r="E5026" s="197"/>
      <c r="F5026" s="19"/>
      <c r="G5026" s="20"/>
    </row>
    <row r="5027" spans="1:8">
      <c r="A5027" s="211" t="s">
        <v>489</v>
      </c>
      <c r="B5027" s="216" t="str">
        <f ca="1">_xlfn.CONCAT(B5020,A5027)</f>
        <v>DDDA80-F</v>
      </c>
      <c r="C5027" s="17"/>
      <c r="D5027" s="184"/>
      <c r="E5027" s="197"/>
      <c r="F5027" s="19"/>
      <c r="G5027" s="20"/>
    </row>
    <row r="5028" spans="1:8">
      <c r="A5028" s="211" t="s">
        <v>490</v>
      </c>
      <c r="B5028" s="216" t="str">
        <f ca="1">_xlfn.CONCAT(B5020,A5028)</f>
        <v>DDDA80-G</v>
      </c>
      <c r="C5028" s="17"/>
      <c r="D5028" s="184"/>
      <c r="E5028" s="197"/>
      <c r="F5028" s="19"/>
      <c r="G5028" s="20"/>
    </row>
    <row r="5029" spans="1:8">
      <c r="A5029" s="211" t="s">
        <v>491</v>
      </c>
      <c r="B5029" s="216" t="str">
        <f ca="1">_xlfn.CONCAT(B5020,A5029)</f>
        <v>DDDA80-H</v>
      </c>
      <c r="C5029" s="17"/>
      <c r="D5029" s="184"/>
      <c r="E5029" s="197"/>
      <c r="F5029" s="19"/>
      <c r="G5029" s="20"/>
    </row>
    <row r="5030" spans="1:8">
      <c r="A5030" s="211" t="s">
        <v>492</v>
      </c>
      <c r="B5030" s="216" t="str">
        <f ca="1">_xlfn.CONCAT(B5020,A5030)</f>
        <v>DDDA80-I</v>
      </c>
      <c r="C5030" s="17"/>
      <c r="D5030" s="184"/>
      <c r="E5030" s="197"/>
      <c r="F5030" s="19"/>
      <c r="G5030" s="20"/>
    </row>
    <row r="5031" spans="1:8">
      <c r="A5031" s="211" t="s">
        <v>493</v>
      </c>
      <c r="B5031" s="216" t="str">
        <f ca="1">_xlfn.CONCAT(B5020,A5031)</f>
        <v>DDDA80-J</v>
      </c>
      <c r="C5031" s="17"/>
      <c r="D5031" s="184"/>
      <c r="E5031" s="197"/>
      <c r="F5031" s="19"/>
      <c r="G5031" s="20"/>
    </row>
    <row r="5032" spans="1:8">
      <c r="A5032" s="211" t="s">
        <v>494</v>
      </c>
      <c r="B5032" s="216" t="str">
        <f ca="1">_xlfn.CONCAT(B5020,A5032)</f>
        <v>DDDA80-K</v>
      </c>
      <c r="C5032" s="17"/>
      <c r="D5032" s="184"/>
      <c r="E5032" s="197"/>
      <c r="F5032" s="19"/>
      <c r="G5032" s="20"/>
    </row>
    <row r="5033" spans="1:8">
      <c r="A5033" s="211" t="s">
        <v>495</v>
      </c>
      <c r="B5033" s="216" t="str">
        <f ca="1">_xlfn.CONCAT(B5020,A5033)</f>
        <v>DDDA80-L</v>
      </c>
      <c r="C5033" s="17"/>
      <c r="D5033" s="184"/>
      <c r="E5033" s="197"/>
      <c r="F5033" s="19"/>
      <c r="G5033" s="20"/>
    </row>
    <row r="5034" spans="1:8">
      <c r="A5034" s="211" t="s">
        <v>496</v>
      </c>
      <c r="B5034" s="216" t="str">
        <f ca="1">_xlfn.CONCAT(B5020,A5034)</f>
        <v>DDDA80-M</v>
      </c>
      <c r="C5034" s="17"/>
      <c r="D5034" s="184"/>
      <c r="E5034" s="197"/>
      <c r="F5034" s="19"/>
      <c r="G5034" s="20"/>
    </row>
    <row r="5035" spans="1:8">
      <c r="A5035" s="211" t="s">
        <v>497</v>
      </c>
      <c r="B5035" s="216" t="str">
        <f ca="1">_xlfn.CONCAT(B5020,A5035)</f>
        <v>DDDA80-N</v>
      </c>
      <c r="C5035" s="17"/>
      <c r="D5035" s="184"/>
      <c r="E5035" s="197"/>
      <c r="F5035" s="19"/>
      <c r="G5035" s="20"/>
    </row>
    <row r="5036" spans="1:8">
      <c r="A5036" s="211" t="s">
        <v>498</v>
      </c>
      <c r="B5036" s="216" t="str">
        <f ca="1">_xlfn.CONCAT(B5020,A5036)</f>
        <v>DDDA80-O</v>
      </c>
      <c r="C5036" s="17"/>
      <c r="D5036" s="184"/>
      <c r="E5036" s="197"/>
      <c r="F5036" s="19"/>
      <c r="G5036" s="20"/>
    </row>
    <row r="5037" spans="1:8">
      <c r="A5037" s="211" t="s">
        <v>499</v>
      </c>
      <c r="B5037" s="216" t="str">
        <f ca="1">_xlfn.CONCAT(B5020,A5037)</f>
        <v>DDDA80-P</v>
      </c>
      <c r="C5037" s="17"/>
      <c r="D5037" s="184"/>
      <c r="E5037" s="197"/>
      <c r="F5037" s="19"/>
      <c r="G5037" s="20"/>
    </row>
    <row r="5038" spans="1:8">
      <c r="A5038" s="211" t="s">
        <v>500</v>
      </c>
      <c r="B5038" s="216" t="str">
        <f ca="1">_xlfn.CONCAT(B5020,A5038)</f>
        <v>DDDA80-Q</v>
      </c>
      <c r="C5038" s="17"/>
      <c r="D5038" s="184"/>
      <c r="E5038" s="197"/>
      <c r="F5038" s="19"/>
      <c r="G5038" s="20"/>
    </row>
    <row r="5039" spans="1:8">
      <c r="A5039" s="211" t="s">
        <v>501</v>
      </c>
      <c r="B5039" s="216" t="str">
        <f ca="1">_xlfn.CONCAT(B5020,A5039)</f>
        <v>DDDA80-R</v>
      </c>
      <c r="C5039" s="17"/>
      <c r="D5039" s="184"/>
      <c r="E5039" s="197"/>
      <c r="F5039" s="19"/>
      <c r="G5039" s="20"/>
    </row>
    <row r="5040" spans="1:8">
      <c r="A5040" s="211" t="s">
        <v>502</v>
      </c>
      <c r="B5040" s="216" t="str">
        <f ca="1">_xlfn.CONCAT(B5020,A5040)</f>
        <v>DDDA80-S</v>
      </c>
      <c r="C5040" s="17"/>
      <c r="D5040" s="184"/>
      <c r="E5040" s="197"/>
      <c r="F5040" s="19"/>
      <c r="G5040" s="20"/>
    </row>
    <row r="5041" spans="1:7">
      <c r="A5041" s="211" t="s">
        <v>503</v>
      </c>
      <c r="B5041" s="216" t="str">
        <f ca="1">_xlfn.CONCAT(B5020,A5041)</f>
        <v>DDDA80-T</v>
      </c>
      <c r="C5041" s="17"/>
      <c r="D5041" s="184"/>
      <c r="E5041" s="197"/>
      <c r="F5041" s="19"/>
      <c r="G5041" s="20"/>
    </row>
    <row r="5042" spans="1:7" ht="14.25" thickBot="1">
      <c r="A5042" s="211" t="s">
        <v>504</v>
      </c>
      <c r="B5042" s="216" t="str">
        <f ca="1">_xlfn.CONCAT(B5020,A5042)</f>
        <v>DDDA80-U</v>
      </c>
      <c r="C5042" s="17"/>
      <c r="D5042" s="184"/>
      <c r="E5042" s="197"/>
      <c r="F5042" s="19"/>
      <c r="G5042" s="20"/>
    </row>
    <row r="5043" spans="1:7" ht="14.25" thickBot="1">
      <c r="A5043" s="211" t="s">
        <v>505</v>
      </c>
      <c r="B5043" s="216" t="str">
        <f ca="1">_xlfn.CONCAT(B5020,A5043)</f>
        <v>DDDA80-V</v>
      </c>
      <c r="C5043" s="17" t="s">
        <v>17</v>
      </c>
      <c r="D5043" s="192" t="s">
        <v>17</v>
      </c>
      <c r="E5043" s="18"/>
      <c r="F5043" s="22" t="s">
        <v>18</v>
      </c>
      <c r="G5043" s="23">
        <f>SUM(G5022:G5042)</f>
        <v>26772.6</v>
      </c>
    </row>
    <row r="5044" spans="1:7" ht="15.75" thickBot="1">
      <c r="A5044" s="211" t="s">
        <v>506</v>
      </c>
      <c r="B5044" s="216" t="str">
        <f ca="1">_xlfn.CONCAT(B5020,A5044)</f>
        <v>DDDA80-W</v>
      </c>
      <c r="C5044" s="10" t="s">
        <v>19</v>
      </c>
      <c r="D5044" s="190"/>
      <c r="E5044" s="11"/>
      <c r="F5044" s="12"/>
      <c r="G5044" s="13"/>
    </row>
    <row r="5045" spans="1:7" ht="14.25" thickBot="1">
      <c r="A5045" s="211" t="s">
        <v>507</v>
      </c>
      <c r="B5045" s="216" t="str">
        <f ca="1">_xlfn.CONCAT(B5020,A5045)</f>
        <v>DDDA80-X</v>
      </c>
      <c r="C5045" s="14" t="s">
        <v>1</v>
      </c>
      <c r="D5045" s="15"/>
      <c r="E5045" s="15" t="s">
        <v>20</v>
      </c>
      <c r="F5045" s="16" t="s">
        <v>21</v>
      </c>
      <c r="G5045" s="15" t="s">
        <v>5</v>
      </c>
    </row>
    <row r="5046" spans="1:7">
      <c r="A5046" s="211" t="s">
        <v>508</v>
      </c>
      <c r="B5046" s="216" t="str">
        <f ca="1">_xlfn.CONCAT(B5020,A5046)</f>
        <v>DDDA80-Y</v>
      </c>
      <c r="C5046" s="24" t="s">
        <v>22</v>
      </c>
      <c r="D5046" s="184"/>
      <c r="E5046" s="25">
        <f>_xlfn.XLOOKUP(C5046,'H-MO'!B$7:B$30,'H-MO'!D$7:D$30,,0,1)</f>
        <v>2436.5624999999995</v>
      </c>
      <c r="F5046" s="19">
        <v>0.3</v>
      </c>
      <c r="G5046" s="33">
        <f t="shared" ref="G5046:G5051" si="148">+E5046*F5046</f>
        <v>730.96874999999989</v>
      </c>
    </row>
    <row r="5047" spans="1:7">
      <c r="A5047" s="211" t="s">
        <v>509</v>
      </c>
      <c r="B5047" s="216" t="str">
        <f ca="1">_xlfn.CONCAT(B5020,A5047)</f>
        <v>DDDA80-Z</v>
      </c>
      <c r="C5047" s="24" t="s">
        <v>23</v>
      </c>
      <c r="D5047" s="184"/>
      <c r="E5047" s="25">
        <f>_xlfn.XLOOKUP(C5047,'H-MO'!B$7:B$30,'H-MO'!D$7:D$30,,0,1)</f>
        <v>1461.9374999999998</v>
      </c>
      <c r="F5047" s="19">
        <v>9.7711304347826086E-2</v>
      </c>
      <c r="G5047" s="33">
        <f t="shared" si="148"/>
        <v>142.84781999999998</v>
      </c>
    </row>
    <row r="5048" spans="1:7">
      <c r="A5048" s="211" t="s">
        <v>510</v>
      </c>
      <c r="B5048" s="216" t="str">
        <f ca="1">_xlfn.CONCAT(B5020,A5048)</f>
        <v>DDDA80-aa</v>
      </c>
      <c r="C5048" s="24" t="s">
        <v>24</v>
      </c>
      <c r="D5048" s="185"/>
      <c r="E5048" s="25">
        <f>_xlfn.XLOOKUP(C5048,'H-MO'!B$7:B$30,'H-MO'!D$7:D$30,,0,1)</f>
        <v>29238.749999999996</v>
      </c>
      <c r="F5048" s="28">
        <v>1.6285217391304348E-3</v>
      </c>
      <c r="G5048" s="33">
        <f t="shared" si="148"/>
        <v>47.615939999999995</v>
      </c>
    </row>
    <row r="5049" spans="1:7">
      <c r="A5049" s="211" t="s">
        <v>511</v>
      </c>
      <c r="B5049" s="216" t="str">
        <f ca="1">_xlfn.CONCAT(B5020,A5049)</f>
        <v>DDDA80-ab</v>
      </c>
      <c r="C5049" s="24" t="s">
        <v>25</v>
      </c>
      <c r="D5049" s="185"/>
      <c r="E5049" s="25">
        <f>_xlfn.XLOOKUP(C5049,'H-MO'!B$7:B$30,'H-MO'!D$7:D$30,,0,1)</f>
        <v>2761.4374999999995</v>
      </c>
      <c r="F5049" s="28">
        <v>0.4</v>
      </c>
      <c r="G5049" s="33">
        <f t="shared" si="148"/>
        <v>1104.5749999999998</v>
      </c>
    </row>
    <row r="5050" spans="1:7">
      <c r="A5050" s="211" t="s">
        <v>512</v>
      </c>
      <c r="B5050" s="216" t="str">
        <f ca="1">_xlfn.CONCAT(B5020,A5050)</f>
        <v>DDDA80-ac</v>
      </c>
      <c r="C5050" s="24"/>
      <c r="D5050" s="185"/>
      <c r="E5050" s="29"/>
      <c r="F5050" s="28"/>
      <c r="G5050" s="33">
        <f t="shared" si="148"/>
        <v>0</v>
      </c>
    </row>
    <row r="5051" spans="1:7" ht="14.25" thickBot="1">
      <c r="A5051" s="211" t="s">
        <v>513</v>
      </c>
      <c r="B5051" s="216" t="str">
        <f ca="1">_xlfn.CONCAT(B5020,A5051)</f>
        <v>DDDA80-ad</v>
      </c>
      <c r="C5051" s="24"/>
      <c r="D5051" s="185"/>
      <c r="E5051" s="29"/>
      <c r="F5051" s="28"/>
      <c r="G5051" s="33">
        <f t="shared" si="148"/>
        <v>0</v>
      </c>
    </row>
    <row r="5052" spans="1:7" ht="14.25" thickBot="1">
      <c r="A5052" s="211" t="s">
        <v>514</v>
      </c>
      <c r="B5052" s="216" t="str">
        <f ca="1">_xlfn.CONCAT(B5020,A5052)</f>
        <v>DDDA80-ae</v>
      </c>
      <c r="C5052" s="17"/>
      <c r="D5052" s="192"/>
      <c r="E5052" s="18"/>
      <c r="F5052" s="22" t="s">
        <v>26</v>
      </c>
      <c r="G5052" s="23">
        <f>SUM(G5046:G5051)</f>
        <v>2026.0075099999997</v>
      </c>
    </row>
    <row r="5053" spans="1:7" ht="15.75" thickBot="1">
      <c r="A5053" s="211" t="s">
        <v>515</v>
      </c>
      <c r="B5053" s="216" t="str">
        <f ca="1">_xlfn.CONCAT(B5020,A5053)</f>
        <v>DDDA80-af</v>
      </c>
      <c r="C5053" s="10" t="s">
        <v>27</v>
      </c>
      <c r="D5053" s="190"/>
      <c r="E5053" s="11"/>
      <c r="F5053" s="12"/>
      <c r="G5053" s="13"/>
    </row>
    <row r="5054" spans="1:7" ht="14.25" thickBot="1">
      <c r="A5054" s="211" t="s">
        <v>516</v>
      </c>
      <c r="B5054" s="216" t="str">
        <f ca="1">_xlfn.CONCAT(B5020,A5054)</f>
        <v>DDDA80-ag</v>
      </c>
      <c r="C5054" s="14" t="s">
        <v>1</v>
      </c>
      <c r="D5054" s="15" t="s">
        <v>28</v>
      </c>
      <c r="E5054" s="15" t="s">
        <v>20</v>
      </c>
      <c r="F5054" s="16" t="s">
        <v>21</v>
      </c>
      <c r="G5054" s="15" t="s">
        <v>5</v>
      </c>
    </row>
    <row r="5055" spans="1:7">
      <c r="A5055" s="211" t="s">
        <v>517</v>
      </c>
      <c r="B5055" s="216" t="str">
        <f ca="1">_xlfn.CONCAT(B5020,A5055)</f>
        <v>DDDA80-ah</v>
      </c>
      <c r="C5055" s="30" t="s">
        <v>29</v>
      </c>
      <c r="D5055" s="186">
        <f>'H-MO'!$N$77</f>
        <v>725918.52892505517</v>
      </c>
      <c r="E5055" s="31">
        <f>+D5055/8</f>
        <v>90739.816115631897</v>
      </c>
      <c r="F5055" s="32">
        <v>0.14000000000000001</v>
      </c>
      <c r="G5055" s="33">
        <f>+E5055*F5055</f>
        <v>12703.574256188467</v>
      </c>
    </row>
    <row r="5056" spans="1:7">
      <c r="A5056" s="211" t="s">
        <v>518</v>
      </c>
      <c r="B5056" s="216" t="str">
        <f ca="1">_xlfn.CONCAT(B5020,A5056)</f>
        <v>DDDA80-ai</v>
      </c>
      <c r="C5056" s="34" t="s">
        <v>30</v>
      </c>
      <c r="D5056" s="187">
        <f>'H-MO'!$N$86</f>
        <v>685561.39085756091</v>
      </c>
      <c r="E5056" s="29">
        <f>+D5056/8</f>
        <v>85695.173857195114</v>
      </c>
      <c r="F5056" s="28">
        <v>0</v>
      </c>
      <c r="G5056" s="33">
        <f>+E5056*F5056</f>
        <v>0</v>
      </c>
    </row>
    <row r="5057" spans="1:8" ht="14.25" thickBot="1">
      <c r="A5057" s="211" t="s">
        <v>519</v>
      </c>
      <c r="B5057" s="216" t="str">
        <f ca="1">_xlfn.CONCAT(B5020,A5057)</f>
        <v>DDDA80-aj</v>
      </c>
      <c r="C5057" s="34"/>
      <c r="D5057" s="187"/>
      <c r="E5057" s="29"/>
      <c r="F5057" s="28"/>
      <c r="G5057" s="33">
        <f>+E5057*F5057</f>
        <v>0</v>
      </c>
    </row>
    <row r="5058" spans="1:8" ht="14.25" thickBot="1">
      <c r="A5058" s="211" t="s">
        <v>520</v>
      </c>
      <c r="B5058" s="216" t="str">
        <f ca="1">_xlfn.CONCAT(B5020,A5058)</f>
        <v>DDDA80-ak</v>
      </c>
      <c r="C5058" s="34"/>
      <c r="D5058" s="185"/>
      <c r="E5058" s="26"/>
      <c r="F5058" s="36" t="s">
        <v>31</v>
      </c>
      <c r="G5058" s="23">
        <f>SUM(G5055:G5057)</f>
        <v>12703.574256188467</v>
      </c>
    </row>
    <row r="5059" spans="1:8" ht="14.25" thickBot="1">
      <c r="A5059" s="211" t="s">
        <v>521</v>
      </c>
      <c r="B5059" s="216" t="str">
        <f ca="1">_xlfn.CONCAT(B5020,A5059)</f>
        <v>DDDA80-al</v>
      </c>
      <c r="C5059" s="37"/>
      <c r="E5059" s="38"/>
      <c r="F5059" s="22"/>
      <c r="G5059" s="39"/>
    </row>
    <row r="5060" spans="1:8" ht="16.5" thickBot="1">
      <c r="A5060" s="211" t="s">
        <v>522</v>
      </c>
      <c r="B5060" s="216" t="str">
        <f ca="1">_xlfn.CONCAT(B5020,A5060)</f>
        <v>DDDA80-am</v>
      </c>
      <c r="C5060" s="40"/>
      <c r="D5060" s="193"/>
      <c r="E5060" s="41"/>
      <c r="F5060" s="42"/>
      <c r="G5060" s="43">
        <f>+G5043+G5052+G5058</f>
        <v>41502.181766188463</v>
      </c>
    </row>
    <row r="5061" spans="1:8" ht="21.75" thickBot="1">
      <c r="B5061" s="212" t="s">
        <v>550</v>
      </c>
      <c r="C5061" s="2"/>
      <c r="D5061" s="183"/>
      <c r="F5061" s="4"/>
      <c r="G5061" s="5"/>
    </row>
    <row r="5062" spans="1:8" ht="18.75">
      <c r="A5062" s="213"/>
      <c r="B5062" s="214">
        <v>116</v>
      </c>
      <c r="C5062" s="242" t="str">
        <f ca="1">_xlfn.XLOOKUP(B5062,Cantidades!$A$10:$A$314,Cantidades!$C$10:$C$314,,0,1)</f>
        <v>Sumninistro e instalación de transformador 75 kVA, 11400/220 V aislado en eceite. Incluye transporte al lugar del proyecto y izaje a la estructura.</v>
      </c>
      <c r="D5062" s="243"/>
      <c r="E5062" s="243"/>
      <c r="F5062" s="243"/>
      <c r="G5062" s="244"/>
    </row>
    <row r="5063" spans="1:8" ht="19.5" thickBot="1">
      <c r="A5063" s="215"/>
      <c r="B5063" s="216" t="s">
        <v>550</v>
      </c>
      <c r="C5063" s="177"/>
      <c r="D5063" s="189"/>
      <c r="E5063" s="178"/>
      <c r="F5063" s="179" t="s">
        <v>636</v>
      </c>
      <c r="G5063" s="209" t="str">
        <f ca="1">B5064</f>
        <v>BD33CD5-</v>
      </c>
    </row>
    <row r="5064" spans="1:8" ht="15.75" thickBot="1">
      <c r="B5064" s="212" t="str">
        <f ca="1">_xlfn.XLOOKUP(C5062,Cantidades!$C$1:$C$314,Cantidades!$B$1:$B$314,"",0,1)</f>
        <v>BD33CD5-</v>
      </c>
      <c r="C5064" s="10" t="s">
        <v>0</v>
      </c>
      <c r="D5064" s="190"/>
      <c r="E5064" s="11"/>
      <c r="F5064" s="12"/>
      <c r="G5064" s="13"/>
    </row>
    <row r="5065" spans="1:8" ht="14.25" thickBot="1">
      <c r="A5065" s="215"/>
      <c r="B5065" s="216" t="s">
        <v>550</v>
      </c>
      <c r="C5065" s="14" t="s">
        <v>1</v>
      </c>
      <c r="D5065" s="15" t="s">
        <v>2</v>
      </c>
      <c r="E5065" s="15" t="s">
        <v>3</v>
      </c>
      <c r="F5065" s="16" t="s">
        <v>4</v>
      </c>
      <c r="G5065" s="15" t="s">
        <v>5</v>
      </c>
    </row>
    <row r="5066" spans="1:8">
      <c r="A5066" s="211" t="s">
        <v>484</v>
      </c>
      <c r="B5066" s="216" t="str">
        <f ca="1">_xlfn.CONCAT(B5064,A5066)</f>
        <v>BD33CD5-A</v>
      </c>
      <c r="C5066" s="17" t="str">
        <f>_xlfn.XLOOKUP(H5066,'Materiales unitario'!$A$1:$A$2500,'Materiales unitario'!B$1:B$2500,,0,1)</f>
        <v xml:space="preserve">Transformador 3ø 15KV / 600V 75KVA aceite </v>
      </c>
      <c r="D5066" s="184" t="str">
        <f>_xlfn.XLOOKUP(H5066,'Materiales unitario'!A$1:A$2500,'Materiales unitario'!C$1:C$2500,,0,1)</f>
        <v>un</v>
      </c>
      <c r="E5066" s="197">
        <f>_xlfn.XLOOKUP(H5066,'Materiales unitario'!$A$1:$A$2500,'Materiales unitario'!D$1:D$2500,,0,1)</f>
        <v>21504490</v>
      </c>
      <c r="F5066" s="19">
        <v>1</v>
      </c>
      <c r="G5066" s="20">
        <f>+E5066*F5066</f>
        <v>21504490</v>
      </c>
      <c r="H5066" s="211" t="s">
        <v>383</v>
      </c>
    </row>
    <row r="5067" spans="1:8">
      <c r="A5067" s="211" t="s">
        <v>485</v>
      </c>
      <c r="B5067" s="216" t="str">
        <f ca="1">_xlfn.CONCAT(B5064,A5067)</f>
        <v>BD33CD5-B</v>
      </c>
      <c r="C5067" s="17" t="str">
        <f>_xlfn.XLOOKUP(H5067,'Materiales unitario'!$A$1:$A$2500,'Materiales unitario'!B$1:B$2500,,0,1)</f>
        <v>Transporte al sitio de la obra</v>
      </c>
      <c r="D5067" s="184" t="str">
        <f>_xlfn.XLOOKUP(H5067,'Materiales unitario'!A$1:A$2500,'Materiales unitario'!C$1:C$2500,,0,1)</f>
        <v>un</v>
      </c>
      <c r="E5067" s="197">
        <f>_xlfn.XLOOKUP(H5067,'Materiales unitario'!$A$1:$A$2500,'Materiales unitario'!D$1:D$2500,,0,1)</f>
        <v>172200</v>
      </c>
      <c r="F5067" s="19">
        <v>2</v>
      </c>
      <c r="G5067" s="20">
        <f>+E5067*F5067</f>
        <v>344400</v>
      </c>
      <c r="H5067" s="211" t="s">
        <v>384</v>
      </c>
    </row>
    <row r="5068" spans="1:8">
      <c r="A5068" s="211" t="s">
        <v>486</v>
      </c>
      <c r="B5068" s="216" t="str">
        <f ca="1">_xlfn.CONCAT(B5064,A5068)</f>
        <v>BD33CD5-C</v>
      </c>
      <c r="C5068" s="17" t="str">
        <f>_xlfn.XLOOKUP(H5068,'Materiales unitario'!$A$1:$A$2500,'Materiales unitario'!B$1:B$2500,,0,1)</f>
        <v>Servicio de grúa en el sitio</v>
      </c>
      <c r="D5068" s="184" t="str">
        <f>_xlfn.XLOOKUP(H5068,'Materiales unitario'!A$1:A$2500,'Materiales unitario'!C$1:C$2500,,0,1)</f>
        <v>hr</v>
      </c>
      <c r="E5068" s="197">
        <f>_xlfn.XLOOKUP(H5068,'Materiales unitario'!$A$1:$A$2500,'Materiales unitario'!D$1:D$2500,,0,1)</f>
        <v>426720</v>
      </c>
      <c r="F5068" s="19">
        <v>1</v>
      </c>
      <c r="G5068" s="20">
        <f>+E5068*F5068</f>
        <v>426720</v>
      </c>
      <c r="H5068" s="211" t="s">
        <v>529</v>
      </c>
    </row>
    <row r="5069" spans="1:8">
      <c r="A5069" s="211" t="s">
        <v>487</v>
      </c>
      <c r="B5069" s="216" t="str">
        <f ca="1">_xlfn.CONCAT(B5064,A5069)</f>
        <v>BD33CD5-D</v>
      </c>
      <c r="C5069" s="17"/>
      <c r="D5069" s="184"/>
      <c r="E5069" s="197"/>
      <c r="F5069" s="19"/>
      <c r="G5069" s="20"/>
    </row>
    <row r="5070" spans="1:8">
      <c r="A5070" s="211" t="s">
        <v>488</v>
      </c>
      <c r="B5070" s="216" t="str">
        <f ca="1">_xlfn.CONCAT(B5064,A5070)</f>
        <v>BD33CD5-E</v>
      </c>
      <c r="C5070" s="17"/>
      <c r="D5070" s="184"/>
      <c r="E5070" s="197"/>
      <c r="F5070" s="19"/>
      <c r="G5070" s="20"/>
    </row>
    <row r="5071" spans="1:8">
      <c r="A5071" s="211" t="s">
        <v>489</v>
      </c>
      <c r="B5071" s="216" t="str">
        <f ca="1">_xlfn.CONCAT(B5064,A5071)</f>
        <v>BD33CD5-F</v>
      </c>
      <c r="C5071" s="17"/>
      <c r="D5071" s="184"/>
      <c r="E5071" s="197"/>
      <c r="F5071" s="19"/>
      <c r="G5071" s="20"/>
    </row>
    <row r="5072" spans="1:8">
      <c r="A5072" s="211" t="s">
        <v>490</v>
      </c>
      <c r="B5072" s="216" t="str">
        <f ca="1">_xlfn.CONCAT(B5064,A5072)</f>
        <v>BD33CD5-G</v>
      </c>
      <c r="C5072" s="17"/>
      <c r="D5072" s="184"/>
      <c r="E5072" s="197"/>
      <c r="F5072" s="19"/>
      <c r="G5072" s="20"/>
    </row>
    <row r="5073" spans="1:7">
      <c r="A5073" s="211" t="s">
        <v>491</v>
      </c>
      <c r="B5073" s="216" t="str">
        <f ca="1">_xlfn.CONCAT(B5064,A5073)</f>
        <v>BD33CD5-H</v>
      </c>
      <c r="C5073" s="17"/>
      <c r="D5073" s="184"/>
      <c r="E5073" s="197"/>
      <c r="F5073" s="19"/>
      <c r="G5073" s="20"/>
    </row>
    <row r="5074" spans="1:7">
      <c r="A5074" s="211" t="s">
        <v>492</v>
      </c>
      <c r="B5074" s="216" t="str">
        <f ca="1">_xlfn.CONCAT(B5064,A5074)</f>
        <v>BD33CD5-I</v>
      </c>
      <c r="C5074" s="17"/>
      <c r="D5074" s="184"/>
      <c r="E5074" s="197"/>
      <c r="F5074" s="19"/>
      <c r="G5074" s="20"/>
    </row>
    <row r="5075" spans="1:7">
      <c r="A5075" s="211" t="s">
        <v>493</v>
      </c>
      <c r="B5075" s="216" t="str">
        <f ca="1">_xlfn.CONCAT(B5064,A5075)</f>
        <v>BD33CD5-J</v>
      </c>
      <c r="C5075" s="17"/>
      <c r="D5075" s="184"/>
      <c r="E5075" s="197"/>
      <c r="F5075" s="19"/>
      <c r="G5075" s="20"/>
    </row>
    <row r="5076" spans="1:7">
      <c r="A5076" s="211" t="s">
        <v>494</v>
      </c>
      <c r="B5076" s="216" t="str">
        <f ca="1">_xlfn.CONCAT(B5064,A5076)</f>
        <v>BD33CD5-K</v>
      </c>
      <c r="C5076" s="17"/>
      <c r="D5076" s="184"/>
      <c r="E5076" s="197"/>
      <c r="F5076" s="19"/>
      <c r="G5076" s="20"/>
    </row>
    <row r="5077" spans="1:7">
      <c r="A5077" s="211" t="s">
        <v>495</v>
      </c>
      <c r="B5077" s="216" t="str">
        <f ca="1">_xlfn.CONCAT(B5064,A5077)</f>
        <v>BD33CD5-L</v>
      </c>
      <c r="C5077" s="17"/>
      <c r="D5077" s="184"/>
      <c r="E5077" s="197"/>
      <c r="F5077" s="19"/>
      <c r="G5077" s="20"/>
    </row>
    <row r="5078" spans="1:7">
      <c r="A5078" s="211" t="s">
        <v>496</v>
      </c>
      <c r="B5078" s="216" t="str">
        <f ca="1">_xlfn.CONCAT(B5064,A5078)</f>
        <v>BD33CD5-M</v>
      </c>
      <c r="C5078" s="17"/>
      <c r="D5078" s="184"/>
      <c r="E5078" s="197"/>
      <c r="F5078" s="19"/>
      <c r="G5078" s="20"/>
    </row>
    <row r="5079" spans="1:7">
      <c r="A5079" s="211" t="s">
        <v>497</v>
      </c>
      <c r="B5079" s="216" t="str">
        <f ca="1">_xlfn.CONCAT(B5064,A5079)</f>
        <v>BD33CD5-N</v>
      </c>
      <c r="C5079" s="17"/>
      <c r="D5079" s="184"/>
      <c r="E5079" s="197"/>
      <c r="F5079" s="19"/>
      <c r="G5079" s="20"/>
    </row>
    <row r="5080" spans="1:7">
      <c r="A5080" s="211" t="s">
        <v>498</v>
      </c>
      <c r="B5080" s="216" t="str">
        <f ca="1">_xlfn.CONCAT(B5064,A5080)</f>
        <v>BD33CD5-O</v>
      </c>
      <c r="C5080" s="17"/>
      <c r="D5080" s="184"/>
      <c r="E5080" s="197"/>
      <c r="F5080" s="19"/>
      <c r="G5080" s="20"/>
    </row>
    <row r="5081" spans="1:7">
      <c r="A5081" s="211" t="s">
        <v>499</v>
      </c>
      <c r="B5081" s="216" t="str">
        <f ca="1">_xlfn.CONCAT(B5064,A5081)</f>
        <v>BD33CD5-P</v>
      </c>
      <c r="C5081" s="17"/>
      <c r="D5081" s="184"/>
      <c r="E5081" s="197"/>
      <c r="F5081" s="19"/>
      <c r="G5081" s="20"/>
    </row>
    <row r="5082" spans="1:7">
      <c r="A5082" s="211" t="s">
        <v>500</v>
      </c>
      <c r="B5082" s="216" t="str">
        <f ca="1">_xlfn.CONCAT(B5064,A5082)</f>
        <v>BD33CD5-Q</v>
      </c>
      <c r="C5082" s="17"/>
      <c r="D5082" s="184"/>
      <c r="E5082" s="197"/>
      <c r="F5082" s="19"/>
      <c r="G5082" s="20"/>
    </row>
    <row r="5083" spans="1:7">
      <c r="A5083" s="211" t="s">
        <v>501</v>
      </c>
      <c r="B5083" s="216" t="str">
        <f ca="1">_xlfn.CONCAT(B5064,A5083)</f>
        <v>BD33CD5-R</v>
      </c>
      <c r="C5083" s="17"/>
      <c r="D5083" s="184"/>
      <c r="E5083" s="197"/>
      <c r="F5083" s="19"/>
      <c r="G5083" s="20"/>
    </row>
    <row r="5084" spans="1:7">
      <c r="A5084" s="211" t="s">
        <v>502</v>
      </c>
      <c r="B5084" s="216" t="str">
        <f ca="1">_xlfn.CONCAT(B5064,A5084)</f>
        <v>BD33CD5-S</v>
      </c>
      <c r="C5084" s="17"/>
      <c r="D5084" s="184"/>
      <c r="E5084" s="197"/>
      <c r="F5084" s="19"/>
      <c r="G5084" s="20"/>
    </row>
    <row r="5085" spans="1:7">
      <c r="A5085" s="211" t="s">
        <v>503</v>
      </c>
      <c r="B5085" s="216" t="str">
        <f ca="1">_xlfn.CONCAT(B5064,A5085)</f>
        <v>BD33CD5-T</v>
      </c>
      <c r="C5085" s="17"/>
      <c r="D5085" s="184"/>
      <c r="E5085" s="197"/>
      <c r="F5085" s="19"/>
      <c r="G5085" s="20"/>
    </row>
    <row r="5086" spans="1:7" ht="14.25" thickBot="1">
      <c r="A5086" s="211" t="s">
        <v>504</v>
      </c>
      <c r="B5086" s="216" t="str">
        <f ca="1">_xlfn.CONCAT(B5064,A5086)</f>
        <v>BD33CD5-U</v>
      </c>
      <c r="C5086" s="17"/>
      <c r="D5086" s="184"/>
      <c r="E5086" s="197"/>
      <c r="F5086" s="19"/>
      <c r="G5086" s="20"/>
    </row>
    <row r="5087" spans="1:7" ht="14.25" thickBot="1">
      <c r="A5087" s="211" t="s">
        <v>505</v>
      </c>
      <c r="B5087" s="216" t="str">
        <f ca="1">_xlfn.CONCAT(B5064,A5087)</f>
        <v>BD33CD5-V</v>
      </c>
      <c r="C5087" s="17" t="s">
        <v>17</v>
      </c>
      <c r="D5087" s="192" t="s">
        <v>17</v>
      </c>
      <c r="E5087" s="18"/>
      <c r="F5087" s="22" t="s">
        <v>18</v>
      </c>
      <c r="G5087" s="23">
        <f>SUM(G5066:G5086)</f>
        <v>22275610</v>
      </c>
    </row>
    <row r="5088" spans="1:7" ht="15.75" thickBot="1">
      <c r="A5088" s="211" t="s">
        <v>506</v>
      </c>
      <c r="B5088" s="216" t="str">
        <f ca="1">_xlfn.CONCAT(B5064,A5088)</f>
        <v>BD33CD5-W</v>
      </c>
      <c r="C5088" s="10" t="s">
        <v>19</v>
      </c>
      <c r="D5088" s="190"/>
      <c r="E5088" s="11"/>
      <c r="F5088" s="12"/>
      <c r="G5088" s="13"/>
    </row>
    <row r="5089" spans="1:7" ht="14.25" thickBot="1">
      <c r="A5089" s="211" t="s">
        <v>507</v>
      </c>
      <c r="B5089" s="216" t="str">
        <f ca="1">_xlfn.CONCAT(B5064,A5089)</f>
        <v>BD33CD5-X</v>
      </c>
      <c r="C5089" s="14" t="s">
        <v>1</v>
      </c>
      <c r="D5089" s="15"/>
      <c r="E5089" s="15" t="s">
        <v>20</v>
      </c>
      <c r="F5089" s="16" t="s">
        <v>21</v>
      </c>
      <c r="G5089" s="15" t="s">
        <v>5</v>
      </c>
    </row>
    <row r="5090" spans="1:7">
      <c r="A5090" s="211" t="s">
        <v>508</v>
      </c>
      <c r="B5090" s="216" t="str">
        <f ca="1">_xlfn.CONCAT(B5064,A5090)</f>
        <v>BD33CD5-Y</v>
      </c>
      <c r="C5090" s="24" t="s">
        <v>22</v>
      </c>
      <c r="D5090" s="184"/>
      <c r="E5090" s="25">
        <f>_xlfn.XLOOKUP(C5090,'H-MO'!B$7:B$30,'H-MO'!D$7:D$30,,0,1)</f>
        <v>2436.5624999999995</v>
      </c>
      <c r="F5090" s="19">
        <v>14</v>
      </c>
      <c r="G5090" s="33">
        <f t="shared" ref="G5090:G5095" si="149">+E5090*F5090</f>
        <v>34111.874999999993</v>
      </c>
    </row>
    <row r="5091" spans="1:7">
      <c r="A5091" s="211" t="s">
        <v>509</v>
      </c>
      <c r="B5091" s="216" t="str">
        <f ca="1">_xlfn.CONCAT(B5064,A5091)</f>
        <v>BD33CD5-Z</v>
      </c>
      <c r="C5091" s="24" t="s">
        <v>23</v>
      </c>
      <c r="D5091" s="184"/>
      <c r="E5091" s="25">
        <f>_xlfn.XLOOKUP(C5091,'H-MO'!B$7:B$30,'H-MO'!D$7:D$30,,0,1)</f>
        <v>1461.9374999999998</v>
      </c>
      <c r="F5091" s="19">
        <v>2</v>
      </c>
      <c r="G5091" s="33">
        <f t="shared" si="149"/>
        <v>2923.8749999999995</v>
      </c>
    </row>
    <row r="5092" spans="1:7">
      <c r="A5092" s="211" t="s">
        <v>510</v>
      </c>
      <c r="B5092" s="216" t="str">
        <f ca="1">_xlfn.CONCAT(B5064,A5092)</f>
        <v>BD33CD5-aa</v>
      </c>
      <c r="C5092" s="24" t="s">
        <v>24</v>
      </c>
      <c r="D5092" s="185"/>
      <c r="E5092" s="25">
        <f>_xlfn.XLOOKUP(C5092,'H-MO'!B$7:B$30,'H-MO'!D$7:D$30,,0,1)</f>
        <v>29238.749999999996</v>
      </c>
      <c r="F5092" s="28">
        <v>12</v>
      </c>
      <c r="G5092" s="33">
        <f t="shared" si="149"/>
        <v>350864.99999999994</v>
      </c>
    </row>
    <row r="5093" spans="1:7">
      <c r="A5093" s="211" t="s">
        <v>511</v>
      </c>
      <c r="B5093" s="216" t="str">
        <f ca="1">_xlfn.CONCAT(B5064,A5093)</f>
        <v>BD33CD5-ab</v>
      </c>
      <c r="C5093" s="24" t="s">
        <v>25</v>
      </c>
      <c r="D5093" s="185"/>
      <c r="E5093" s="25">
        <f>_xlfn.XLOOKUP(C5093,'H-MO'!B$7:B$30,'H-MO'!D$7:D$30,,0,1)</f>
        <v>2761.4374999999995</v>
      </c>
      <c r="F5093" s="28">
        <v>10</v>
      </c>
      <c r="G5093" s="33">
        <f t="shared" si="149"/>
        <v>27614.374999999996</v>
      </c>
    </row>
    <row r="5094" spans="1:7">
      <c r="A5094" s="211" t="s">
        <v>512</v>
      </c>
      <c r="B5094" s="216" t="str">
        <f ca="1">_xlfn.CONCAT(B5064,A5094)</f>
        <v>BD33CD5-ac</v>
      </c>
      <c r="C5094" s="24"/>
      <c r="D5094" s="185"/>
      <c r="E5094" s="29"/>
      <c r="F5094" s="28"/>
      <c r="G5094" s="33">
        <f t="shared" si="149"/>
        <v>0</v>
      </c>
    </row>
    <row r="5095" spans="1:7" ht="14.25" thickBot="1">
      <c r="A5095" s="211" t="s">
        <v>513</v>
      </c>
      <c r="B5095" s="216" t="str">
        <f ca="1">_xlfn.CONCAT(B5064,A5095)</f>
        <v>BD33CD5-ad</v>
      </c>
      <c r="C5095" s="24"/>
      <c r="D5095" s="185"/>
      <c r="E5095" s="29"/>
      <c r="F5095" s="28"/>
      <c r="G5095" s="33">
        <f t="shared" si="149"/>
        <v>0</v>
      </c>
    </row>
    <row r="5096" spans="1:7" ht="14.25" thickBot="1">
      <c r="A5096" s="211" t="s">
        <v>514</v>
      </c>
      <c r="B5096" s="216" t="str">
        <f ca="1">_xlfn.CONCAT(B5064,A5096)</f>
        <v>BD33CD5-ae</v>
      </c>
      <c r="C5096" s="17"/>
      <c r="D5096" s="192"/>
      <c r="E5096" s="18"/>
      <c r="F5096" s="22" t="s">
        <v>26</v>
      </c>
      <c r="G5096" s="23">
        <f>SUM(G5090:G5095)</f>
        <v>415515.12499999994</v>
      </c>
    </row>
    <row r="5097" spans="1:7" ht="15.75" thickBot="1">
      <c r="A5097" s="211" t="s">
        <v>515</v>
      </c>
      <c r="B5097" s="216" t="str">
        <f ca="1">_xlfn.CONCAT(B5064,A5097)</f>
        <v>BD33CD5-af</v>
      </c>
      <c r="C5097" s="10" t="s">
        <v>27</v>
      </c>
      <c r="D5097" s="190"/>
      <c r="E5097" s="11"/>
      <c r="F5097" s="12"/>
      <c r="G5097" s="13"/>
    </row>
    <row r="5098" spans="1:7" ht="14.25" thickBot="1">
      <c r="A5098" s="211" t="s">
        <v>516</v>
      </c>
      <c r="B5098" s="216" t="str">
        <f ca="1">_xlfn.CONCAT(B5064,A5098)</f>
        <v>BD33CD5-ag</v>
      </c>
      <c r="C5098" s="14" t="s">
        <v>1</v>
      </c>
      <c r="D5098" s="15" t="s">
        <v>28</v>
      </c>
      <c r="E5098" s="15" t="s">
        <v>20</v>
      </c>
      <c r="F5098" s="16" t="s">
        <v>21</v>
      </c>
      <c r="G5098" s="15" t="s">
        <v>5</v>
      </c>
    </row>
    <row r="5099" spans="1:7">
      <c r="A5099" s="211" t="s">
        <v>517</v>
      </c>
      <c r="B5099" s="216" t="str">
        <f ca="1">_xlfn.CONCAT(B5064,A5099)</f>
        <v>BD33CD5-ah</v>
      </c>
      <c r="C5099" s="30" t="s">
        <v>29</v>
      </c>
      <c r="D5099" s="186">
        <f>'H-MO'!$N$77</f>
        <v>725918.52892505517</v>
      </c>
      <c r="E5099" s="31">
        <f>+D5099/8</f>
        <v>90739.816115631897</v>
      </c>
      <c r="F5099" s="32">
        <v>14</v>
      </c>
      <c r="G5099" s="33">
        <f>+E5099*F5099</f>
        <v>1270357.4256188464</v>
      </c>
    </row>
    <row r="5100" spans="1:7">
      <c r="A5100" s="211" t="s">
        <v>518</v>
      </c>
      <c r="B5100" s="216" t="str">
        <f ca="1">_xlfn.CONCAT(B5064,A5100)</f>
        <v>BD33CD5-ai</v>
      </c>
      <c r="C5100" s="34" t="s">
        <v>30</v>
      </c>
      <c r="D5100" s="187">
        <f>'H-MO'!$N$86</f>
        <v>685561.39085756091</v>
      </c>
      <c r="E5100" s="29">
        <f>+D5100/8</f>
        <v>85695.173857195114</v>
      </c>
      <c r="F5100" s="28">
        <v>0</v>
      </c>
      <c r="G5100" s="33">
        <f>+E5100*F5100</f>
        <v>0</v>
      </c>
    </row>
    <row r="5101" spans="1:7" ht="14.25" thickBot="1">
      <c r="A5101" s="211" t="s">
        <v>519</v>
      </c>
      <c r="B5101" s="216" t="str">
        <f ca="1">_xlfn.CONCAT(B5064,A5101)</f>
        <v>BD33CD5-aj</v>
      </c>
      <c r="C5101" s="34"/>
      <c r="D5101" s="187"/>
      <c r="E5101" s="29"/>
      <c r="F5101" s="28"/>
      <c r="G5101" s="33">
        <f>+E5101*F5101</f>
        <v>0</v>
      </c>
    </row>
    <row r="5102" spans="1:7" ht="14.25" thickBot="1">
      <c r="A5102" s="211" t="s">
        <v>520</v>
      </c>
      <c r="B5102" s="216" t="str">
        <f ca="1">_xlfn.CONCAT(B5064,A5102)</f>
        <v>BD33CD5-ak</v>
      </c>
      <c r="C5102" s="34"/>
      <c r="D5102" s="185"/>
      <c r="E5102" s="26"/>
      <c r="F5102" s="36" t="s">
        <v>31</v>
      </c>
      <c r="G5102" s="23">
        <f>SUM(G5099:G5101)</f>
        <v>1270357.4256188464</v>
      </c>
    </row>
    <row r="5103" spans="1:7" ht="14.25" thickBot="1">
      <c r="A5103" s="211" t="s">
        <v>521</v>
      </c>
      <c r="B5103" s="216" t="str">
        <f ca="1">_xlfn.CONCAT(B5064,A5103)</f>
        <v>BD33CD5-al</v>
      </c>
      <c r="C5103" s="37"/>
      <c r="E5103" s="38"/>
      <c r="F5103" s="22"/>
      <c r="G5103" s="39"/>
    </row>
    <row r="5104" spans="1:7" ht="16.5" thickBot="1">
      <c r="A5104" s="211" t="s">
        <v>522</v>
      </c>
      <c r="B5104" s="216" t="str">
        <f ca="1">_xlfn.CONCAT(B5064,A5104)</f>
        <v>BD33CD5-am</v>
      </c>
      <c r="C5104" s="40"/>
      <c r="D5104" s="193"/>
      <c r="E5104" s="41"/>
      <c r="F5104" s="42"/>
      <c r="G5104" s="43">
        <f>+G5087+G5096+G5102</f>
        <v>23961482.550618846</v>
      </c>
    </row>
    <row r="5105" spans="1:8" ht="21.75" thickBot="1">
      <c r="B5105" s="212" t="s">
        <v>550</v>
      </c>
      <c r="C5105" s="2"/>
      <c r="D5105" s="183"/>
      <c r="F5105" s="4"/>
      <c r="G5105" s="5"/>
    </row>
    <row r="5106" spans="1:8" ht="18.75">
      <c r="A5106" s="213"/>
      <c r="B5106" s="214">
        <v>117</v>
      </c>
      <c r="C5106" s="242" t="str">
        <f ca="1">_xlfn.XLOOKUP(B5106,Cantidades!$A$10:$A$314,Cantidades!$C$10:$C$314,,0,1)</f>
        <v>Suministro e instalación de Panel LED 60x60. Incluye cable 3#16 encauchetado, prensaestopa y elementos de conexionado.</v>
      </c>
      <c r="D5106" s="243"/>
      <c r="E5106" s="243"/>
      <c r="F5106" s="243"/>
      <c r="G5106" s="244"/>
      <c r="H5106" s="213"/>
    </row>
    <row r="5107" spans="1:8" ht="19.5" thickBot="1">
      <c r="A5107" s="215"/>
      <c r="B5107" s="216" t="s">
        <v>550</v>
      </c>
      <c r="C5107" s="177"/>
      <c r="D5107" s="189"/>
      <c r="E5107" s="178"/>
      <c r="F5107" s="179" t="s">
        <v>636</v>
      </c>
      <c r="G5107" s="209" t="str">
        <f ca="1">B5108</f>
        <v>1E538B21-</v>
      </c>
      <c r="H5107" s="215"/>
    </row>
    <row r="5108" spans="1:8" ht="15.75" thickBot="1">
      <c r="B5108" s="212" t="str">
        <f ca="1">_xlfn.XLOOKUP(C5106,Cantidades!$C$1:$C$314,Cantidades!$B$1:$B$314,"",0,1)</f>
        <v>1E538B21-</v>
      </c>
      <c r="C5108" s="10" t="s">
        <v>0</v>
      </c>
      <c r="D5108" s="190"/>
      <c r="E5108" s="11"/>
      <c r="F5108" s="12"/>
      <c r="G5108" s="13"/>
    </row>
    <row r="5109" spans="1:8" ht="14.25" thickBot="1">
      <c r="A5109" s="215"/>
      <c r="B5109" s="216" t="s">
        <v>550</v>
      </c>
      <c r="C5109" s="14" t="s">
        <v>1</v>
      </c>
      <c r="D5109" s="15" t="s">
        <v>2</v>
      </c>
      <c r="E5109" s="15" t="s">
        <v>3</v>
      </c>
      <c r="F5109" s="16" t="s">
        <v>4</v>
      </c>
      <c r="G5109" s="15" t="s">
        <v>5</v>
      </c>
      <c r="H5109" s="215"/>
    </row>
    <row r="5110" spans="1:8" ht="15">
      <c r="A5110" s="211" t="s">
        <v>484</v>
      </c>
      <c r="B5110" s="216" t="str">
        <f ca="1">_xlfn.CONCAT(B5108,A5110)</f>
        <v>1E538B21-A</v>
      </c>
      <c r="C5110" s="17" t="str">
        <f>_xlfn.XLOOKUP(H5110,'Materiales unitario'!$A$1:$A$2500,'Materiales unitario'!B$1:B$2500,,0,1)</f>
        <v>panel led 60x60</v>
      </c>
      <c r="D5110" s="184" t="str">
        <f>_xlfn.XLOOKUP(H5110,'Materiales unitario'!A$1:A$2500,'Materiales unitario'!C$1:C$2500,,0,1)</f>
        <v>un</v>
      </c>
      <c r="E5110" s="197">
        <f>_xlfn.XLOOKUP(H5110,'Materiales unitario'!$A$1:$A$2500,'Materiales unitario'!D$1:D$2500,,0,1)</f>
        <v>111027</v>
      </c>
      <c r="F5110" s="19">
        <v>1</v>
      </c>
      <c r="G5110" s="20">
        <f>+E5110*F5110</f>
        <v>111027</v>
      </c>
      <c r="H5110" s="217" t="s">
        <v>343</v>
      </c>
    </row>
    <row r="5111" spans="1:8" ht="15">
      <c r="A5111" s="211" t="s">
        <v>485</v>
      </c>
      <c r="B5111" s="216" t="str">
        <f ca="1">_xlfn.CONCAT(B5108,A5111)</f>
        <v>1E538B21-B</v>
      </c>
      <c r="C5111" s="17" t="str">
        <f>_xlfn.XLOOKUP(H5111,'Materiales unitario'!$A$1:$A$2500,'Materiales unitario'!B$1:B$2500,,0,1)</f>
        <v>Conector de resorte naranja "N" 22-16 AWG</v>
      </c>
      <c r="D5111" s="184" t="str">
        <f>_xlfn.XLOOKUP(H5111,'Materiales unitario'!A$1:A$2500,'Materiales unitario'!C$1:C$2500,,0,1)</f>
        <v>un</v>
      </c>
      <c r="E5111" s="197">
        <f>_xlfn.XLOOKUP(H5111,'Materiales unitario'!$A$1:$A$2500,'Materiales unitario'!D$1:D$2500,,0,1)</f>
        <v>150</v>
      </c>
      <c r="F5111" s="19">
        <v>2</v>
      </c>
      <c r="G5111" s="20">
        <f>+E5111*F5111</f>
        <v>300</v>
      </c>
      <c r="H5111" s="217" t="s">
        <v>682</v>
      </c>
    </row>
    <row r="5112" spans="1:8" ht="15">
      <c r="A5112" s="211" t="s">
        <v>486</v>
      </c>
      <c r="B5112" s="216" t="str">
        <f ca="1">_xlfn.CONCAT(B5108,A5112)</f>
        <v>1E538B21-C</v>
      </c>
      <c r="C5112" s="17" t="str">
        <f>_xlfn.XLOOKUP(H5112,'Materiales unitario'!$A$1:$A$2500,'Materiales unitario'!B$1:B$2500,,0,1)</f>
        <v>Cable flexible encauchetado ST-C 3x16 AWG</v>
      </c>
      <c r="D5112" s="184" t="str">
        <f>_xlfn.XLOOKUP(H5112,'Materiales unitario'!A$1:A$2500,'Materiales unitario'!C$1:C$2500,,0,1)</f>
        <v>ml</v>
      </c>
      <c r="E5112" s="197">
        <f>_xlfn.XLOOKUP(H5112,'Materiales unitario'!$A$1:$A$2500,'Materiales unitario'!D$1:D$2500,,0,1)</f>
        <v>4730</v>
      </c>
      <c r="F5112" s="19">
        <v>3</v>
      </c>
      <c r="G5112" s="20">
        <f>+E5112*F5112</f>
        <v>14190</v>
      </c>
      <c r="H5112" s="217" t="s">
        <v>278</v>
      </c>
    </row>
    <row r="5113" spans="1:8" ht="15">
      <c r="A5113" s="211" t="s">
        <v>487</v>
      </c>
      <c r="B5113" s="216" t="str">
        <f ca="1">_xlfn.CONCAT(B5108,A5113)</f>
        <v>1E538B21-D</v>
      </c>
      <c r="C5113" s="17" t="str">
        <f>_xlfn.XLOOKUP(H5113,'Materiales unitario'!$A$1:$A$2500,'Materiales unitario'!B$1:B$2500,,0,1)</f>
        <v>Marquillas para circuito</v>
      </c>
      <c r="D5113" s="184" t="str">
        <f>_xlfn.XLOOKUP(H5113,'Materiales unitario'!A$1:A$2500,'Materiales unitario'!C$1:C$2500,,0,1)</f>
        <v>un</v>
      </c>
      <c r="E5113" s="197">
        <f>_xlfn.XLOOKUP(H5113,'Materiales unitario'!$A$1:$A$2500,'Materiales unitario'!D$1:D$2500,,0,1)</f>
        <v>1000</v>
      </c>
      <c r="F5113" s="19">
        <v>1</v>
      </c>
      <c r="G5113" s="20">
        <f>+E5113*F5113</f>
        <v>1000</v>
      </c>
      <c r="H5113" s="217" t="s">
        <v>339</v>
      </c>
    </row>
    <row r="5114" spans="1:8" ht="15">
      <c r="A5114" s="211" t="s">
        <v>488</v>
      </c>
      <c r="B5114" s="216" t="str">
        <f ca="1">_xlfn.CONCAT(B5108,A5114)</f>
        <v>1E538B21-E</v>
      </c>
      <c r="C5114" s="17" t="str">
        <f>_xlfn.XLOOKUP(H5114,'Materiales unitario'!$A$1:$A$2500,'Materiales unitario'!B$1:B$2500,,0,1)</f>
        <v>Prensaestopa de 10 a 14 mm ø1/2"</v>
      </c>
      <c r="D5114" s="184" t="str">
        <f>_xlfn.XLOOKUP(H5114,'Materiales unitario'!A$1:A$2500,'Materiales unitario'!C$1:C$2500,,0,1)</f>
        <v>un</v>
      </c>
      <c r="E5114" s="197">
        <f>_xlfn.XLOOKUP(H5114,'Materiales unitario'!$A$1:$A$2500,'Materiales unitario'!D$1:D$2500,,0,1)</f>
        <v>1460</v>
      </c>
      <c r="F5114" s="19">
        <v>1</v>
      </c>
      <c r="G5114" s="20">
        <f>+E5114*F5114</f>
        <v>1460</v>
      </c>
      <c r="H5114" s="217" t="s">
        <v>351</v>
      </c>
    </row>
    <row r="5115" spans="1:8" ht="15">
      <c r="A5115" s="211" t="s">
        <v>489</v>
      </c>
      <c r="B5115" s="216" t="str">
        <f ca="1">_xlfn.CONCAT(B5108,A5115)</f>
        <v>1E538B21-F</v>
      </c>
      <c r="C5115" s="17"/>
      <c r="D5115" s="184"/>
      <c r="E5115" s="197"/>
      <c r="F5115" s="19"/>
      <c r="G5115" s="20"/>
      <c r="H5115" s="217"/>
    </row>
    <row r="5116" spans="1:8" ht="15">
      <c r="A5116" s="211" t="s">
        <v>490</v>
      </c>
      <c r="B5116" s="216" t="str">
        <f ca="1">_xlfn.CONCAT(B5108,A5116)</f>
        <v>1E538B21-G</v>
      </c>
      <c r="C5116" s="17"/>
      <c r="D5116" s="184"/>
      <c r="E5116" s="197"/>
      <c r="F5116" s="19"/>
      <c r="G5116" s="20"/>
      <c r="H5116" s="217"/>
    </row>
    <row r="5117" spans="1:8" ht="15">
      <c r="A5117" s="211" t="s">
        <v>491</v>
      </c>
      <c r="B5117" s="216" t="str">
        <f ca="1">_xlfn.CONCAT(B5108,A5117)</f>
        <v>1E538B21-H</v>
      </c>
      <c r="C5117" s="17"/>
      <c r="D5117" s="184"/>
      <c r="E5117" s="197"/>
      <c r="F5117" s="19"/>
      <c r="G5117" s="20"/>
      <c r="H5117" s="217"/>
    </row>
    <row r="5118" spans="1:8" ht="15">
      <c r="A5118" s="211" t="s">
        <v>492</v>
      </c>
      <c r="B5118" s="216" t="str">
        <f ca="1">_xlfn.CONCAT(B5108,A5118)</f>
        <v>1E538B21-I</v>
      </c>
      <c r="C5118" s="17"/>
      <c r="D5118" s="184"/>
      <c r="E5118" s="197"/>
      <c r="F5118" s="19"/>
      <c r="G5118" s="20"/>
      <c r="H5118" s="217"/>
    </row>
    <row r="5119" spans="1:8" ht="15">
      <c r="A5119" s="211" t="s">
        <v>493</v>
      </c>
      <c r="B5119" s="216" t="str">
        <f ca="1">_xlfn.CONCAT(B5108,A5119)</f>
        <v>1E538B21-J</v>
      </c>
      <c r="C5119" s="17"/>
      <c r="D5119" s="184"/>
      <c r="E5119" s="197"/>
      <c r="F5119" s="19"/>
      <c r="G5119" s="20"/>
      <c r="H5119" s="217"/>
    </row>
    <row r="5120" spans="1:8" ht="15">
      <c r="A5120" s="211" t="s">
        <v>494</v>
      </c>
      <c r="B5120" s="216" t="str">
        <f ca="1">_xlfn.CONCAT(B5108,A5120)</f>
        <v>1E538B21-K</v>
      </c>
      <c r="C5120" s="17"/>
      <c r="D5120" s="184"/>
      <c r="E5120" s="197"/>
      <c r="F5120" s="19"/>
      <c r="G5120" s="20"/>
      <c r="H5120" s="217"/>
    </row>
    <row r="5121" spans="1:8" ht="15">
      <c r="A5121" s="211" t="s">
        <v>495</v>
      </c>
      <c r="B5121" s="216" t="str">
        <f ca="1">_xlfn.CONCAT(B5108,A5121)</f>
        <v>1E538B21-L</v>
      </c>
      <c r="C5121" s="17"/>
      <c r="D5121" s="184"/>
      <c r="E5121" s="197"/>
      <c r="F5121" s="19"/>
      <c r="G5121" s="20"/>
      <c r="H5121" s="217"/>
    </row>
    <row r="5122" spans="1:8" ht="15">
      <c r="A5122" s="211" t="s">
        <v>496</v>
      </c>
      <c r="B5122" s="216" t="str">
        <f ca="1">_xlfn.CONCAT(B5108,A5122)</f>
        <v>1E538B21-M</v>
      </c>
      <c r="C5122" s="17"/>
      <c r="D5122" s="184"/>
      <c r="E5122" s="197"/>
      <c r="F5122" s="19"/>
      <c r="G5122" s="20"/>
      <c r="H5122" s="217"/>
    </row>
    <row r="5123" spans="1:8">
      <c r="A5123" s="211" t="s">
        <v>497</v>
      </c>
      <c r="B5123" s="216" t="str">
        <f ca="1">_xlfn.CONCAT(B5108,A5123)</f>
        <v>1E538B21-N</v>
      </c>
      <c r="C5123" s="17"/>
      <c r="D5123" s="184"/>
      <c r="E5123" s="197"/>
      <c r="F5123" s="19"/>
      <c r="G5123" s="20"/>
    </row>
    <row r="5124" spans="1:8">
      <c r="A5124" s="211" t="s">
        <v>498</v>
      </c>
      <c r="B5124" s="216" t="str">
        <f ca="1">_xlfn.CONCAT(B5108,A5124)</f>
        <v>1E538B21-O</v>
      </c>
      <c r="C5124" s="17"/>
      <c r="D5124" s="184"/>
      <c r="E5124" s="197"/>
      <c r="F5124" s="19"/>
      <c r="G5124" s="20"/>
    </row>
    <row r="5125" spans="1:8">
      <c r="A5125" s="211" t="s">
        <v>499</v>
      </c>
      <c r="B5125" s="216" t="str">
        <f ca="1">_xlfn.CONCAT(B5108,A5125)</f>
        <v>1E538B21-P</v>
      </c>
      <c r="C5125" s="17"/>
      <c r="D5125" s="184"/>
      <c r="E5125" s="197"/>
      <c r="F5125" s="19"/>
      <c r="G5125" s="20"/>
    </row>
    <row r="5126" spans="1:8">
      <c r="A5126" s="211" t="s">
        <v>500</v>
      </c>
      <c r="B5126" s="216" t="str">
        <f ca="1">_xlfn.CONCAT(B5108,A5126)</f>
        <v>1E538B21-Q</v>
      </c>
      <c r="C5126" s="17"/>
      <c r="D5126" s="184"/>
      <c r="E5126" s="197"/>
      <c r="F5126" s="19"/>
      <c r="G5126" s="20"/>
    </row>
    <row r="5127" spans="1:8">
      <c r="A5127" s="211" t="s">
        <v>501</v>
      </c>
      <c r="B5127" s="216" t="str">
        <f ca="1">_xlfn.CONCAT(B5108,A5127)</f>
        <v>1E538B21-R</v>
      </c>
      <c r="C5127" s="17"/>
      <c r="D5127" s="184"/>
      <c r="E5127" s="197"/>
      <c r="F5127" s="19"/>
      <c r="G5127" s="20"/>
    </row>
    <row r="5128" spans="1:8">
      <c r="A5128" s="211" t="s">
        <v>502</v>
      </c>
      <c r="B5128" s="216" t="str">
        <f ca="1">_xlfn.CONCAT(B5108,A5128)</f>
        <v>1E538B21-S</v>
      </c>
      <c r="C5128" s="17"/>
      <c r="D5128" s="184"/>
      <c r="E5128" s="197"/>
      <c r="F5128" s="19"/>
      <c r="G5128" s="20"/>
    </row>
    <row r="5129" spans="1:8">
      <c r="A5129" s="211" t="s">
        <v>503</v>
      </c>
      <c r="B5129" s="216" t="str">
        <f ca="1">_xlfn.CONCAT(B5108,A5129)</f>
        <v>1E538B21-T</v>
      </c>
      <c r="C5129" s="17"/>
      <c r="D5129" s="184"/>
      <c r="E5129" s="197"/>
      <c r="F5129" s="19"/>
      <c r="G5129" s="20"/>
    </row>
    <row r="5130" spans="1:8" ht="14.25" thickBot="1">
      <c r="A5130" s="211" t="s">
        <v>504</v>
      </c>
      <c r="B5130" s="216" t="str">
        <f ca="1">_xlfn.CONCAT(B5108,A5130)</f>
        <v>1E538B21-U</v>
      </c>
      <c r="C5130" s="17"/>
      <c r="D5130" s="184"/>
      <c r="E5130" s="197"/>
      <c r="F5130" s="19"/>
      <c r="G5130" s="20"/>
    </row>
    <row r="5131" spans="1:8" ht="14.25" thickBot="1">
      <c r="A5131" s="211" t="s">
        <v>505</v>
      </c>
      <c r="B5131" s="216" t="str">
        <f ca="1">_xlfn.CONCAT(B5108,A5131)</f>
        <v>1E538B21-V</v>
      </c>
      <c r="C5131" s="17" t="s">
        <v>17</v>
      </c>
      <c r="D5131" s="192" t="s">
        <v>17</v>
      </c>
      <c r="E5131" s="18"/>
      <c r="F5131" s="22" t="s">
        <v>18</v>
      </c>
      <c r="G5131" s="23">
        <f>SUM(G5110:G5130)</f>
        <v>127977</v>
      </c>
    </row>
    <row r="5132" spans="1:8" ht="15.75" thickBot="1">
      <c r="A5132" s="211" t="s">
        <v>506</v>
      </c>
      <c r="B5132" s="216" t="str">
        <f ca="1">_xlfn.CONCAT(B5108,A5132)</f>
        <v>1E538B21-W</v>
      </c>
      <c r="C5132" s="10" t="s">
        <v>19</v>
      </c>
      <c r="D5132" s="190"/>
      <c r="E5132" s="11"/>
      <c r="F5132" s="12"/>
      <c r="G5132" s="13"/>
    </row>
    <row r="5133" spans="1:8" ht="14.25" thickBot="1">
      <c r="A5133" s="211" t="s">
        <v>507</v>
      </c>
      <c r="B5133" s="216" t="str">
        <f ca="1">_xlfn.CONCAT(B5108,A5133)</f>
        <v>1E538B21-X</v>
      </c>
      <c r="C5133" s="14" t="s">
        <v>1</v>
      </c>
      <c r="D5133" s="15"/>
      <c r="E5133" s="15" t="s">
        <v>20</v>
      </c>
      <c r="F5133" s="16" t="s">
        <v>21</v>
      </c>
      <c r="G5133" s="15" t="s">
        <v>5</v>
      </c>
      <c r="H5133" s="215"/>
    </row>
    <row r="5134" spans="1:8">
      <c r="A5134" s="211" t="s">
        <v>508</v>
      </c>
      <c r="B5134" s="216" t="str">
        <f ca="1">_xlfn.CONCAT(B5108,A5134)</f>
        <v>1E538B21-Y</v>
      </c>
      <c r="C5134" s="24" t="s">
        <v>22</v>
      </c>
      <c r="D5134" s="184"/>
      <c r="E5134" s="25">
        <f>_xlfn.XLOOKUP(C5134,'H-MO'!B$7:B$30,'H-MO'!D$7:D$30,,0,1)</f>
        <v>2436.5624999999995</v>
      </c>
      <c r="F5134" s="19">
        <v>0.04</v>
      </c>
      <c r="G5134" s="33">
        <f t="shared" ref="G5134:G5139" si="150">+E5134*F5134</f>
        <v>97.462499999999977</v>
      </c>
    </row>
    <row r="5135" spans="1:8">
      <c r="A5135" s="211" t="s">
        <v>509</v>
      </c>
      <c r="B5135" s="216" t="str">
        <f ca="1">_xlfn.CONCAT(B5108,A5135)</f>
        <v>1E538B21-Z</v>
      </c>
      <c r="C5135" s="24" t="s">
        <v>23</v>
      </c>
      <c r="D5135" s="184"/>
      <c r="E5135" s="25">
        <f>_xlfn.XLOOKUP(C5135,'H-MO'!B$7:B$30,'H-MO'!D$7:D$30,,0,1)</f>
        <v>1461.9374999999998</v>
      </c>
      <c r="F5135" s="19">
        <v>0.03</v>
      </c>
      <c r="G5135" s="33">
        <f t="shared" si="150"/>
        <v>43.858124999999994</v>
      </c>
    </row>
    <row r="5136" spans="1:8">
      <c r="A5136" s="211" t="s">
        <v>510</v>
      </c>
      <c r="B5136" s="216" t="str">
        <f ca="1">_xlfn.CONCAT(B5108,A5136)</f>
        <v>1E538B21-aa</v>
      </c>
      <c r="C5136" s="24" t="s">
        <v>24</v>
      </c>
      <c r="D5136" s="185"/>
      <c r="E5136" s="25">
        <f>_xlfn.XLOOKUP(C5136,'H-MO'!B$7:B$30,'H-MO'!D$7:D$30,,0,1)</f>
        <v>29238.749999999996</v>
      </c>
      <c r="F5136" s="28">
        <v>7.0000000000000001E-3</v>
      </c>
      <c r="G5136" s="33">
        <f t="shared" si="150"/>
        <v>204.67124999999999</v>
      </c>
    </row>
    <row r="5137" spans="1:8">
      <c r="A5137" s="211" t="s">
        <v>511</v>
      </c>
      <c r="B5137" s="216" t="str">
        <f ca="1">_xlfn.CONCAT(B5108,A5137)</f>
        <v>1E538B21-ab</v>
      </c>
      <c r="C5137" s="24" t="s">
        <v>25</v>
      </c>
      <c r="D5137" s="185"/>
      <c r="E5137" s="25">
        <f>_xlfn.XLOOKUP(C5137,'H-MO'!B$7:B$30,'H-MO'!D$7:D$30,,0,1)</f>
        <v>2761.4374999999995</v>
      </c>
      <c r="F5137" s="28">
        <v>0.1</v>
      </c>
      <c r="G5137" s="33">
        <f t="shared" si="150"/>
        <v>276.14374999999995</v>
      </c>
    </row>
    <row r="5138" spans="1:8">
      <c r="A5138" s="211" t="s">
        <v>512</v>
      </c>
      <c r="B5138" s="216" t="str">
        <f ca="1">_xlfn.CONCAT(B5108,A5138)</f>
        <v>1E538B21-ac</v>
      </c>
      <c r="C5138" s="24"/>
      <c r="D5138" s="185"/>
      <c r="E5138" s="29"/>
      <c r="F5138" s="28"/>
      <c r="G5138" s="33">
        <f t="shared" si="150"/>
        <v>0</v>
      </c>
    </row>
    <row r="5139" spans="1:8" ht="14.25" thickBot="1">
      <c r="A5139" s="211" t="s">
        <v>513</v>
      </c>
      <c r="B5139" s="216" t="str">
        <f ca="1">_xlfn.CONCAT(B5108,A5139)</f>
        <v>1E538B21-ad</v>
      </c>
      <c r="C5139" s="24"/>
      <c r="D5139" s="185"/>
      <c r="E5139" s="29"/>
      <c r="F5139" s="28"/>
      <c r="G5139" s="33">
        <f t="shared" si="150"/>
        <v>0</v>
      </c>
    </row>
    <row r="5140" spans="1:8" ht="14.25" thickBot="1">
      <c r="A5140" s="211" t="s">
        <v>514</v>
      </c>
      <c r="B5140" s="216" t="str">
        <f ca="1">_xlfn.CONCAT(B5108,A5140)</f>
        <v>1E538B21-ae</v>
      </c>
      <c r="C5140" s="17"/>
      <c r="D5140" s="192"/>
      <c r="E5140" s="18"/>
      <c r="F5140" s="22" t="s">
        <v>26</v>
      </c>
      <c r="G5140" s="23">
        <f>SUM(G5134:G5139)</f>
        <v>622.13562499999989</v>
      </c>
    </row>
    <row r="5141" spans="1:8" ht="15.75" thickBot="1">
      <c r="A5141" s="211" t="s">
        <v>515</v>
      </c>
      <c r="B5141" s="216" t="str">
        <f ca="1">_xlfn.CONCAT(B5108,A5141)</f>
        <v>1E538B21-af</v>
      </c>
      <c r="C5141" s="10" t="s">
        <v>27</v>
      </c>
      <c r="D5141" s="190"/>
      <c r="E5141" s="11"/>
      <c r="F5141" s="12"/>
      <c r="G5141" s="13"/>
    </row>
    <row r="5142" spans="1:8" ht="14.25" thickBot="1">
      <c r="A5142" s="211" t="s">
        <v>516</v>
      </c>
      <c r="B5142" s="216" t="str">
        <f ca="1">_xlfn.CONCAT(B5108,A5142)</f>
        <v>1E538B21-ag</v>
      </c>
      <c r="C5142" s="14" t="s">
        <v>1</v>
      </c>
      <c r="D5142" s="15" t="s">
        <v>28</v>
      </c>
      <c r="E5142" s="15" t="s">
        <v>20</v>
      </c>
      <c r="F5142" s="16" t="s">
        <v>21</v>
      </c>
      <c r="G5142" s="15" t="s">
        <v>5</v>
      </c>
      <c r="H5142" s="215"/>
    </row>
    <row r="5143" spans="1:8">
      <c r="A5143" s="211" t="s">
        <v>517</v>
      </c>
      <c r="B5143" s="216" t="str">
        <f ca="1">_xlfn.CONCAT(B5108,A5143)</f>
        <v>1E538B21-ah</v>
      </c>
      <c r="C5143" s="30" t="s">
        <v>29</v>
      </c>
      <c r="D5143" s="186">
        <f>'H-MO'!$N$77</f>
        <v>725918.52892505517</v>
      </c>
      <c r="E5143" s="31">
        <f>+D5143/8</f>
        <v>90739.816115631897</v>
      </c>
      <c r="F5143" s="32">
        <v>0.12</v>
      </c>
      <c r="G5143" s="33">
        <f>+E5143*F5143</f>
        <v>10888.777933875826</v>
      </c>
    </row>
    <row r="5144" spans="1:8">
      <c r="A5144" s="211" t="s">
        <v>518</v>
      </c>
      <c r="B5144" s="216" t="str">
        <f ca="1">_xlfn.CONCAT(B5108,A5144)</f>
        <v>1E538B21-ai</v>
      </c>
      <c r="C5144" s="34" t="s">
        <v>30</v>
      </c>
      <c r="D5144" s="187">
        <f>'H-MO'!$N$86</f>
        <v>685561.39085756091</v>
      </c>
      <c r="E5144" s="29">
        <f>+D5144/8</f>
        <v>85695.173857195114</v>
      </c>
      <c r="F5144" s="28">
        <v>0</v>
      </c>
      <c r="G5144" s="33">
        <f>+E5144*F5144</f>
        <v>0</v>
      </c>
    </row>
    <row r="5145" spans="1:8" ht="14.25" thickBot="1">
      <c r="A5145" s="211" t="s">
        <v>519</v>
      </c>
      <c r="B5145" s="216" t="str">
        <f ca="1">_xlfn.CONCAT(B5108,A5145)</f>
        <v>1E538B21-aj</v>
      </c>
      <c r="C5145" s="34"/>
      <c r="D5145" s="187"/>
      <c r="E5145" s="29"/>
      <c r="F5145" s="28"/>
      <c r="G5145" s="33">
        <f>+E5145*F5145</f>
        <v>0</v>
      </c>
    </row>
    <row r="5146" spans="1:8" ht="14.25" thickBot="1">
      <c r="A5146" s="211" t="s">
        <v>520</v>
      </c>
      <c r="B5146" s="216" t="str">
        <f ca="1">_xlfn.CONCAT(B5108,A5146)</f>
        <v>1E538B21-ak</v>
      </c>
      <c r="C5146" s="34"/>
      <c r="D5146" s="185"/>
      <c r="E5146" s="26"/>
      <c r="F5146" s="36" t="s">
        <v>31</v>
      </c>
      <c r="G5146" s="23">
        <f>SUM(G5143:G5145)</f>
        <v>10888.777933875826</v>
      </c>
    </row>
    <row r="5147" spans="1:8" ht="14.25" thickBot="1">
      <c r="A5147" s="211" t="s">
        <v>521</v>
      </c>
      <c r="B5147" s="216" t="str">
        <f ca="1">_xlfn.CONCAT(B5108,A5147)</f>
        <v>1E538B21-al</v>
      </c>
      <c r="C5147" s="37"/>
      <c r="E5147" s="38"/>
      <c r="F5147" s="22"/>
      <c r="G5147" s="39"/>
    </row>
    <row r="5148" spans="1:8" ht="16.5" thickBot="1">
      <c r="A5148" s="211" t="s">
        <v>522</v>
      </c>
      <c r="B5148" s="216" t="str">
        <f ca="1">_xlfn.CONCAT(B5108,A5148)</f>
        <v>1E538B21-am</v>
      </c>
      <c r="C5148" s="40"/>
      <c r="D5148" s="193"/>
      <c r="E5148" s="41"/>
      <c r="F5148" s="42"/>
      <c r="G5148" s="43">
        <f>+G5131+G5140+G5146</f>
        <v>139487.91355887582</v>
      </c>
    </row>
    <row r="5149" spans="1:8" ht="21.75" thickBot="1">
      <c r="B5149" s="212" t="s">
        <v>550</v>
      </c>
      <c r="C5149" s="2"/>
      <c r="D5149" s="183"/>
      <c r="F5149" s="4"/>
      <c r="G5149" s="5"/>
    </row>
    <row r="5150" spans="1:8" ht="18.75">
      <c r="A5150" s="213"/>
      <c r="B5150" s="214">
        <v>118</v>
      </c>
      <c r="C5150" s="242" t="str">
        <f ca="1">_xlfn.XLOOKUP(B5150,Cantidades!$A$10:$A$314,Cantidades!$C$10:$C$314,,0,1)</f>
        <v>Suministro e instalación de Luminaria Hermética LED 2x25W T5 Sylvania. Incluye cable 3#16 encauchetado, prensaestopa y elementos de conexionado.</v>
      </c>
      <c r="D5150" s="243"/>
      <c r="E5150" s="243"/>
      <c r="F5150" s="243"/>
      <c r="G5150" s="244"/>
      <c r="H5150" s="213"/>
    </row>
    <row r="5151" spans="1:8" ht="19.5" thickBot="1">
      <c r="A5151" s="215"/>
      <c r="B5151" s="216" t="s">
        <v>550</v>
      </c>
      <c r="C5151" s="177"/>
      <c r="D5151" s="189"/>
      <c r="E5151" s="178"/>
      <c r="F5151" s="179" t="s">
        <v>636</v>
      </c>
      <c r="G5151" s="209" t="str">
        <f ca="1">B5152</f>
        <v>28AF4741-</v>
      </c>
      <c r="H5151" s="215"/>
    </row>
    <row r="5152" spans="1:8" ht="15.75" thickBot="1">
      <c r="B5152" s="212" t="str">
        <f ca="1">_xlfn.XLOOKUP(C5150,Cantidades!$C$1:$C$314,Cantidades!$B$1:$B$314,"",0,1)</f>
        <v>28AF4741-</v>
      </c>
      <c r="C5152" s="10" t="s">
        <v>0</v>
      </c>
      <c r="D5152" s="190"/>
      <c r="E5152" s="11"/>
      <c r="F5152" s="12"/>
      <c r="G5152" s="13"/>
    </row>
    <row r="5153" spans="1:8" ht="14.25" thickBot="1">
      <c r="A5153" s="215"/>
      <c r="B5153" s="216" t="s">
        <v>550</v>
      </c>
      <c r="C5153" s="14" t="s">
        <v>1</v>
      </c>
      <c r="D5153" s="15" t="s">
        <v>2</v>
      </c>
      <c r="E5153" s="15" t="s">
        <v>3</v>
      </c>
      <c r="F5153" s="16" t="s">
        <v>4</v>
      </c>
      <c r="G5153" s="15" t="s">
        <v>5</v>
      </c>
      <c r="H5153" s="215"/>
    </row>
    <row r="5154" spans="1:8" ht="15">
      <c r="A5154" s="211" t="s">
        <v>484</v>
      </c>
      <c r="B5154" s="216" t="str">
        <f ca="1">_xlfn.CONCAT(B5152,A5154)</f>
        <v>28AF4741-A</v>
      </c>
      <c r="C5154" s="17" t="str">
        <f>_xlfn.XLOOKUP(H5154,'Materiales unitario'!$A$1:$A$2500,'Materiales unitario'!B$1:B$2500,,0,1)</f>
        <v>Sylvania lampara hermetica 2x25</v>
      </c>
      <c r="D5154" s="184" t="str">
        <f>_xlfn.XLOOKUP(H5154,'Materiales unitario'!A$1:A$2500,'Materiales unitario'!C$1:C$2500,,0,1)</f>
        <v>un</v>
      </c>
      <c r="E5154" s="197">
        <f>_xlfn.XLOOKUP(H5154,'Materiales unitario'!$A$1:$A$2500,'Materiales unitario'!D$1:D$2500,,0,1)</f>
        <v>175763</v>
      </c>
      <c r="F5154" s="19">
        <v>1</v>
      </c>
      <c r="G5154" s="20">
        <f>+E5154*F5154</f>
        <v>175763</v>
      </c>
      <c r="H5154" s="217" t="s">
        <v>1169</v>
      </c>
    </row>
    <row r="5155" spans="1:8" ht="15">
      <c r="A5155" s="211" t="s">
        <v>485</v>
      </c>
      <c r="B5155" s="216" t="str">
        <f ca="1">_xlfn.CONCAT(B5152,A5155)</f>
        <v>28AF4741-B</v>
      </c>
      <c r="C5155" s="17" t="str">
        <f>_xlfn.XLOOKUP(H5155,'Materiales unitario'!$A$1:$A$2500,'Materiales unitario'!B$1:B$2500,,0,1)</f>
        <v>Conector de resorte naranja "N" 22-16 AWG</v>
      </c>
      <c r="D5155" s="184" t="str">
        <f>_xlfn.XLOOKUP(H5155,'Materiales unitario'!A$1:A$2500,'Materiales unitario'!C$1:C$2500,,0,1)</f>
        <v>un</v>
      </c>
      <c r="E5155" s="197">
        <f>_xlfn.XLOOKUP(H5155,'Materiales unitario'!$A$1:$A$2500,'Materiales unitario'!D$1:D$2500,,0,1)</f>
        <v>150</v>
      </c>
      <c r="F5155" s="19">
        <v>2</v>
      </c>
      <c r="G5155" s="20">
        <f>+E5155*F5155</f>
        <v>300</v>
      </c>
      <c r="H5155" s="217" t="s">
        <v>682</v>
      </c>
    </row>
    <row r="5156" spans="1:8" ht="15">
      <c r="A5156" s="211" t="s">
        <v>486</v>
      </c>
      <c r="B5156" s="216" t="str">
        <f ca="1">_xlfn.CONCAT(B5152,A5156)</f>
        <v>28AF4741-C</v>
      </c>
      <c r="C5156" s="17" t="str">
        <f>_xlfn.XLOOKUP(H5156,'Materiales unitario'!$A$1:$A$2500,'Materiales unitario'!B$1:B$2500,,0,1)</f>
        <v>Cable flexible encauchetado ST-C 3x16 AWG</v>
      </c>
      <c r="D5156" s="184" t="str">
        <f>_xlfn.XLOOKUP(H5156,'Materiales unitario'!A$1:A$2500,'Materiales unitario'!C$1:C$2500,,0,1)</f>
        <v>ml</v>
      </c>
      <c r="E5156" s="197">
        <f>_xlfn.XLOOKUP(H5156,'Materiales unitario'!$A$1:$A$2500,'Materiales unitario'!D$1:D$2500,,0,1)</f>
        <v>4730</v>
      </c>
      <c r="F5156" s="19">
        <v>3</v>
      </c>
      <c r="G5156" s="20">
        <f>+E5156*F5156</f>
        <v>14190</v>
      </c>
      <c r="H5156" s="217" t="s">
        <v>278</v>
      </c>
    </row>
    <row r="5157" spans="1:8" ht="15">
      <c r="A5157" s="211" t="s">
        <v>487</v>
      </c>
      <c r="B5157" s="216" t="str">
        <f ca="1">_xlfn.CONCAT(B5152,A5157)</f>
        <v>28AF4741-D</v>
      </c>
      <c r="C5157" s="17" t="str">
        <f>_xlfn.XLOOKUP(H5157,'Materiales unitario'!$A$1:$A$2500,'Materiales unitario'!B$1:B$2500,,0,1)</f>
        <v>Marquillas para circuito</v>
      </c>
      <c r="D5157" s="184" t="str">
        <f>_xlfn.XLOOKUP(H5157,'Materiales unitario'!A$1:A$2500,'Materiales unitario'!C$1:C$2500,,0,1)</f>
        <v>un</v>
      </c>
      <c r="E5157" s="197">
        <f>_xlfn.XLOOKUP(H5157,'Materiales unitario'!$A$1:$A$2500,'Materiales unitario'!D$1:D$2500,,0,1)</f>
        <v>1000</v>
      </c>
      <c r="F5157" s="19">
        <v>1</v>
      </c>
      <c r="G5157" s="20">
        <f>+E5157*F5157</f>
        <v>1000</v>
      </c>
      <c r="H5157" s="217" t="s">
        <v>339</v>
      </c>
    </row>
    <row r="5158" spans="1:8" ht="15">
      <c r="A5158" s="211" t="s">
        <v>488</v>
      </c>
      <c r="B5158" s="216" t="str">
        <f ca="1">_xlfn.CONCAT(B5152,A5158)</f>
        <v>28AF4741-E</v>
      </c>
      <c r="C5158" s="17" t="str">
        <f>_xlfn.XLOOKUP(H5158,'Materiales unitario'!$A$1:$A$2500,'Materiales unitario'!B$1:B$2500,,0,1)</f>
        <v>Prensaestopa de 10 a 14 mm ø1/2"</v>
      </c>
      <c r="D5158" s="184" t="str">
        <f>_xlfn.XLOOKUP(H5158,'Materiales unitario'!A$1:A$2500,'Materiales unitario'!C$1:C$2500,,0,1)</f>
        <v>un</v>
      </c>
      <c r="E5158" s="197">
        <f>_xlfn.XLOOKUP(H5158,'Materiales unitario'!$A$1:$A$2500,'Materiales unitario'!D$1:D$2500,,0,1)</f>
        <v>1460</v>
      </c>
      <c r="F5158" s="19">
        <v>1</v>
      </c>
      <c r="G5158" s="20">
        <f>+E5158*F5158</f>
        <v>1460</v>
      </c>
      <c r="H5158" s="217" t="s">
        <v>351</v>
      </c>
    </row>
    <row r="5159" spans="1:8" ht="15">
      <c r="A5159" s="211" t="s">
        <v>489</v>
      </c>
      <c r="B5159" s="216" t="str">
        <f ca="1">_xlfn.CONCAT(B5152,A5159)</f>
        <v>28AF4741-F</v>
      </c>
      <c r="C5159" s="17"/>
      <c r="D5159" s="184"/>
      <c r="E5159" s="197"/>
      <c r="F5159" s="19"/>
      <c r="G5159" s="20"/>
      <c r="H5159" s="217"/>
    </row>
    <row r="5160" spans="1:8" ht="15">
      <c r="A5160" s="211" t="s">
        <v>490</v>
      </c>
      <c r="B5160" s="216" t="str">
        <f ca="1">_xlfn.CONCAT(B5152,A5160)</f>
        <v>28AF4741-G</v>
      </c>
      <c r="C5160" s="17"/>
      <c r="D5160" s="184"/>
      <c r="E5160" s="197"/>
      <c r="F5160" s="19"/>
      <c r="G5160" s="20"/>
      <c r="H5160" s="217"/>
    </row>
    <row r="5161" spans="1:8" ht="15">
      <c r="A5161" s="211" t="s">
        <v>491</v>
      </c>
      <c r="B5161" s="216" t="str">
        <f ca="1">_xlfn.CONCAT(B5152,A5161)</f>
        <v>28AF4741-H</v>
      </c>
      <c r="C5161" s="17"/>
      <c r="D5161" s="184"/>
      <c r="E5161" s="197"/>
      <c r="F5161" s="19"/>
      <c r="G5161" s="20"/>
      <c r="H5161" s="217"/>
    </row>
    <row r="5162" spans="1:8" ht="15">
      <c r="A5162" s="211" t="s">
        <v>492</v>
      </c>
      <c r="B5162" s="216" t="str">
        <f ca="1">_xlfn.CONCAT(B5152,A5162)</f>
        <v>28AF4741-I</v>
      </c>
      <c r="C5162" s="17"/>
      <c r="D5162" s="184"/>
      <c r="E5162" s="197"/>
      <c r="F5162" s="19"/>
      <c r="G5162" s="20"/>
      <c r="H5162" s="217"/>
    </row>
    <row r="5163" spans="1:8" ht="15">
      <c r="A5163" s="211" t="s">
        <v>493</v>
      </c>
      <c r="B5163" s="216" t="str">
        <f ca="1">_xlfn.CONCAT(B5152,A5163)</f>
        <v>28AF4741-J</v>
      </c>
      <c r="C5163" s="17"/>
      <c r="D5163" s="184"/>
      <c r="E5163" s="197"/>
      <c r="F5163" s="19"/>
      <c r="G5163" s="20"/>
      <c r="H5163" s="217"/>
    </row>
    <row r="5164" spans="1:8" ht="15">
      <c r="A5164" s="211" t="s">
        <v>494</v>
      </c>
      <c r="B5164" s="216" t="str">
        <f ca="1">_xlfn.CONCAT(B5152,A5164)</f>
        <v>28AF4741-K</v>
      </c>
      <c r="C5164" s="17"/>
      <c r="D5164" s="184"/>
      <c r="E5164" s="197"/>
      <c r="F5164" s="19"/>
      <c r="G5164" s="20"/>
      <c r="H5164" s="217"/>
    </row>
    <row r="5165" spans="1:8" ht="15">
      <c r="A5165" s="211" t="s">
        <v>495</v>
      </c>
      <c r="B5165" s="216" t="str">
        <f ca="1">_xlfn.CONCAT(B5152,A5165)</f>
        <v>28AF4741-L</v>
      </c>
      <c r="C5165" s="17"/>
      <c r="D5165" s="184"/>
      <c r="E5165" s="197"/>
      <c r="F5165" s="19"/>
      <c r="G5165" s="20"/>
      <c r="H5165" s="217"/>
    </row>
    <row r="5166" spans="1:8" ht="15">
      <c r="A5166" s="211" t="s">
        <v>496</v>
      </c>
      <c r="B5166" s="216" t="str">
        <f ca="1">_xlfn.CONCAT(B5152,A5166)</f>
        <v>28AF4741-M</v>
      </c>
      <c r="C5166" s="17"/>
      <c r="D5166" s="184"/>
      <c r="E5166" s="197"/>
      <c r="F5166" s="19"/>
      <c r="G5166" s="20"/>
      <c r="H5166" s="217"/>
    </row>
    <row r="5167" spans="1:8">
      <c r="A5167" s="211" t="s">
        <v>497</v>
      </c>
      <c r="B5167" s="216" t="str">
        <f ca="1">_xlfn.CONCAT(B5152,A5167)</f>
        <v>28AF4741-N</v>
      </c>
      <c r="C5167" s="17"/>
      <c r="D5167" s="184"/>
      <c r="E5167" s="197"/>
      <c r="F5167" s="19"/>
      <c r="G5167" s="20"/>
    </row>
    <row r="5168" spans="1:8">
      <c r="A5168" s="211" t="s">
        <v>498</v>
      </c>
      <c r="B5168" s="216" t="str">
        <f ca="1">_xlfn.CONCAT(B5152,A5168)</f>
        <v>28AF4741-O</v>
      </c>
      <c r="C5168" s="17"/>
      <c r="D5168" s="184"/>
      <c r="E5168" s="197"/>
      <c r="F5168" s="19"/>
      <c r="G5168" s="20"/>
    </row>
    <row r="5169" spans="1:8">
      <c r="A5169" s="211" t="s">
        <v>499</v>
      </c>
      <c r="B5169" s="216" t="str">
        <f ca="1">_xlfn.CONCAT(B5152,A5169)</f>
        <v>28AF4741-P</v>
      </c>
      <c r="C5169" s="17"/>
      <c r="D5169" s="184"/>
      <c r="E5169" s="197"/>
      <c r="F5169" s="19"/>
      <c r="G5169" s="20"/>
    </row>
    <row r="5170" spans="1:8">
      <c r="A5170" s="211" t="s">
        <v>500</v>
      </c>
      <c r="B5170" s="216" t="str">
        <f ca="1">_xlfn.CONCAT(B5152,A5170)</f>
        <v>28AF4741-Q</v>
      </c>
      <c r="C5170" s="17"/>
      <c r="D5170" s="184"/>
      <c r="E5170" s="197"/>
      <c r="F5170" s="19"/>
      <c r="G5170" s="20"/>
    </row>
    <row r="5171" spans="1:8">
      <c r="A5171" s="211" t="s">
        <v>501</v>
      </c>
      <c r="B5171" s="216" t="str">
        <f ca="1">_xlfn.CONCAT(B5152,A5171)</f>
        <v>28AF4741-R</v>
      </c>
      <c r="C5171" s="17"/>
      <c r="D5171" s="184"/>
      <c r="E5171" s="197"/>
      <c r="F5171" s="19"/>
      <c r="G5171" s="20"/>
    </row>
    <row r="5172" spans="1:8">
      <c r="A5172" s="211" t="s">
        <v>502</v>
      </c>
      <c r="B5172" s="216" t="str">
        <f ca="1">_xlfn.CONCAT(B5152,A5172)</f>
        <v>28AF4741-S</v>
      </c>
      <c r="C5172" s="17"/>
      <c r="D5172" s="184"/>
      <c r="E5172" s="197"/>
      <c r="F5172" s="19"/>
      <c r="G5172" s="20"/>
    </row>
    <row r="5173" spans="1:8">
      <c r="A5173" s="211" t="s">
        <v>503</v>
      </c>
      <c r="B5173" s="216" t="str">
        <f ca="1">_xlfn.CONCAT(B5152,A5173)</f>
        <v>28AF4741-T</v>
      </c>
      <c r="C5173" s="17"/>
      <c r="D5173" s="184"/>
      <c r="E5173" s="197"/>
      <c r="F5173" s="19"/>
      <c r="G5173" s="20"/>
    </row>
    <row r="5174" spans="1:8" ht="14.25" thickBot="1">
      <c r="A5174" s="211" t="s">
        <v>504</v>
      </c>
      <c r="B5174" s="216" t="str">
        <f ca="1">_xlfn.CONCAT(B5152,A5174)</f>
        <v>28AF4741-U</v>
      </c>
      <c r="C5174" s="17"/>
      <c r="D5174" s="184"/>
      <c r="E5174" s="197"/>
      <c r="F5174" s="19"/>
      <c r="G5174" s="20"/>
    </row>
    <row r="5175" spans="1:8" ht="14.25" thickBot="1">
      <c r="A5175" s="211" t="s">
        <v>505</v>
      </c>
      <c r="B5175" s="216" t="str">
        <f ca="1">_xlfn.CONCAT(B5152,A5175)</f>
        <v>28AF4741-V</v>
      </c>
      <c r="C5175" s="17" t="s">
        <v>17</v>
      </c>
      <c r="D5175" s="192" t="s">
        <v>17</v>
      </c>
      <c r="E5175" s="18"/>
      <c r="F5175" s="22" t="s">
        <v>18</v>
      </c>
      <c r="G5175" s="23">
        <f>SUM(G5154:G5174)</f>
        <v>192713</v>
      </c>
    </row>
    <row r="5176" spans="1:8" ht="15.75" thickBot="1">
      <c r="A5176" s="211" t="s">
        <v>506</v>
      </c>
      <c r="B5176" s="216" t="str">
        <f ca="1">_xlfn.CONCAT(B5152,A5176)</f>
        <v>28AF4741-W</v>
      </c>
      <c r="C5176" s="10" t="s">
        <v>19</v>
      </c>
      <c r="D5176" s="190"/>
      <c r="E5176" s="11"/>
      <c r="F5176" s="12"/>
      <c r="G5176" s="13"/>
    </row>
    <row r="5177" spans="1:8" ht="14.25" thickBot="1">
      <c r="A5177" s="211" t="s">
        <v>507</v>
      </c>
      <c r="B5177" s="216" t="str">
        <f ca="1">_xlfn.CONCAT(B5152,A5177)</f>
        <v>28AF4741-X</v>
      </c>
      <c r="C5177" s="14" t="s">
        <v>1</v>
      </c>
      <c r="D5177" s="15"/>
      <c r="E5177" s="15" t="s">
        <v>20</v>
      </c>
      <c r="F5177" s="16" t="s">
        <v>21</v>
      </c>
      <c r="G5177" s="15" t="s">
        <v>5</v>
      </c>
      <c r="H5177" s="215"/>
    </row>
    <row r="5178" spans="1:8">
      <c r="A5178" s="211" t="s">
        <v>508</v>
      </c>
      <c r="B5178" s="216" t="str">
        <f ca="1">_xlfn.CONCAT(B5152,A5178)</f>
        <v>28AF4741-Y</v>
      </c>
      <c r="C5178" s="24" t="s">
        <v>22</v>
      </c>
      <c r="D5178" s="184"/>
      <c r="E5178" s="25">
        <f>_xlfn.XLOOKUP(C5178,'H-MO'!B$7:B$30,'H-MO'!D$7:D$30,,0,1)</f>
        <v>2436.5624999999995</v>
      </c>
      <c r="F5178" s="19">
        <v>0.04</v>
      </c>
      <c r="G5178" s="33">
        <f t="shared" ref="G5178:G5183" si="151">+E5178*F5178</f>
        <v>97.462499999999977</v>
      </c>
    </row>
    <row r="5179" spans="1:8">
      <c r="A5179" s="211" t="s">
        <v>509</v>
      </c>
      <c r="B5179" s="216" t="str">
        <f ca="1">_xlfn.CONCAT(B5152,A5179)</f>
        <v>28AF4741-Z</v>
      </c>
      <c r="C5179" s="24" t="s">
        <v>23</v>
      </c>
      <c r="D5179" s="184"/>
      <c r="E5179" s="25">
        <f>_xlfn.XLOOKUP(C5179,'H-MO'!B$7:B$30,'H-MO'!D$7:D$30,,0,1)</f>
        <v>1461.9374999999998</v>
      </c>
      <c r="F5179" s="19">
        <v>0.03</v>
      </c>
      <c r="G5179" s="33">
        <f t="shared" si="151"/>
        <v>43.858124999999994</v>
      </c>
    </row>
    <row r="5180" spans="1:8">
      <c r="A5180" s="211" t="s">
        <v>510</v>
      </c>
      <c r="B5180" s="216" t="str">
        <f ca="1">_xlfn.CONCAT(B5152,A5180)</f>
        <v>28AF4741-aa</v>
      </c>
      <c r="C5180" s="24" t="s">
        <v>24</v>
      </c>
      <c r="D5180" s="185"/>
      <c r="E5180" s="25">
        <f>_xlfn.XLOOKUP(C5180,'H-MO'!B$7:B$30,'H-MO'!D$7:D$30,,0,1)</f>
        <v>29238.749999999996</v>
      </c>
      <c r="F5180" s="28">
        <v>7.0000000000000001E-3</v>
      </c>
      <c r="G5180" s="33">
        <f t="shared" si="151"/>
        <v>204.67124999999999</v>
      </c>
    </row>
    <row r="5181" spans="1:8">
      <c r="A5181" s="211" t="s">
        <v>511</v>
      </c>
      <c r="B5181" s="216" t="str">
        <f ca="1">_xlfn.CONCAT(B5152,A5181)</f>
        <v>28AF4741-ab</v>
      </c>
      <c r="C5181" s="24" t="s">
        <v>25</v>
      </c>
      <c r="D5181" s="185"/>
      <c r="E5181" s="25">
        <f>_xlfn.XLOOKUP(C5181,'H-MO'!B$7:B$30,'H-MO'!D$7:D$30,,0,1)</f>
        <v>2761.4374999999995</v>
      </c>
      <c r="F5181" s="28">
        <v>0.1</v>
      </c>
      <c r="G5181" s="33">
        <f t="shared" si="151"/>
        <v>276.14374999999995</v>
      </c>
    </row>
    <row r="5182" spans="1:8">
      <c r="A5182" s="211" t="s">
        <v>512</v>
      </c>
      <c r="B5182" s="216" t="str">
        <f ca="1">_xlfn.CONCAT(B5152,A5182)</f>
        <v>28AF4741-ac</v>
      </c>
      <c r="C5182" s="24"/>
      <c r="D5182" s="185"/>
      <c r="E5182" s="29"/>
      <c r="F5182" s="28"/>
      <c r="G5182" s="33">
        <f t="shared" si="151"/>
        <v>0</v>
      </c>
    </row>
    <row r="5183" spans="1:8" ht="14.25" thickBot="1">
      <c r="A5183" s="211" t="s">
        <v>513</v>
      </c>
      <c r="B5183" s="216" t="str">
        <f ca="1">_xlfn.CONCAT(B5152,A5183)</f>
        <v>28AF4741-ad</v>
      </c>
      <c r="C5183" s="24"/>
      <c r="D5183" s="185"/>
      <c r="E5183" s="29"/>
      <c r="F5183" s="28"/>
      <c r="G5183" s="33">
        <f t="shared" si="151"/>
        <v>0</v>
      </c>
    </row>
    <row r="5184" spans="1:8" ht="14.25" thickBot="1">
      <c r="A5184" s="211" t="s">
        <v>514</v>
      </c>
      <c r="B5184" s="216" t="str">
        <f ca="1">_xlfn.CONCAT(B5152,A5184)</f>
        <v>28AF4741-ae</v>
      </c>
      <c r="C5184" s="17"/>
      <c r="D5184" s="192"/>
      <c r="E5184" s="18"/>
      <c r="F5184" s="22" t="s">
        <v>26</v>
      </c>
      <c r="G5184" s="23">
        <f>SUM(G5178:G5183)</f>
        <v>622.13562499999989</v>
      </c>
    </row>
    <row r="5185" spans="1:8" ht="15.75" thickBot="1">
      <c r="A5185" s="211" t="s">
        <v>515</v>
      </c>
      <c r="B5185" s="216" t="str">
        <f ca="1">_xlfn.CONCAT(B5152,A5185)</f>
        <v>28AF4741-af</v>
      </c>
      <c r="C5185" s="10" t="s">
        <v>27</v>
      </c>
      <c r="D5185" s="190"/>
      <c r="E5185" s="11"/>
      <c r="F5185" s="12"/>
      <c r="G5185" s="13"/>
    </row>
    <row r="5186" spans="1:8" ht="14.25" thickBot="1">
      <c r="A5186" s="211" t="s">
        <v>516</v>
      </c>
      <c r="B5186" s="216" t="str">
        <f ca="1">_xlfn.CONCAT(B5152,A5186)</f>
        <v>28AF4741-ag</v>
      </c>
      <c r="C5186" s="14" t="s">
        <v>1</v>
      </c>
      <c r="D5186" s="15" t="s">
        <v>28</v>
      </c>
      <c r="E5186" s="15" t="s">
        <v>20</v>
      </c>
      <c r="F5186" s="16" t="s">
        <v>21</v>
      </c>
      <c r="G5186" s="15" t="s">
        <v>5</v>
      </c>
      <c r="H5186" s="215"/>
    </row>
    <row r="5187" spans="1:8">
      <c r="A5187" s="211" t="s">
        <v>517</v>
      </c>
      <c r="B5187" s="216" t="str">
        <f ca="1">_xlfn.CONCAT(B5152,A5187)</f>
        <v>28AF4741-ah</v>
      </c>
      <c r="C5187" s="30" t="s">
        <v>29</v>
      </c>
      <c r="D5187" s="186">
        <f>'H-MO'!$N$77</f>
        <v>725918.52892505517</v>
      </c>
      <c r="E5187" s="31">
        <f>+D5187/8</f>
        <v>90739.816115631897</v>
      </c>
      <c r="F5187" s="32">
        <v>0.15</v>
      </c>
      <c r="G5187" s="33">
        <f>+E5187*F5187</f>
        <v>13610.972417344785</v>
      </c>
    </row>
    <row r="5188" spans="1:8">
      <c r="A5188" s="211" t="s">
        <v>518</v>
      </c>
      <c r="B5188" s="216" t="str">
        <f ca="1">_xlfn.CONCAT(B5152,A5188)</f>
        <v>28AF4741-ai</v>
      </c>
      <c r="C5188" s="34" t="s">
        <v>30</v>
      </c>
      <c r="D5188" s="187">
        <f>'H-MO'!$N$86</f>
        <v>685561.39085756091</v>
      </c>
      <c r="E5188" s="29">
        <f>+D5188/8</f>
        <v>85695.173857195114</v>
      </c>
      <c r="F5188" s="28">
        <v>0</v>
      </c>
      <c r="G5188" s="33">
        <f>+E5188*F5188</f>
        <v>0</v>
      </c>
    </row>
    <row r="5189" spans="1:8" ht="14.25" thickBot="1">
      <c r="A5189" s="211" t="s">
        <v>519</v>
      </c>
      <c r="B5189" s="216" t="str">
        <f ca="1">_xlfn.CONCAT(B5152,A5189)</f>
        <v>28AF4741-aj</v>
      </c>
      <c r="C5189" s="34"/>
      <c r="D5189" s="187"/>
      <c r="E5189" s="29"/>
      <c r="F5189" s="28"/>
      <c r="G5189" s="33">
        <f>+E5189*F5189</f>
        <v>0</v>
      </c>
    </row>
    <row r="5190" spans="1:8" ht="14.25" thickBot="1">
      <c r="A5190" s="211" t="s">
        <v>520</v>
      </c>
      <c r="B5190" s="216" t="str">
        <f ca="1">_xlfn.CONCAT(B5152,A5190)</f>
        <v>28AF4741-ak</v>
      </c>
      <c r="C5190" s="34"/>
      <c r="D5190" s="185"/>
      <c r="E5190" s="26"/>
      <c r="F5190" s="36" t="s">
        <v>31</v>
      </c>
      <c r="G5190" s="23">
        <f>SUM(G5187:G5189)</f>
        <v>13610.972417344785</v>
      </c>
    </row>
    <row r="5191" spans="1:8" ht="14.25" thickBot="1">
      <c r="A5191" s="211" t="s">
        <v>521</v>
      </c>
      <c r="B5191" s="216" t="str">
        <f ca="1">_xlfn.CONCAT(B5152,A5191)</f>
        <v>28AF4741-al</v>
      </c>
      <c r="C5191" s="37"/>
      <c r="E5191" s="38"/>
      <c r="F5191" s="22"/>
      <c r="G5191" s="39"/>
    </row>
    <row r="5192" spans="1:8" ht="16.5" thickBot="1">
      <c r="A5192" s="211" t="s">
        <v>522</v>
      </c>
      <c r="B5192" s="216" t="str">
        <f ca="1">_xlfn.CONCAT(B5152,A5192)</f>
        <v>28AF4741-am</v>
      </c>
      <c r="C5192" s="40"/>
      <c r="D5192" s="193"/>
      <c r="E5192" s="41"/>
      <c r="F5192" s="42"/>
      <c r="G5192" s="43">
        <f>+G5175+G5184+G5190</f>
        <v>206946.10804234477</v>
      </c>
    </row>
    <row r="5193" spans="1:8" ht="21.75" thickBot="1">
      <c r="B5193" s="212" t="s">
        <v>550</v>
      </c>
      <c r="C5193" s="2"/>
      <c r="D5193" s="183"/>
      <c r="F5193" s="4"/>
      <c r="G5193" s="5"/>
    </row>
    <row r="5194" spans="1:8" ht="18.75">
      <c r="A5194" s="213"/>
      <c r="B5194" s="214">
        <v>119</v>
      </c>
      <c r="C5194" s="242" t="str">
        <f ca="1">_xlfn.XLOOKUP(B5194,Cantidades!$A$10:$A$314,Cantidades!$C$10:$C$314,,0,1)</f>
        <v>Suministro e instalación de Lámpara emergencia R1 Sylvavia. Incluye cable 3#16 encauchetado, prensaestopa y elementos de conexionado.</v>
      </c>
      <c r="D5194" s="243"/>
      <c r="E5194" s="243"/>
      <c r="F5194" s="243"/>
      <c r="G5194" s="244"/>
    </row>
    <row r="5195" spans="1:8" ht="19.5" thickBot="1">
      <c r="A5195" s="215"/>
      <c r="B5195" s="216" t="s">
        <v>550</v>
      </c>
      <c r="C5195" s="177"/>
      <c r="D5195" s="189"/>
      <c r="E5195" s="178"/>
      <c r="F5195" s="179" t="s">
        <v>636</v>
      </c>
      <c r="G5195" s="209" t="str">
        <f ca="1">B5196</f>
        <v>2C7342CE-</v>
      </c>
    </row>
    <row r="5196" spans="1:8" ht="15.75" thickBot="1">
      <c r="B5196" s="212" t="str">
        <f ca="1">_xlfn.XLOOKUP(C5194,Cantidades!$C$1:$C$314,Cantidades!$B$1:$B$314,"",0,1)</f>
        <v>2C7342CE-</v>
      </c>
      <c r="C5196" s="10" t="s">
        <v>0</v>
      </c>
      <c r="D5196" s="190"/>
      <c r="E5196" s="11"/>
      <c r="F5196" s="12"/>
      <c r="G5196" s="13"/>
    </row>
    <row r="5197" spans="1:8" ht="14.25" thickBot="1">
      <c r="A5197" s="215"/>
      <c r="B5197" s="216" t="s">
        <v>550</v>
      </c>
      <c r="C5197" s="14" t="s">
        <v>1</v>
      </c>
      <c r="D5197" s="15" t="s">
        <v>2</v>
      </c>
      <c r="E5197" s="15" t="s">
        <v>3</v>
      </c>
      <c r="F5197" s="16" t="s">
        <v>4</v>
      </c>
      <c r="G5197" s="15" t="s">
        <v>5</v>
      </c>
    </row>
    <row r="5198" spans="1:8" ht="15">
      <c r="A5198" s="211" t="s">
        <v>484</v>
      </c>
      <c r="B5198" s="216" t="str">
        <f ca="1">_xlfn.CONCAT(B5196,A5198)</f>
        <v>2C7342CE-A</v>
      </c>
      <c r="C5198" s="17" t="str">
        <f>_xlfn.XLOOKUP(H5198,'Materiales unitario'!$A$1:$A$2500,'Materiales unitario'!B$1:B$2500,,0,1)</f>
        <v>Lámpara emergencia R1 Sylvavia</v>
      </c>
      <c r="D5198" s="184" t="str">
        <f>_xlfn.XLOOKUP(H5198,'Materiales unitario'!A$1:A$2500,'Materiales unitario'!C$1:C$2500,,0,1)</f>
        <v>un</v>
      </c>
      <c r="E5198" s="197">
        <f>_xlfn.XLOOKUP(H5198,'Materiales unitario'!$A$1:$A$2500,'Materiales unitario'!D$1:D$2500,,0,1)</f>
        <v>98651</v>
      </c>
      <c r="F5198" s="19">
        <v>1</v>
      </c>
      <c r="G5198" s="20">
        <f>+E5198*F5198</f>
        <v>98651</v>
      </c>
      <c r="H5198" s="217" t="s">
        <v>1173</v>
      </c>
    </row>
    <row r="5199" spans="1:8" ht="15">
      <c r="A5199" s="211" t="s">
        <v>485</v>
      </c>
      <c r="B5199" s="216" t="str">
        <f ca="1">_xlfn.CONCAT(B5196,A5199)</f>
        <v>2C7342CE-B</v>
      </c>
      <c r="C5199" s="17" t="str">
        <f>_xlfn.XLOOKUP(H5199,'Materiales unitario'!$A$1:$A$2500,'Materiales unitario'!B$1:B$2500,,0,1)</f>
        <v>Conector de resorte naranja "N" 22-16 AWG</v>
      </c>
      <c r="D5199" s="184" t="str">
        <f>_xlfn.XLOOKUP(H5199,'Materiales unitario'!A$1:A$2500,'Materiales unitario'!C$1:C$2500,,0,1)</f>
        <v>un</v>
      </c>
      <c r="E5199" s="197">
        <f>_xlfn.XLOOKUP(H5199,'Materiales unitario'!$A$1:$A$2500,'Materiales unitario'!D$1:D$2500,,0,1)</f>
        <v>150</v>
      </c>
      <c r="F5199" s="19">
        <v>2</v>
      </c>
      <c r="G5199" s="20">
        <f>+E5199*F5199</f>
        <v>300</v>
      </c>
      <c r="H5199" s="217" t="s">
        <v>682</v>
      </c>
    </row>
    <row r="5200" spans="1:8" ht="15">
      <c r="A5200" s="211" t="s">
        <v>486</v>
      </c>
      <c r="B5200" s="216" t="str">
        <f ca="1">_xlfn.CONCAT(B5196,A5200)</f>
        <v>2C7342CE-C</v>
      </c>
      <c r="C5200" s="17" t="str">
        <f>_xlfn.XLOOKUP(H5200,'Materiales unitario'!$A$1:$A$2500,'Materiales unitario'!B$1:B$2500,,0,1)</f>
        <v>Cable flexible encauchetado ST-C 3x16 AWG</v>
      </c>
      <c r="D5200" s="184" t="str">
        <f>_xlfn.XLOOKUP(H5200,'Materiales unitario'!A$1:A$2500,'Materiales unitario'!C$1:C$2500,,0,1)</f>
        <v>ml</v>
      </c>
      <c r="E5200" s="197">
        <f>_xlfn.XLOOKUP(H5200,'Materiales unitario'!$A$1:$A$2500,'Materiales unitario'!D$1:D$2500,,0,1)</f>
        <v>4730</v>
      </c>
      <c r="F5200" s="19">
        <v>2</v>
      </c>
      <c r="G5200" s="20">
        <f>+E5200*F5200</f>
        <v>9460</v>
      </c>
      <c r="H5200" s="217" t="s">
        <v>278</v>
      </c>
    </row>
    <row r="5201" spans="1:8" ht="15">
      <c r="A5201" s="211" t="s">
        <v>487</v>
      </c>
      <c r="B5201" s="216" t="str">
        <f ca="1">_xlfn.CONCAT(B5196,A5201)</f>
        <v>2C7342CE-D</v>
      </c>
      <c r="C5201" s="17" t="str">
        <f>_xlfn.XLOOKUP(H5201,'Materiales unitario'!$A$1:$A$2500,'Materiales unitario'!B$1:B$2500,,0,1)</f>
        <v>Marquillas para circuito</v>
      </c>
      <c r="D5201" s="184" t="str">
        <f>_xlfn.XLOOKUP(H5201,'Materiales unitario'!A$1:A$2500,'Materiales unitario'!C$1:C$2500,,0,1)</f>
        <v>un</v>
      </c>
      <c r="E5201" s="197">
        <f>_xlfn.XLOOKUP(H5201,'Materiales unitario'!$A$1:$A$2500,'Materiales unitario'!D$1:D$2500,,0,1)</f>
        <v>1000</v>
      </c>
      <c r="F5201" s="19">
        <v>1</v>
      </c>
      <c r="G5201" s="20">
        <f>+E5201*F5201</f>
        <v>1000</v>
      </c>
      <c r="H5201" s="217" t="s">
        <v>339</v>
      </c>
    </row>
    <row r="5202" spans="1:8" ht="15">
      <c r="A5202" s="211" t="s">
        <v>488</v>
      </c>
      <c r="B5202" s="216" t="str">
        <f ca="1">_xlfn.CONCAT(B5196,A5202)</f>
        <v>2C7342CE-E</v>
      </c>
      <c r="C5202" s="17" t="str">
        <f>_xlfn.XLOOKUP(H5202,'Materiales unitario'!$A$1:$A$2500,'Materiales unitario'!B$1:B$2500,,0,1)</f>
        <v>Prensaestopa de 10 a 14 mm ø1/2"</v>
      </c>
      <c r="D5202" s="184" t="str">
        <f>_xlfn.XLOOKUP(H5202,'Materiales unitario'!A$1:A$2500,'Materiales unitario'!C$1:C$2500,,0,1)</f>
        <v>un</v>
      </c>
      <c r="E5202" s="197">
        <f>_xlfn.XLOOKUP(H5202,'Materiales unitario'!$A$1:$A$2500,'Materiales unitario'!D$1:D$2500,,0,1)</f>
        <v>1460</v>
      </c>
      <c r="F5202" s="19">
        <v>1</v>
      </c>
      <c r="G5202" s="20">
        <f>+E5202*F5202</f>
        <v>1460</v>
      </c>
      <c r="H5202" s="217" t="s">
        <v>351</v>
      </c>
    </row>
    <row r="5203" spans="1:8" ht="15">
      <c r="A5203" s="211" t="s">
        <v>489</v>
      </c>
      <c r="B5203" s="216" t="str">
        <f ca="1">_xlfn.CONCAT(B5196,A5203)</f>
        <v>2C7342CE-F</v>
      </c>
      <c r="C5203" s="17"/>
      <c r="D5203" s="184"/>
      <c r="E5203" s="197"/>
      <c r="F5203" s="19"/>
      <c r="G5203" s="20"/>
      <c r="H5203" s="217"/>
    </row>
    <row r="5204" spans="1:8" ht="15">
      <c r="A5204" s="211" t="s">
        <v>490</v>
      </c>
      <c r="B5204" s="216" t="str">
        <f ca="1">_xlfn.CONCAT(B5196,A5204)</f>
        <v>2C7342CE-G</v>
      </c>
      <c r="C5204" s="17"/>
      <c r="D5204" s="184"/>
      <c r="E5204" s="197"/>
      <c r="F5204" s="19"/>
      <c r="G5204" s="20"/>
      <c r="H5204" s="217"/>
    </row>
    <row r="5205" spans="1:8">
      <c r="A5205" s="211" t="s">
        <v>491</v>
      </c>
      <c r="B5205" s="216" t="str">
        <f ca="1">_xlfn.CONCAT(B5196,A5205)</f>
        <v>2C7342CE-H</v>
      </c>
      <c r="C5205" s="17"/>
      <c r="D5205" s="184"/>
      <c r="E5205" s="197"/>
      <c r="F5205" s="19"/>
      <c r="G5205" s="20"/>
    </row>
    <row r="5206" spans="1:8">
      <c r="A5206" s="211" t="s">
        <v>492</v>
      </c>
      <c r="B5206" s="216" t="str">
        <f ca="1">_xlfn.CONCAT(B5196,A5206)</f>
        <v>2C7342CE-I</v>
      </c>
      <c r="C5206" s="17"/>
      <c r="D5206" s="184"/>
      <c r="E5206" s="197"/>
      <c r="F5206" s="19"/>
      <c r="G5206" s="20"/>
    </row>
    <row r="5207" spans="1:8">
      <c r="A5207" s="211" t="s">
        <v>493</v>
      </c>
      <c r="B5207" s="216" t="str">
        <f ca="1">_xlfn.CONCAT(B5196,A5207)</f>
        <v>2C7342CE-J</v>
      </c>
      <c r="C5207" s="17"/>
      <c r="D5207" s="184"/>
      <c r="E5207" s="197"/>
      <c r="F5207" s="19"/>
      <c r="G5207" s="20"/>
    </row>
    <row r="5208" spans="1:8">
      <c r="A5208" s="211" t="s">
        <v>494</v>
      </c>
      <c r="B5208" s="216" t="str">
        <f ca="1">_xlfn.CONCAT(B5196,A5208)</f>
        <v>2C7342CE-K</v>
      </c>
      <c r="C5208" s="17"/>
      <c r="D5208" s="184"/>
      <c r="E5208" s="197"/>
      <c r="F5208" s="19"/>
      <c r="G5208" s="20"/>
    </row>
    <row r="5209" spans="1:8">
      <c r="A5209" s="211" t="s">
        <v>495</v>
      </c>
      <c r="B5209" s="216" t="str">
        <f ca="1">_xlfn.CONCAT(B5196,A5209)</f>
        <v>2C7342CE-L</v>
      </c>
      <c r="C5209" s="17"/>
      <c r="D5209" s="184"/>
      <c r="E5209" s="197"/>
      <c r="F5209" s="19"/>
      <c r="G5209" s="20"/>
    </row>
    <row r="5210" spans="1:8">
      <c r="A5210" s="211" t="s">
        <v>496</v>
      </c>
      <c r="B5210" s="216" t="str">
        <f ca="1">_xlfn.CONCAT(B5196,A5210)</f>
        <v>2C7342CE-M</v>
      </c>
      <c r="C5210" s="17"/>
      <c r="D5210" s="184"/>
      <c r="E5210" s="197"/>
      <c r="F5210" s="19"/>
      <c r="G5210" s="20"/>
    </row>
    <row r="5211" spans="1:8">
      <c r="A5211" s="211" t="s">
        <v>497</v>
      </c>
      <c r="B5211" s="216" t="str">
        <f ca="1">_xlfn.CONCAT(B5196,A5211)</f>
        <v>2C7342CE-N</v>
      </c>
      <c r="C5211" s="17"/>
      <c r="D5211" s="184"/>
      <c r="E5211" s="197"/>
      <c r="F5211" s="19"/>
      <c r="G5211" s="20"/>
    </row>
    <row r="5212" spans="1:8">
      <c r="A5212" s="211" t="s">
        <v>498</v>
      </c>
      <c r="B5212" s="216" t="str">
        <f ca="1">_xlfn.CONCAT(B5196,A5212)</f>
        <v>2C7342CE-O</v>
      </c>
      <c r="C5212" s="17"/>
      <c r="D5212" s="184"/>
      <c r="E5212" s="197"/>
      <c r="F5212" s="19"/>
      <c r="G5212" s="20"/>
    </row>
    <row r="5213" spans="1:8">
      <c r="A5213" s="211" t="s">
        <v>499</v>
      </c>
      <c r="B5213" s="216" t="str">
        <f ca="1">_xlfn.CONCAT(B5196,A5213)</f>
        <v>2C7342CE-P</v>
      </c>
      <c r="C5213" s="17"/>
      <c r="D5213" s="184"/>
      <c r="E5213" s="197"/>
      <c r="F5213" s="19"/>
      <c r="G5213" s="20"/>
    </row>
    <row r="5214" spans="1:8">
      <c r="A5214" s="211" t="s">
        <v>500</v>
      </c>
      <c r="B5214" s="216" t="str">
        <f ca="1">_xlfn.CONCAT(B5196,A5214)</f>
        <v>2C7342CE-Q</v>
      </c>
      <c r="C5214" s="17"/>
      <c r="D5214" s="184"/>
      <c r="E5214" s="197"/>
      <c r="F5214" s="19"/>
      <c r="G5214" s="20"/>
    </row>
    <row r="5215" spans="1:8">
      <c r="A5215" s="211" t="s">
        <v>501</v>
      </c>
      <c r="B5215" s="216" t="str">
        <f ca="1">_xlfn.CONCAT(B5196,A5215)</f>
        <v>2C7342CE-R</v>
      </c>
      <c r="C5215" s="17"/>
      <c r="D5215" s="184"/>
      <c r="E5215" s="197"/>
      <c r="F5215" s="19"/>
      <c r="G5215" s="20"/>
    </row>
    <row r="5216" spans="1:8">
      <c r="A5216" s="211" t="s">
        <v>502</v>
      </c>
      <c r="B5216" s="216" t="str">
        <f ca="1">_xlfn.CONCAT(B5196,A5216)</f>
        <v>2C7342CE-S</v>
      </c>
      <c r="C5216" s="17"/>
      <c r="D5216" s="184"/>
      <c r="E5216" s="197"/>
      <c r="F5216" s="19"/>
      <c r="G5216" s="20"/>
    </row>
    <row r="5217" spans="1:7">
      <c r="A5217" s="211" t="s">
        <v>503</v>
      </c>
      <c r="B5217" s="216" t="str">
        <f ca="1">_xlfn.CONCAT(B5196,A5217)</f>
        <v>2C7342CE-T</v>
      </c>
      <c r="C5217" s="17"/>
      <c r="D5217" s="184"/>
      <c r="E5217" s="197"/>
      <c r="F5217" s="19"/>
      <c r="G5217" s="20"/>
    </row>
    <row r="5218" spans="1:7" ht="14.25" thickBot="1">
      <c r="A5218" s="211" t="s">
        <v>504</v>
      </c>
      <c r="B5218" s="216" t="str">
        <f ca="1">_xlfn.CONCAT(B5196,A5218)</f>
        <v>2C7342CE-U</v>
      </c>
      <c r="C5218" s="17"/>
      <c r="D5218" s="184"/>
      <c r="E5218" s="197"/>
      <c r="F5218" s="19"/>
      <c r="G5218" s="20"/>
    </row>
    <row r="5219" spans="1:7" ht="14.25" thickBot="1">
      <c r="A5219" s="211" t="s">
        <v>505</v>
      </c>
      <c r="B5219" s="216" t="str">
        <f ca="1">_xlfn.CONCAT(B5196,A5219)</f>
        <v>2C7342CE-V</v>
      </c>
      <c r="C5219" s="17" t="s">
        <v>17</v>
      </c>
      <c r="D5219" s="192" t="s">
        <v>17</v>
      </c>
      <c r="E5219" s="18"/>
      <c r="F5219" s="22" t="s">
        <v>18</v>
      </c>
      <c r="G5219" s="23">
        <f>SUM(G5198:G5218)</f>
        <v>110871</v>
      </c>
    </row>
    <row r="5220" spans="1:7" ht="15.75" thickBot="1">
      <c r="A5220" s="211" t="s">
        <v>506</v>
      </c>
      <c r="B5220" s="216" t="str">
        <f ca="1">_xlfn.CONCAT(B5196,A5220)</f>
        <v>2C7342CE-W</v>
      </c>
      <c r="C5220" s="10" t="s">
        <v>19</v>
      </c>
      <c r="D5220" s="190"/>
      <c r="E5220" s="11"/>
      <c r="F5220" s="12"/>
      <c r="G5220" s="13"/>
    </row>
    <row r="5221" spans="1:7" ht="14.25" thickBot="1">
      <c r="A5221" s="211" t="s">
        <v>507</v>
      </c>
      <c r="B5221" s="216" t="str">
        <f ca="1">_xlfn.CONCAT(B5196,A5221)</f>
        <v>2C7342CE-X</v>
      </c>
      <c r="C5221" s="14" t="s">
        <v>1</v>
      </c>
      <c r="D5221" s="15"/>
      <c r="E5221" s="15" t="s">
        <v>20</v>
      </c>
      <c r="F5221" s="16" t="s">
        <v>21</v>
      </c>
      <c r="G5221" s="15" t="s">
        <v>5</v>
      </c>
    </row>
    <row r="5222" spans="1:7">
      <c r="A5222" s="211" t="s">
        <v>508</v>
      </c>
      <c r="B5222" s="216" t="str">
        <f ca="1">_xlfn.CONCAT(B5196,A5222)</f>
        <v>2C7342CE-Y</v>
      </c>
      <c r="C5222" s="24" t="s">
        <v>22</v>
      </c>
      <c r="D5222" s="184"/>
      <c r="E5222" s="25">
        <f>_xlfn.XLOOKUP(C5222,'H-MO'!B$7:B$30,'H-MO'!D$7:D$30,,0,1)</f>
        <v>2436.5624999999995</v>
      </c>
      <c r="F5222" s="19">
        <v>0.04</v>
      </c>
      <c r="G5222" s="33">
        <f t="shared" ref="G5222:G5227" si="152">+E5222*F5222</f>
        <v>97.462499999999977</v>
      </c>
    </row>
    <row r="5223" spans="1:7">
      <c r="A5223" s="211" t="s">
        <v>509</v>
      </c>
      <c r="B5223" s="216" t="str">
        <f ca="1">_xlfn.CONCAT(B5196,A5223)</f>
        <v>2C7342CE-Z</v>
      </c>
      <c r="C5223" s="24" t="s">
        <v>23</v>
      </c>
      <c r="D5223" s="184"/>
      <c r="E5223" s="25">
        <f>_xlfn.XLOOKUP(C5223,'H-MO'!B$7:B$30,'H-MO'!D$7:D$30,,0,1)</f>
        <v>1461.9374999999998</v>
      </c>
      <c r="F5223" s="19">
        <v>0.03</v>
      </c>
      <c r="G5223" s="33">
        <f t="shared" si="152"/>
        <v>43.858124999999994</v>
      </c>
    </row>
    <row r="5224" spans="1:7">
      <c r="A5224" s="211" t="s">
        <v>510</v>
      </c>
      <c r="B5224" s="216" t="str">
        <f ca="1">_xlfn.CONCAT(B5196,A5224)</f>
        <v>2C7342CE-aa</v>
      </c>
      <c r="C5224" s="24" t="s">
        <v>24</v>
      </c>
      <c r="D5224" s="185"/>
      <c r="E5224" s="25">
        <f>_xlfn.XLOOKUP(C5224,'H-MO'!B$7:B$30,'H-MO'!D$7:D$30,,0,1)</f>
        <v>29238.749999999996</v>
      </c>
      <c r="F5224" s="28">
        <v>7.0000000000000001E-3</v>
      </c>
      <c r="G5224" s="33">
        <f t="shared" si="152"/>
        <v>204.67124999999999</v>
      </c>
    </row>
    <row r="5225" spans="1:7">
      <c r="A5225" s="211" t="s">
        <v>511</v>
      </c>
      <c r="B5225" s="216" t="str">
        <f ca="1">_xlfn.CONCAT(B5196,A5225)</f>
        <v>2C7342CE-ab</v>
      </c>
      <c r="C5225" s="24" t="s">
        <v>25</v>
      </c>
      <c r="D5225" s="185"/>
      <c r="E5225" s="25">
        <f>_xlfn.XLOOKUP(C5225,'H-MO'!B$7:B$30,'H-MO'!D$7:D$30,,0,1)</f>
        <v>2761.4374999999995</v>
      </c>
      <c r="F5225" s="28">
        <v>0.05</v>
      </c>
      <c r="G5225" s="33">
        <f t="shared" si="152"/>
        <v>138.07187499999998</v>
      </c>
    </row>
    <row r="5226" spans="1:7">
      <c r="A5226" s="211" t="s">
        <v>512</v>
      </c>
      <c r="B5226" s="216" t="str">
        <f ca="1">_xlfn.CONCAT(B5196,A5226)</f>
        <v>2C7342CE-ac</v>
      </c>
      <c r="C5226" s="24"/>
      <c r="D5226" s="185"/>
      <c r="E5226" s="29"/>
      <c r="F5226" s="28"/>
      <c r="G5226" s="33">
        <f t="shared" si="152"/>
        <v>0</v>
      </c>
    </row>
    <row r="5227" spans="1:7" ht="14.25" thickBot="1">
      <c r="A5227" s="211" t="s">
        <v>513</v>
      </c>
      <c r="B5227" s="216" t="str">
        <f ca="1">_xlfn.CONCAT(B5196,A5227)</f>
        <v>2C7342CE-ad</v>
      </c>
      <c r="C5227" s="24"/>
      <c r="D5227" s="185"/>
      <c r="E5227" s="29"/>
      <c r="F5227" s="28"/>
      <c r="G5227" s="33">
        <f t="shared" si="152"/>
        <v>0</v>
      </c>
    </row>
    <row r="5228" spans="1:7" ht="14.25" thickBot="1">
      <c r="A5228" s="211" t="s">
        <v>514</v>
      </c>
      <c r="B5228" s="216" t="str">
        <f ca="1">_xlfn.CONCAT(B5196,A5228)</f>
        <v>2C7342CE-ae</v>
      </c>
      <c r="C5228" s="17"/>
      <c r="D5228" s="192"/>
      <c r="E5228" s="18"/>
      <c r="F5228" s="22" t="s">
        <v>26</v>
      </c>
      <c r="G5228" s="23">
        <f>SUM(G5222:G5227)</f>
        <v>484.06374999999991</v>
      </c>
    </row>
    <row r="5229" spans="1:7" ht="15.75" thickBot="1">
      <c r="A5229" s="211" t="s">
        <v>515</v>
      </c>
      <c r="B5229" s="216" t="str">
        <f ca="1">_xlfn.CONCAT(B5196,A5229)</f>
        <v>2C7342CE-af</v>
      </c>
      <c r="C5229" s="10" t="s">
        <v>27</v>
      </c>
      <c r="D5229" s="190"/>
      <c r="E5229" s="11"/>
      <c r="F5229" s="12"/>
      <c r="G5229" s="13"/>
    </row>
    <row r="5230" spans="1:7" ht="14.25" thickBot="1">
      <c r="A5230" s="211" t="s">
        <v>516</v>
      </c>
      <c r="B5230" s="216" t="str">
        <f ca="1">_xlfn.CONCAT(B5196,A5230)</f>
        <v>2C7342CE-ag</v>
      </c>
      <c r="C5230" s="14" t="s">
        <v>1</v>
      </c>
      <c r="D5230" s="15" t="s">
        <v>28</v>
      </c>
      <c r="E5230" s="15" t="s">
        <v>20</v>
      </c>
      <c r="F5230" s="16" t="s">
        <v>21</v>
      </c>
      <c r="G5230" s="15" t="s">
        <v>5</v>
      </c>
    </row>
    <row r="5231" spans="1:7">
      <c r="A5231" s="211" t="s">
        <v>517</v>
      </c>
      <c r="B5231" s="216" t="str">
        <f ca="1">_xlfn.CONCAT(B5196,A5231)</f>
        <v>2C7342CE-ah</v>
      </c>
      <c r="C5231" s="30" t="s">
        <v>29</v>
      </c>
      <c r="D5231" s="186">
        <f>'H-MO'!$N$77</f>
        <v>725918.52892505517</v>
      </c>
      <c r="E5231" s="31">
        <f>+D5231/8</f>
        <v>90739.816115631897</v>
      </c>
      <c r="F5231" s="32">
        <v>0.08</v>
      </c>
      <c r="G5231" s="33">
        <f>+E5231*F5231</f>
        <v>7259.1852892505522</v>
      </c>
    </row>
    <row r="5232" spans="1:7">
      <c r="A5232" s="211" t="s">
        <v>518</v>
      </c>
      <c r="B5232" s="216" t="str">
        <f ca="1">_xlfn.CONCAT(B5196,A5232)</f>
        <v>2C7342CE-ai</v>
      </c>
      <c r="C5232" s="34" t="s">
        <v>30</v>
      </c>
      <c r="D5232" s="187">
        <f>'H-MO'!$N$86</f>
        <v>685561.39085756091</v>
      </c>
      <c r="E5232" s="29">
        <f>+D5232/8</f>
        <v>85695.173857195114</v>
      </c>
      <c r="F5232" s="28">
        <v>0</v>
      </c>
      <c r="G5232" s="33">
        <f>+E5232*F5232</f>
        <v>0</v>
      </c>
    </row>
    <row r="5233" spans="1:8" ht="14.25" thickBot="1">
      <c r="A5233" s="211" t="s">
        <v>519</v>
      </c>
      <c r="B5233" s="216" t="str">
        <f ca="1">_xlfn.CONCAT(B5196,A5233)</f>
        <v>2C7342CE-aj</v>
      </c>
      <c r="C5233" s="34"/>
      <c r="D5233" s="187"/>
      <c r="E5233" s="29"/>
      <c r="F5233" s="28"/>
      <c r="G5233" s="33">
        <f>+E5233*F5233</f>
        <v>0</v>
      </c>
    </row>
    <row r="5234" spans="1:8" ht="14.25" thickBot="1">
      <c r="A5234" s="211" t="s">
        <v>520</v>
      </c>
      <c r="B5234" s="216" t="str">
        <f ca="1">_xlfn.CONCAT(B5196,A5234)</f>
        <v>2C7342CE-ak</v>
      </c>
      <c r="C5234" s="34"/>
      <c r="D5234" s="185"/>
      <c r="E5234" s="26"/>
      <c r="F5234" s="36" t="s">
        <v>31</v>
      </c>
      <c r="G5234" s="23">
        <f>SUM(G5231:G5233)</f>
        <v>7259.1852892505522</v>
      </c>
    </row>
    <row r="5235" spans="1:8" ht="14.25" thickBot="1">
      <c r="A5235" s="211" t="s">
        <v>521</v>
      </c>
      <c r="B5235" s="216" t="str">
        <f ca="1">_xlfn.CONCAT(B5196,A5235)</f>
        <v>2C7342CE-al</v>
      </c>
      <c r="C5235" s="37"/>
      <c r="E5235" s="38"/>
      <c r="F5235" s="22"/>
      <c r="G5235" s="39"/>
    </row>
    <row r="5236" spans="1:8" ht="16.5" thickBot="1">
      <c r="A5236" s="211" t="s">
        <v>522</v>
      </c>
      <c r="B5236" s="216" t="str">
        <f ca="1">_xlfn.CONCAT(B5196,A5236)</f>
        <v>2C7342CE-am</v>
      </c>
      <c r="C5236" s="40"/>
      <c r="D5236" s="193"/>
      <c r="E5236" s="41"/>
      <c r="F5236" s="42"/>
      <c r="G5236" s="43">
        <f>+G5219+G5228+G5234</f>
        <v>118614.24903925056</v>
      </c>
    </row>
    <row r="5237" spans="1:8" ht="21.75" thickBot="1">
      <c r="B5237" s="212" t="s">
        <v>550</v>
      </c>
      <c r="C5237" s="2"/>
      <c r="D5237" s="183"/>
      <c r="F5237" s="4"/>
      <c r="G5237" s="5"/>
    </row>
    <row r="5238" spans="1:8" ht="18.75">
      <c r="A5238" s="213"/>
      <c r="B5238" s="214">
        <v>120</v>
      </c>
      <c r="C5238" s="242" t="str">
        <f ca="1">_xlfn.XLOOKUP(B5238,Cantidades!$A$10:$A$314,Cantidades!$C$10:$C$314,,0,1)</f>
        <v>Suministro e instalación de Luminaria P38328-KIT SOLAR ZD229 60W LI SYLVANIA. Incluye brazo soporte y elementos de conexionado.</v>
      </c>
      <c r="D5238" s="243"/>
      <c r="E5238" s="243"/>
      <c r="F5238" s="243"/>
      <c r="G5238" s="244"/>
    </row>
    <row r="5239" spans="1:8" ht="19.5" thickBot="1">
      <c r="A5239" s="215"/>
      <c r="B5239" s="216" t="s">
        <v>550</v>
      </c>
      <c r="C5239" s="177"/>
      <c r="D5239" s="189"/>
      <c r="E5239" s="178"/>
      <c r="F5239" s="179" t="s">
        <v>636</v>
      </c>
      <c r="G5239" s="209" t="str">
        <f ca="1">B5240</f>
        <v>1EAD4D5E-</v>
      </c>
    </row>
    <row r="5240" spans="1:8" ht="15.75" thickBot="1">
      <c r="B5240" s="212" t="str">
        <f ca="1">_xlfn.XLOOKUP(C5238,Cantidades!$C$1:$C$314,Cantidades!$B$1:$B$314,"",0,1)</f>
        <v>1EAD4D5E-</v>
      </c>
      <c r="C5240" s="10" t="s">
        <v>0</v>
      </c>
      <c r="D5240" s="190"/>
      <c r="E5240" s="11"/>
      <c r="F5240" s="12"/>
      <c r="G5240" s="13"/>
    </row>
    <row r="5241" spans="1:8" ht="14.25" thickBot="1">
      <c r="A5241" s="215"/>
      <c r="B5241" s="216" t="s">
        <v>550</v>
      </c>
      <c r="C5241" s="14" t="s">
        <v>1</v>
      </c>
      <c r="D5241" s="15" t="s">
        <v>2</v>
      </c>
      <c r="E5241" s="15" t="s">
        <v>3</v>
      </c>
      <c r="F5241" s="16" t="s">
        <v>4</v>
      </c>
      <c r="G5241" s="15" t="s">
        <v>5</v>
      </c>
    </row>
    <row r="5242" spans="1:8" ht="15">
      <c r="A5242" s="211" t="s">
        <v>484</v>
      </c>
      <c r="B5242" s="216" t="str">
        <f ca="1">_xlfn.CONCAT(B5240,A5242)</f>
        <v>1EAD4D5E-A</v>
      </c>
      <c r="C5242" s="17" t="str">
        <f>_xlfn.XLOOKUP(H5242,'Materiales unitario'!$A$1:$A$2500,'Materiales unitario'!B$1:B$2500,,0,1)</f>
        <v>Luminaria P38328 Sylvania</v>
      </c>
      <c r="D5242" s="184" t="str">
        <f>_xlfn.XLOOKUP(H5242,'Materiales unitario'!A$1:A$2500,'Materiales unitario'!C$1:C$2500,,0,1)</f>
        <v>un</v>
      </c>
      <c r="E5242" s="197">
        <f>_xlfn.XLOOKUP(H5242,'Materiales unitario'!$A$1:$A$2500,'Materiales unitario'!D$1:D$2500,,0,1)</f>
        <v>382700</v>
      </c>
      <c r="F5242" s="19">
        <v>1</v>
      </c>
      <c r="G5242" s="20">
        <f>+E5242*F5242</f>
        <v>382700</v>
      </c>
      <c r="H5242" s="217" t="s">
        <v>1176</v>
      </c>
    </row>
    <row r="5243" spans="1:8" ht="15">
      <c r="A5243" s="211" t="s">
        <v>485</v>
      </c>
      <c r="B5243" s="216" t="str">
        <f ca="1">_xlfn.CONCAT(B5240,A5243)</f>
        <v>1EAD4D5E-B</v>
      </c>
      <c r="C5243" s="17" t="str">
        <f>_xlfn.XLOOKUP(H5243,'Materiales unitario'!$A$1:$A$2500,'Materiales unitario'!B$1:B$2500,,0,1)</f>
        <v>Accesorios de anclaje y fijacion.</v>
      </c>
      <c r="D5243" s="184" t="str">
        <f>_xlfn.XLOOKUP(H5243,'Materiales unitario'!A$1:A$2500,'Materiales unitario'!C$1:C$2500,,0,1)</f>
        <v>un</v>
      </c>
      <c r="E5243" s="197">
        <f>_xlfn.XLOOKUP(H5243,'Materiales unitario'!$A$1:$A$2500,'Materiales unitario'!D$1:D$2500,,0,1)</f>
        <v>10000</v>
      </c>
      <c r="F5243" s="19">
        <v>6</v>
      </c>
      <c r="G5243" s="20">
        <f>+E5243*F5243</f>
        <v>60000</v>
      </c>
      <c r="H5243" s="217" t="s">
        <v>222</v>
      </c>
    </row>
    <row r="5244" spans="1:8">
      <c r="A5244" s="211" t="s">
        <v>486</v>
      </c>
      <c r="B5244" s="216" t="str">
        <f ca="1">_xlfn.CONCAT(B5240,A5244)</f>
        <v>1EAD4D5E-C</v>
      </c>
      <c r="C5244" s="17"/>
      <c r="D5244" s="184"/>
      <c r="E5244" s="197"/>
      <c r="F5244" s="19"/>
      <c r="G5244" s="20"/>
    </row>
    <row r="5245" spans="1:8">
      <c r="A5245" s="211" t="s">
        <v>487</v>
      </c>
      <c r="B5245" s="216" t="str">
        <f ca="1">_xlfn.CONCAT(B5240,A5245)</f>
        <v>1EAD4D5E-D</v>
      </c>
      <c r="C5245" s="17"/>
      <c r="D5245" s="184"/>
      <c r="E5245" s="197"/>
      <c r="F5245" s="19"/>
      <c r="G5245" s="20"/>
    </row>
    <row r="5246" spans="1:8">
      <c r="A5246" s="211" t="s">
        <v>488</v>
      </c>
      <c r="B5246" s="216" t="str">
        <f ca="1">_xlfn.CONCAT(B5240,A5246)</f>
        <v>1EAD4D5E-E</v>
      </c>
      <c r="C5246" s="17"/>
      <c r="D5246" s="184"/>
      <c r="E5246" s="197"/>
      <c r="F5246" s="19"/>
      <c r="G5246" s="20"/>
    </row>
    <row r="5247" spans="1:8">
      <c r="A5247" s="211" t="s">
        <v>489</v>
      </c>
      <c r="B5247" s="216" t="str">
        <f ca="1">_xlfn.CONCAT(B5240,A5247)</f>
        <v>1EAD4D5E-F</v>
      </c>
      <c r="C5247" s="17"/>
      <c r="D5247" s="184"/>
      <c r="E5247" s="197"/>
      <c r="F5247" s="19"/>
      <c r="G5247" s="20"/>
    </row>
    <row r="5248" spans="1:8">
      <c r="A5248" s="211" t="s">
        <v>490</v>
      </c>
      <c r="B5248" s="216" t="str">
        <f ca="1">_xlfn.CONCAT(B5240,A5248)</f>
        <v>1EAD4D5E-G</v>
      </c>
      <c r="C5248" s="17"/>
      <c r="D5248" s="184"/>
      <c r="E5248" s="197"/>
      <c r="F5248" s="19"/>
      <c r="G5248" s="20"/>
    </row>
    <row r="5249" spans="1:7">
      <c r="A5249" s="211" t="s">
        <v>491</v>
      </c>
      <c r="B5249" s="216" t="str">
        <f ca="1">_xlfn.CONCAT(B5240,A5249)</f>
        <v>1EAD4D5E-H</v>
      </c>
      <c r="C5249" s="17"/>
      <c r="D5249" s="184"/>
      <c r="E5249" s="197"/>
      <c r="F5249" s="19"/>
      <c r="G5249" s="20"/>
    </row>
    <row r="5250" spans="1:7">
      <c r="A5250" s="211" t="s">
        <v>492</v>
      </c>
      <c r="B5250" s="216" t="str">
        <f ca="1">_xlfn.CONCAT(B5240,A5250)</f>
        <v>1EAD4D5E-I</v>
      </c>
      <c r="C5250" s="17"/>
      <c r="D5250" s="184"/>
      <c r="E5250" s="197"/>
      <c r="F5250" s="19"/>
      <c r="G5250" s="20"/>
    </row>
    <row r="5251" spans="1:7">
      <c r="A5251" s="211" t="s">
        <v>493</v>
      </c>
      <c r="B5251" s="216" t="str">
        <f ca="1">_xlfn.CONCAT(B5240,A5251)</f>
        <v>1EAD4D5E-J</v>
      </c>
      <c r="C5251" s="17"/>
      <c r="D5251" s="184"/>
      <c r="E5251" s="197"/>
      <c r="F5251" s="19"/>
      <c r="G5251" s="20"/>
    </row>
    <row r="5252" spans="1:7">
      <c r="A5252" s="211" t="s">
        <v>494</v>
      </c>
      <c r="B5252" s="216" t="str">
        <f ca="1">_xlfn.CONCAT(B5240,A5252)</f>
        <v>1EAD4D5E-K</v>
      </c>
      <c r="C5252" s="17"/>
      <c r="D5252" s="184"/>
      <c r="E5252" s="197"/>
      <c r="F5252" s="19"/>
      <c r="G5252" s="20"/>
    </row>
    <row r="5253" spans="1:7">
      <c r="A5253" s="211" t="s">
        <v>495</v>
      </c>
      <c r="B5253" s="216" t="str">
        <f ca="1">_xlfn.CONCAT(B5240,A5253)</f>
        <v>1EAD4D5E-L</v>
      </c>
      <c r="C5253" s="17"/>
      <c r="D5253" s="184"/>
      <c r="E5253" s="197"/>
      <c r="F5253" s="19"/>
      <c r="G5253" s="20"/>
    </row>
    <row r="5254" spans="1:7">
      <c r="A5254" s="211" t="s">
        <v>496</v>
      </c>
      <c r="B5254" s="216" t="str">
        <f ca="1">_xlfn.CONCAT(B5240,A5254)</f>
        <v>1EAD4D5E-M</v>
      </c>
      <c r="C5254" s="17"/>
      <c r="D5254" s="184"/>
      <c r="E5254" s="197"/>
      <c r="F5254" s="19"/>
      <c r="G5254" s="20"/>
    </row>
    <row r="5255" spans="1:7">
      <c r="A5255" s="211" t="s">
        <v>497</v>
      </c>
      <c r="B5255" s="216" t="str">
        <f ca="1">_xlfn.CONCAT(B5240,A5255)</f>
        <v>1EAD4D5E-N</v>
      </c>
      <c r="C5255" s="17"/>
      <c r="D5255" s="184"/>
      <c r="E5255" s="197"/>
      <c r="F5255" s="19"/>
      <c r="G5255" s="20"/>
    </row>
    <row r="5256" spans="1:7">
      <c r="A5256" s="211" t="s">
        <v>498</v>
      </c>
      <c r="B5256" s="216" t="str">
        <f ca="1">_xlfn.CONCAT(B5240,A5256)</f>
        <v>1EAD4D5E-O</v>
      </c>
      <c r="C5256" s="17"/>
      <c r="D5256" s="184"/>
      <c r="E5256" s="197"/>
      <c r="F5256" s="19"/>
      <c r="G5256" s="20"/>
    </row>
    <row r="5257" spans="1:7">
      <c r="A5257" s="211" t="s">
        <v>499</v>
      </c>
      <c r="B5257" s="216" t="str">
        <f ca="1">_xlfn.CONCAT(B5240,A5257)</f>
        <v>1EAD4D5E-P</v>
      </c>
      <c r="C5257" s="17"/>
      <c r="D5257" s="184"/>
      <c r="E5257" s="197"/>
      <c r="F5257" s="19"/>
      <c r="G5257" s="20"/>
    </row>
    <row r="5258" spans="1:7">
      <c r="A5258" s="211" t="s">
        <v>500</v>
      </c>
      <c r="B5258" s="216" t="str">
        <f ca="1">_xlfn.CONCAT(B5240,A5258)</f>
        <v>1EAD4D5E-Q</v>
      </c>
      <c r="C5258" s="17"/>
      <c r="D5258" s="184"/>
      <c r="E5258" s="197"/>
      <c r="F5258" s="19"/>
      <c r="G5258" s="20"/>
    </row>
    <row r="5259" spans="1:7">
      <c r="A5259" s="211" t="s">
        <v>501</v>
      </c>
      <c r="B5259" s="216" t="str">
        <f ca="1">_xlfn.CONCAT(B5240,A5259)</f>
        <v>1EAD4D5E-R</v>
      </c>
      <c r="C5259" s="17"/>
      <c r="D5259" s="184"/>
      <c r="E5259" s="197"/>
      <c r="F5259" s="19"/>
      <c r="G5259" s="20"/>
    </row>
    <row r="5260" spans="1:7">
      <c r="A5260" s="211" t="s">
        <v>502</v>
      </c>
      <c r="B5260" s="216" t="str">
        <f ca="1">_xlfn.CONCAT(B5240,A5260)</f>
        <v>1EAD4D5E-S</v>
      </c>
      <c r="C5260" s="17"/>
      <c r="D5260" s="184"/>
      <c r="E5260" s="197"/>
      <c r="F5260" s="19"/>
      <c r="G5260" s="20"/>
    </row>
    <row r="5261" spans="1:7">
      <c r="A5261" s="211" t="s">
        <v>503</v>
      </c>
      <c r="B5261" s="216" t="str">
        <f ca="1">_xlfn.CONCAT(B5240,A5261)</f>
        <v>1EAD4D5E-T</v>
      </c>
      <c r="C5261" s="17"/>
      <c r="D5261" s="184"/>
      <c r="E5261" s="197"/>
      <c r="F5261" s="19"/>
      <c r="G5261" s="20"/>
    </row>
    <row r="5262" spans="1:7" ht="14.25" thickBot="1">
      <c r="A5262" s="211" t="s">
        <v>504</v>
      </c>
      <c r="B5262" s="216" t="str">
        <f ca="1">_xlfn.CONCAT(B5240,A5262)</f>
        <v>1EAD4D5E-U</v>
      </c>
      <c r="C5262" s="17"/>
      <c r="D5262" s="184"/>
      <c r="E5262" s="197"/>
      <c r="F5262" s="19"/>
      <c r="G5262" s="20"/>
    </row>
    <row r="5263" spans="1:7" ht="14.25" thickBot="1">
      <c r="A5263" s="211" t="s">
        <v>505</v>
      </c>
      <c r="B5263" s="216" t="str">
        <f ca="1">_xlfn.CONCAT(B5240,A5263)</f>
        <v>1EAD4D5E-V</v>
      </c>
      <c r="C5263" s="17" t="s">
        <v>17</v>
      </c>
      <c r="D5263" s="192" t="s">
        <v>17</v>
      </c>
      <c r="E5263" s="18"/>
      <c r="F5263" s="22" t="s">
        <v>18</v>
      </c>
      <c r="G5263" s="23">
        <f>SUM(G5242:G5262)</f>
        <v>442700</v>
      </c>
    </row>
    <row r="5264" spans="1:7" ht="15.75" thickBot="1">
      <c r="A5264" s="211" t="s">
        <v>506</v>
      </c>
      <c r="B5264" s="216" t="str">
        <f ca="1">_xlfn.CONCAT(B5240,A5264)</f>
        <v>1EAD4D5E-W</v>
      </c>
      <c r="C5264" s="10" t="s">
        <v>19</v>
      </c>
      <c r="D5264" s="190"/>
      <c r="E5264" s="11"/>
      <c r="F5264" s="12"/>
      <c r="G5264" s="13"/>
    </row>
    <row r="5265" spans="1:7" ht="14.25" thickBot="1">
      <c r="A5265" s="211" t="s">
        <v>507</v>
      </c>
      <c r="B5265" s="216" t="str">
        <f ca="1">_xlfn.CONCAT(B5240,A5265)</f>
        <v>1EAD4D5E-X</v>
      </c>
      <c r="C5265" s="14" t="s">
        <v>1</v>
      </c>
      <c r="D5265" s="15"/>
      <c r="E5265" s="15" t="s">
        <v>20</v>
      </c>
      <c r="F5265" s="16" t="s">
        <v>21</v>
      </c>
      <c r="G5265" s="15" t="s">
        <v>5</v>
      </c>
    </row>
    <row r="5266" spans="1:7">
      <c r="A5266" s="211" t="s">
        <v>508</v>
      </c>
      <c r="B5266" s="216" t="str">
        <f ca="1">_xlfn.CONCAT(B5240,A5266)</f>
        <v>1EAD4D5E-Y</v>
      </c>
      <c r="C5266" s="24" t="s">
        <v>22</v>
      </c>
      <c r="D5266" s="184"/>
      <c r="E5266" s="25">
        <f>_xlfn.XLOOKUP(C5266,'H-MO'!B$7:B$30,'H-MO'!D$7:D$30,,0,1)</f>
        <v>2436.5624999999995</v>
      </c>
      <c r="F5266" s="19">
        <v>1</v>
      </c>
      <c r="G5266" s="33">
        <f t="shared" ref="G5266:G5271" si="153">+E5266*F5266</f>
        <v>2436.5624999999995</v>
      </c>
    </row>
    <row r="5267" spans="1:7">
      <c r="A5267" s="211" t="s">
        <v>509</v>
      </c>
      <c r="B5267" s="216" t="str">
        <f ca="1">_xlfn.CONCAT(B5240,A5267)</f>
        <v>1EAD4D5E-Z</v>
      </c>
      <c r="C5267" s="24" t="s">
        <v>23</v>
      </c>
      <c r="D5267" s="184"/>
      <c r="E5267" s="25">
        <f>_xlfn.XLOOKUP(C5267,'H-MO'!B$7:B$30,'H-MO'!D$7:D$30,,0,1)</f>
        <v>1461.9374999999998</v>
      </c>
      <c r="F5267" s="19">
        <v>0.3</v>
      </c>
      <c r="G5267" s="33">
        <f t="shared" si="153"/>
        <v>438.5812499999999</v>
      </c>
    </row>
    <row r="5268" spans="1:7">
      <c r="A5268" s="211" t="s">
        <v>510</v>
      </c>
      <c r="B5268" s="216" t="str">
        <f ca="1">_xlfn.CONCAT(B5240,A5268)</f>
        <v>1EAD4D5E-aa</v>
      </c>
      <c r="C5268" s="24" t="s">
        <v>24</v>
      </c>
      <c r="D5268" s="185"/>
      <c r="E5268" s="25">
        <f>_xlfn.XLOOKUP(C5268,'H-MO'!B$7:B$30,'H-MO'!D$7:D$30,,0,1)</f>
        <v>29238.749999999996</v>
      </c>
      <c r="F5268" s="28">
        <v>0.06</v>
      </c>
      <c r="G5268" s="33">
        <f t="shared" si="153"/>
        <v>1754.3249999999998</v>
      </c>
    </row>
    <row r="5269" spans="1:7">
      <c r="A5269" s="211" t="s">
        <v>511</v>
      </c>
      <c r="B5269" s="216" t="str">
        <f ca="1">_xlfn.CONCAT(B5240,A5269)</f>
        <v>1EAD4D5E-ab</v>
      </c>
      <c r="C5269" s="24" t="s">
        <v>25</v>
      </c>
      <c r="D5269" s="185"/>
      <c r="E5269" s="25">
        <f>_xlfn.XLOOKUP(C5269,'H-MO'!B$7:B$30,'H-MO'!D$7:D$30,,0,1)</f>
        <v>2761.4374999999995</v>
      </c>
      <c r="F5269" s="28">
        <v>2</v>
      </c>
      <c r="G5269" s="33">
        <f t="shared" si="153"/>
        <v>5522.8749999999991</v>
      </c>
    </row>
    <row r="5270" spans="1:7">
      <c r="A5270" s="211" t="s">
        <v>512</v>
      </c>
      <c r="B5270" s="216" t="str">
        <f ca="1">_xlfn.CONCAT(B5240,A5270)</f>
        <v>1EAD4D5E-ac</v>
      </c>
      <c r="C5270" s="24"/>
      <c r="D5270" s="185"/>
      <c r="E5270" s="29"/>
      <c r="F5270" s="28"/>
      <c r="G5270" s="33">
        <f t="shared" si="153"/>
        <v>0</v>
      </c>
    </row>
    <row r="5271" spans="1:7" ht="14.25" thickBot="1">
      <c r="A5271" s="211" t="s">
        <v>513</v>
      </c>
      <c r="B5271" s="216" t="str">
        <f ca="1">_xlfn.CONCAT(B5240,A5271)</f>
        <v>1EAD4D5E-ad</v>
      </c>
      <c r="C5271" s="24"/>
      <c r="D5271" s="185"/>
      <c r="E5271" s="29"/>
      <c r="F5271" s="28"/>
      <c r="G5271" s="33">
        <f t="shared" si="153"/>
        <v>0</v>
      </c>
    </row>
    <row r="5272" spans="1:7" ht="14.25" thickBot="1">
      <c r="A5272" s="211" t="s">
        <v>514</v>
      </c>
      <c r="B5272" s="216" t="str">
        <f ca="1">_xlfn.CONCAT(B5240,A5272)</f>
        <v>1EAD4D5E-ae</v>
      </c>
      <c r="C5272" s="17"/>
      <c r="D5272" s="192"/>
      <c r="E5272" s="18"/>
      <c r="F5272" s="22" t="s">
        <v>26</v>
      </c>
      <c r="G5272" s="23">
        <f>SUM(G5266:G5271)</f>
        <v>10152.343749999998</v>
      </c>
    </row>
    <row r="5273" spans="1:7" ht="15.75" thickBot="1">
      <c r="A5273" s="211" t="s">
        <v>515</v>
      </c>
      <c r="B5273" s="216" t="str">
        <f ca="1">_xlfn.CONCAT(B5240,A5273)</f>
        <v>1EAD4D5E-af</v>
      </c>
      <c r="C5273" s="10" t="s">
        <v>27</v>
      </c>
      <c r="D5273" s="190"/>
      <c r="E5273" s="11"/>
      <c r="F5273" s="12"/>
      <c r="G5273" s="13"/>
    </row>
    <row r="5274" spans="1:7" ht="14.25" thickBot="1">
      <c r="A5274" s="211" t="s">
        <v>516</v>
      </c>
      <c r="B5274" s="216" t="str">
        <f ca="1">_xlfn.CONCAT(B5240,A5274)</f>
        <v>1EAD4D5E-ag</v>
      </c>
      <c r="C5274" s="14" t="s">
        <v>1</v>
      </c>
      <c r="D5274" s="15" t="s">
        <v>28</v>
      </c>
      <c r="E5274" s="15" t="s">
        <v>20</v>
      </c>
      <c r="F5274" s="16" t="s">
        <v>21</v>
      </c>
      <c r="G5274" s="15" t="s">
        <v>5</v>
      </c>
    </row>
    <row r="5275" spans="1:7">
      <c r="A5275" s="211" t="s">
        <v>517</v>
      </c>
      <c r="B5275" s="216" t="str">
        <f ca="1">_xlfn.CONCAT(B5240,A5275)</f>
        <v>1EAD4D5E-ah</v>
      </c>
      <c r="C5275" s="30" t="s">
        <v>29</v>
      </c>
      <c r="D5275" s="186">
        <f>'H-MO'!$N$77</f>
        <v>725918.52892505517</v>
      </c>
      <c r="E5275" s="31">
        <f>+D5275/8</f>
        <v>90739.816115631897</v>
      </c>
      <c r="F5275" s="32">
        <v>0.8</v>
      </c>
      <c r="G5275" s="33">
        <f>+E5275*F5275</f>
        <v>72591.852892505514</v>
      </c>
    </row>
    <row r="5276" spans="1:7">
      <c r="A5276" s="211" t="s">
        <v>518</v>
      </c>
      <c r="B5276" s="216" t="str">
        <f ca="1">_xlfn.CONCAT(B5240,A5276)</f>
        <v>1EAD4D5E-ai</v>
      </c>
      <c r="C5276" s="34" t="s">
        <v>30</v>
      </c>
      <c r="D5276" s="187">
        <f>'H-MO'!$N$86</f>
        <v>685561.39085756091</v>
      </c>
      <c r="E5276" s="29">
        <f>+D5276/8</f>
        <v>85695.173857195114</v>
      </c>
      <c r="F5276" s="28">
        <v>0</v>
      </c>
      <c r="G5276" s="33">
        <f>+E5276*F5276</f>
        <v>0</v>
      </c>
    </row>
    <row r="5277" spans="1:7" ht="14.25" thickBot="1">
      <c r="A5277" s="211" t="s">
        <v>519</v>
      </c>
      <c r="B5277" s="216" t="str">
        <f ca="1">_xlfn.CONCAT(B5240,A5277)</f>
        <v>1EAD4D5E-aj</v>
      </c>
      <c r="C5277" s="34"/>
      <c r="D5277" s="187"/>
      <c r="E5277" s="29"/>
      <c r="F5277" s="28"/>
      <c r="G5277" s="33">
        <f>+E5277*F5277</f>
        <v>0</v>
      </c>
    </row>
    <row r="5278" spans="1:7" ht="14.25" thickBot="1">
      <c r="A5278" s="211" t="s">
        <v>520</v>
      </c>
      <c r="B5278" s="216" t="str">
        <f ca="1">_xlfn.CONCAT(B5240,A5278)</f>
        <v>1EAD4D5E-ak</v>
      </c>
      <c r="C5278" s="34"/>
      <c r="D5278" s="185"/>
      <c r="E5278" s="26"/>
      <c r="F5278" s="36" t="s">
        <v>31</v>
      </c>
      <c r="G5278" s="23">
        <f>SUM(G5275:G5277)</f>
        <v>72591.852892505514</v>
      </c>
    </row>
    <row r="5279" spans="1:7" ht="14.25" thickBot="1">
      <c r="A5279" s="211" t="s">
        <v>521</v>
      </c>
      <c r="B5279" s="216" t="str">
        <f ca="1">_xlfn.CONCAT(B5240,A5279)</f>
        <v>1EAD4D5E-al</v>
      </c>
      <c r="C5279" s="37"/>
      <c r="E5279" s="38"/>
      <c r="F5279" s="22"/>
      <c r="G5279" s="39"/>
    </row>
    <row r="5280" spans="1:7" ht="16.5" thickBot="1">
      <c r="A5280" s="211" t="s">
        <v>522</v>
      </c>
      <c r="B5280" s="216" t="str">
        <f ca="1">_xlfn.CONCAT(B5240,A5280)</f>
        <v>1EAD4D5E-am</v>
      </c>
      <c r="C5280" s="40"/>
      <c r="D5280" s="193"/>
      <c r="E5280" s="41"/>
      <c r="F5280" s="42"/>
      <c r="G5280" s="43">
        <f>+G5263+G5272+G5278</f>
        <v>525444.19664250547</v>
      </c>
    </row>
    <row r="5281" spans="1:8" ht="21.75" thickBot="1">
      <c r="B5281" s="212" t="s">
        <v>550</v>
      </c>
      <c r="C5281" s="2"/>
      <c r="D5281" s="183"/>
      <c r="F5281" s="4"/>
      <c r="G5281" s="5"/>
    </row>
    <row r="5282" spans="1:8" ht="18.75">
      <c r="A5282" s="213"/>
      <c r="B5282" s="214">
        <v>121</v>
      </c>
      <c r="C5282" s="242" t="str">
        <f ca="1">_xlfn.XLOOKUP(B5282,Cantidades!$A$10:$A$314,Cantidades!$C$10:$C$314,,0,1)</f>
        <v>Suministro e instalación de afloramiento 2Ø3" IMC. Incluye tubería, 2 capacetes, 2 uniones, 2 curvas, cinta de señalización, cinta de acero inoxidable y demás elementos para su correta instalación.</v>
      </c>
      <c r="D5282" s="243"/>
      <c r="E5282" s="243"/>
      <c r="F5282" s="243"/>
      <c r="G5282" s="244"/>
    </row>
    <row r="5283" spans="1:8" ht="19.5" thickBot="1">
      <c r="A5283" s="215"/>
      <c r="B5283" s="216" t="s">
        <v>550</v>
      </c>
      <c r="C5283" s="177"/>
      <c r="D5283" s="189"/>
      <c r="E5283" s="178"/>
      <c r="F5283" s="179" t="s">
        <v>636</v>
      </c>
      <c r="G5283" s="209" t="str">
        <f ca="1">B5284</f>
        <v>15280E7D-</v>
      </c>
    </row>
    <row r="5284" spans="1:8" ht="15.75" thickBot="1">
      <c r="B5284" s="212" t="str">
        <f ca="1">_xlfn.XLOOKUP(C5282,Cantidades!$C$1:$C$314,Cantidades!$B$1:$B$314,"",0,1)</f>
        <v>15280E7D-</v>
      </c>
      <c r="C5284" s="10" t="s">
        <v>0</v>
      </c>
      <c r="D5284" s="190"/>
      <c r="E5284" s="11"/>
      <c r="F5284" s="12"/>
      <c r="G5284" s="13"/>
    </row>
    <row r="5285" spans="1:8" ht="14.25" thickBot="1">
      <c r="A5285" s="215"/>
      <c r="B5285" s="216" t="s">
        <v>550</v>
      </c>
      <c r="C5285" s="14" t="s">
        <v>1</v>
      </c>
      <c r="D5285" s="15" t="s">
        <v>2</v>
      </c>
      <c r="E5285" s="15" t="s">
        <v>3</v>
      </c>
      <c r="F5285" s="16" t="s">
        <v>4</v>
      </c>
      <c r="G5285" s="15" t="s">
        <v>5</v>
      </c>
    </row>
    <row r="5286" spans="1:8" ht="15">
      <c r="A5286" s="211" t="s">
        <v>484</v>
      </c>
      <c r="B5286" s="216" t="str">
        <f ca="1">_xlfn.CONCAT(B5284,A5286)</f>
        <v>15280E7D-A</v>
      </c>
      <c r="C5286" s="17" t="str">
        <f>_xlfn.XLOOKUP(H5286,'Materiales unitario'!$A$1:$A$2500,'Materiales unitario'!B$1:B$2500,,0,1)</f>
        <v xml:space="preserve">Tubo metálico galv. Ø3" IMC </v>
      </c>
      <c r="D5286" s="184" t="str">
        <f>_xlfn.XLOOKUP(H5286,'Materiales unitario'!A$1:A$2500,'Materiales unitario'!C$1:C$2500,,0,1)</f>
        <v>ml</v>
      </c>
      <c r="E5286" s="197">
        <f>_xlfn.XLOOKUP(H5286,'Materiales unitario'!$A$1:$A$2500,'Materiales unitario'!D$1:D$2500,,0,1)</f>
        <v>136400</v>
      </c>
      <c r="F5286" s="19">
        <v>12</v>
      </c>
      <c r="G5286" s="20">
        <f>+E5286*F5286</f>
        <v>1636800</v>
      </c>
      <c r="H5286" s="217" t="s">
        <v>1181</v>
      </c>
    </row>
    <row r="5287" spans="1:8" ht="15">
      <c r="A5287" s="211" t="s">
        <v>485</v>
      </c>
      <c r="B5287" s="216" t="str">
        <f ca="1">_xlfn.CONCAT(B5284,A5287)</f>
        <v>15280E7D-B</v>
      </c>
      <c r="C5287" s="17" t="str">
        <f>_xlfn.XLOOKUP(H5287,'Materiales unitario'!$A$1:$A$2500,'Materiales unitario'!B$1:B$2500,,0,1)</f>
        <v>Capacete en aluminio fundido ø3"</v>
      </c>
      <c r="D5287" s="184" t="str">
        <f>_xlfn.XLOOKUP(H5287,'Materiales unitario'!A$1:A$2500,'Materiales unitario'!C$1:C$2500,,0,1)</f>
        <v>ml</v>
      </c>
      <c r="E5287" s="197">
        <f>_xlfn.XLOOKUP(H5287,'Materiales unitario'!$A$1:$A$2500,'Materiales unitario'!D$1:D$2500,,0,1)</f>
        <v>64920</v>
      </c>
      <c r="F5287" s="19">
        <v>2</v>
      </c>
      <c r="G5287" s="20">
        <f>+E5287*F5287</f>
        <v>129840</v>
      </c>
      <c r="H5287" s="217" t="s">
        <v>1183</v>
      </c>
    </row>
    <row r="5288" spans="1:8" ht="15">
      <c r="A5288" s="211" t="s">
        <v>486</v>
      </c>
      <c r="B5288" s="216" t="str">
        <f ca="1">_xlfn.CONCAT(B5284,A5288)</f>
        <v>15280E7D-C</v>
      </c>
      <c r="C5288" s="17" t="str">
        <f>_xlfn.XLOOKUP(H5288,'Materiales unitario'!$A$1:$A$2500,'Materiales unitario'!B$1:B$2500,,0,1)</f>
        <v xml:space="preserve">Unión Conduit galv. ø3" </v>
      </c>
      <c r="D5288" s="184" t="str">
        <f>_xlfn.XLOOKUP(H5288,'Materiales unitario'!A$1:A$2500,'Materiales unitario'!C$1:C$2500,,0,1)</f>
        <v>un</v>
      </c>
      <c r="E5288" s="197">
        <f>_xlfn.XLOOKUP(H5288,'Materiales unitario'!$A$1:$A$2500,'Materiales unitario'!D$1:D$2500,,0,1)</f>
        <v>23400</v>
      </c>
      <c r="F5288" s="19">
        <v>2</v>
      </c>
      <c r="G5288" s="20">
        <f>+E5288*F5288</f>
        <v>46800</v>
      </c>
      <c r="H5288" s="217" t="s">
        <v>1185</v>
      </c>
    </row>
    <row r="5289" spans="1:8" ht="15">
      <c r="A5289" s="211" t="s">
        <v>487</v>
      </c>
      <c r="B5289" s="216" t="str">
        <f ca="1">_xlfn.CONCAT(B5284,A5289)</f>
        <v>15280E7D-D</v>
      </c>
      <c r="C5289" s="17" t="str">
        <f>_xlfn.XLOOKUP(H5289,'Materiales unitario'!$A$1:$A$2500,'Materiales unitario'!B$1:B$2500,,0,1)</f>
        <v>Curva PVC ø3"</v>
      </c>
      <c r="D5289" s="184" t="str">
        <f>_xlfn.XLOOKUP(H5289,'Materiales unitario'!A$1:A$2500,'Materiales unitario'!C$1:C$2500,,0,1)</f>
        <v>un</v>
      </c>
      <c r="E5289" s="197">
        <f>_xlfn.XLOOKUP(H5289,'Materiales unitario'!$A$1:$A$2500,'Materiales unitario'!D$1:D$2500,,0,1)</f>
        <v>21600</v>
      </c>
      <c r="F5289" s="19">
        <v>2</v>
      </c>
      <c r="G5289" s="20">
        <f>+E5289*F5289</f>
        <v>43200</v>
      </c>
      <c r="H5289" s="217" t="s">
        <v>1187</v>
      </c>
    </row>
    <row r="5290" spans="1:8" ht="15">
      <c r="A5290" s="211" t="s">
        <v>488</v>
      </c>
      <c r="B5290" s="216" t="str">
        <f ca="1">_xlfn.CONCAT(B5284,A5290)</f>
        <v>15280E7D-E</v>
      </c>
      <c r="C5290" s="17" t="str">
        <f>_xlfn.XLOOKUP(H5290,'Materiales unitario'!$A$1:$A$2500,'Materiales unitario'!B$1:B$2500,,0,1)</f>
        <v>Cinta Band - It  ø3/8"</v>
      </c>
      <c r="D5290" s="184" t="str">
        <f>_xlfn.XLOOKUP(H5290,'Materiales unitario'!A$1:A$2500,'Materiales unitario'!C$1:C$2500,,0,1)</f>
        <v>ml</v>
      </c>
      <c r="E5290" s="197">
        <f>_xlfn.XLOOKUP(H5290,'Materiales unitario'!$A$1:$A$2500,'Materiales unitario'!D$1:D$2500,,0,1)</f>
        <v>2856</v>
      </c>
      <c r="F5290" s="19">
        <v>2</v>
      </c>
      <c r="G5290" s="20">
        <f>+E5290*F5290</f>
        <v>5712</v>
      </c>
      <c r="H5290" s="217" t="s">
        <v>297</v>
      </c>
    </row>
    <row r="5291" spans="1:8" ht="15">
      <c r="A5291" s="211" t="s">
        <v>489</v>
      </c>
      <c r="B5291" s="216" t="str">
        <f ca="1">_xlfn.CONCAT(B5284,A5291)</f>
        <v>15280E7D-F</v>
      </c>
      <c r="C5291" s="17"/>
      <c r="D5291" s="184"/>
      <c r="E5291" s="197"/>
      <c r="F5291" s="19"/>
      <c r="G5291" s="20"/>
      <c r="H5291" s="217"/>
    </row>
    <row r="5292" spans="1:8" ht="15">
      <c r="A5292" s="211" t="s">
        <v>490</v>
      </c>
      <c r="B5292" s="216" t="str">
        <f ca="1">_xlfn.CONCAT(B5284,A5292)</f>
        <v>15280E7D-G</v>
      </c>
      <c r="C5292" s="17"/>
      <c r="D5292" s="184"/>
      <c r="E5292" s="197"/>
      <c r="F5292" s="19"/>
      <c r="G5292" s="20"/>
      <c r="H5292" s="217"/>
    </row>
    <row r="5293" spans="1:8" ht="15">
      <c r="A5293" s="211" t="s">
        <v>491</v>
      </c>
      <c r="B5293" s="216" t="str">
        <f ca="1">_xlfn.CONCAT(B5284,A5293)</f>
        <v>15280E7D-H</v>
      </c>
      <c r="C5293" s="17"/>
      <c r="D5293" s="184"/>
      <c r="E5293" s="197"/>
      <c r="F5293" s="19"/>
      <c r="G5293" s="20"/>
      <c r="H5293" s="217"/>
    </row>
    <row r="5294" spans="1:8" ht="15">
      <c r="A5294" s="211" t="s">
        <v>492</v>
      </c>
      <c r="B5294" s="216" t="str">
        <f ca="1">_xlfn.CONCAT(B5284,A5294)</f>
        <v>15280E7D-I</v>
      </c>
      <c r="C5294" s="17"/>
      <c r="D5294" s="184"/>
      <c r="E5294" s="197"/>
      <c r="F5294" s="19"/>
      <c r="G5294" s="20"/>
      <c r="H5294" s="217"/>
    </row>
    <row r="5295" spans="1:8" ht="15">
      <c r="A5295" s="211" t="s">
        <v>493</v>
      </c>
      <c r="B5295" s="216" t="str">
        <f ca="1">_xlfn.CONCAT(B5284,A5295)</f>
        <v>15280E7D-J</v>
      </c>
      <c r="C5295" s="17"/>
      <c r="D5295" s="184"/>
      <c r="E5295" s="197"/>
      <c r="F5295" s="19"/>
      <c r="G5295" s="20"/>
      <c r="H5295" s="217"/>
    </row>
    <row r="5296" spans="1:8">
      <c r="A5296" s="211" t="s">
        <v>494</v>
      </c>
      <c r="B5296" s="216" t="str">
        <f ca="1">_xlfn.CONCAT(B5284,A5296)</f>
        <v>15280E7D-K</v>
      </c>
      <c r="C5296" s="17"/>
      <c r="D5296" s="184"/>
      <c r="E5296" s="197"/>
      <c r="F5296" s="19"/>
      <c r="G5296" s="20"/>
    </row>
    <row r="5297" spans="1:7">
      <c r="A5297" s="211" t="s">
        <v>495</v>
      </c>
      <c r="B5297" s="216" t="str">
        <f ca="1">_xlfn.CONCAT(B5284,A5297)</f>
        <v>15280E7D-L</v>
      </c>
      <c r="C5297" s="17"/>
      <c r="D5297" s="184"/>
      <c r="E5297" s="197"/>
      <c r="F5297" s="19"/>
      <c r="G5297" s="20"/>
    </row>
    <row r="5298" spans="1:7">
      <c r="A5298" s="211" t="s">
        <v>496</v>
      </c>
      <c r="B5298" s="216" t="str">
        <f ca="1">_xlfn.CONCAT(B5284,A5298)</f>
        <v>15280E7D-M</v>
      </c>
      <c r="C5298" s="17"/>
      <c r="D5298" s="184"/>
      <c r="E5298" s="197"/>
      <c r="F5298" s="19"/>
      <c r="G5298" s="20"/>
    </row>
    <row r="5299" spans="1:7">
      <c r="A5299" s="211" t="s">
        <v>497</v>
      </c>
      <c r="B5299" s="216" t="str">
        <f ca="1">_xlfn.CONCAT(B5284,A5299)</f>
        <v>15280E7D-N</v>
      </c>
      <c r="C5299" s="17"/>
      <c r="D5299" s="184"/>
      <c r="E5299" s="197"/>
      <c r="F5299" s="19"/>
      <c r="G5299" s="20"/>
    </row>
    <row r="5300" spans="1:7">
      <c r="A5300" s="211" t="s">
        <v>498</v>
      </c>
      <c r="B5300" s="216" t="str">
        <f ca="1">_xlfn.CONCAT(B5284,A5300)</f>
        <v>15280E7D-O</v>
      </c>
      <c r="C5300" s="17"/>
      <c r="D5300" s="184"/>
      <c r="E5300" s="197"/>
      <c r="F5300" s="19"/>
      <c r="G5300" s="20"/>
    </row>
    <row r="5301" spans="1:7">
      <c r="A5301" s="211" t="s">
        <v>499</v>
      </c>
      <c r="B5301" s="216" t="str">
        <f ca="1">_xlfn.CONCAT(B5284,A5301)</f>
        <v>15280E7D-P</v>
      </c>
      <c r="C5301" s="17"/>
      <c r="D5301" s="184"/>
      <c r="E5301" s="197"/>
      <c r="F5301" s="19"/>
      <c r="G5301" s="20"/>
    </row>
    <row r="5302" spans="1:7">
      <c r="A5302" s="211" t="s">
        <v>500</v>
      </c>
      <c r="B5302" s="216" t="str">
        <f ca="1">_xlfn.CONCAT(B5284,A5302)</f>
        <v>15280E7D-Q</v>
      </c>
      <c r="C5302" s="17"/>
      <c r="D5302" s="184"/>
      <c r="E5302" s="197"/>
      <c r="F5302" s="19"/>
      <c r="G5302" s="20"/>
    </row>
    <row r="5303" spans="1:7">
      <c r="A5303" s="211" t="s">
        <v>501</v>
      </c>
      <c r="B5303" s="216" t="str">
        <f ca="1">_xlfn.CONCAT(B5284,A5303)</f>
        <v>15280E7D-R</v>
      </c>
      <c r="C5303" s="17"/>
      <c r="D5303" s="184"/>
      <c r="E5303" s="197"/>
      <c r="F5303" s="19"/>
      <c r="G5303" s="20"/>
    </row>
    <row r="5304" spans="1:7">
      <c r="A5304" s="211" t="s">
        <v>502</v>
      </c>
      <c r="B5304" s="216" t="str">
        <f ca="1">_xlfn.CONCAT(B5284,A5304)</f>
        <v>15280E7D-S</v>
      </c>
      <c r="C5304" s="17"/>
      <c r="D5304" s="184"/>
      <c r="E5304" s="197"/>
      <c r="F5304" s="19"/>
      <c r="G5304" s="20"/>
    </row>
    <row r="5305" spans="1:7">
      <c r="A5305" s="211" t="s">
        <v>503</v>
      </c>
      <c r="B5305" s="216" t="str">
        <f ca="1">_xlfn.CONCAT(B5284,A5305)</f>
        <v>15280E7D-T</v>
      </c>
      <c r="C5305" s="17"/>
      <c r="D5305" s="184"/>
      <c r="E5305" s="197"/>
      <c r="F5305" s="19"/>
      <c r="G5305" s="20"/>
    </row>
    <row r="5306" spans="1:7" ht="14.25" thickBot="1">
      <c r="A5306" s="211" t="s">
        <v>504</v>
      </c>
      <c r="B5306" s="216" t="str">
        <f ca="1">_xlfn.CONCAT(B5284,A5306)</f>
        <v>15280E7D-U</v>
      </c>
      <c r="C5306" s="17"/>
      <c r="D5306" s="184"/>
      <c r="E5306" s="197"/>
      <c r="F5306" s="19"/>
      <c r="G5306" s="20"/>
    </row>
    <row r="5307" spans="1:7" ht="14.25" thickBot="1">
      <c r="A5307" s="211" t="s">
        <v>505</v>
      </c>
      <c r="B5307" s="216" t="str">
        <f ca="1">_xlfn.CONCAT(B5284,A5307)</f>
        <v>15280E7D-V</v>
      </c>
      <c r="C5307" s="17" t="s">
        <v>17</v>
      </c>
      <c r="D5307" s="192" t="s">
        <v>17</v>
      </c>
      <c r="E5307" s="18"/>
      <c r="F5307" s="22" t="s">
        <v>18</v>
      </c>
      <c r="G5307" s="23">
        <f>SUM(G5286:G5306)</f>
        <v>1862352</v>
      </c>
    </row>
    <row r="5308" spans="1:7" ht="15.75" thickBot="1">
      <c r="A5308" s="211" t="s">
        <v>506</v>
      </c>
      <c r="B5308" s="216" t="str">
        <f ca="1">_xlfn.CONCAT(B5284,A5308)</f>
        <v>15280E7D-W</v>
      </c>
      <c r="C5308" s="10" t="s">
        <v>19</v>
      </c>
      <c r="D5308" s="190"/>
      <c r="E5308" s="11"/>
      <c r="F5308" s="12"/>
      <c r="G5308" s="13"/>
    </row>
    <row r="5309" spans="1:7" ht="14.25" thickBot="1">
      <c r="A5309" s="211" t="s">
        <v>507</v>
      </c>
      <c r="B5309" s="216" t="str">
        <f ca="1">_xlfn.CONCAT(B5284,A5309)</f>
        <v>15280E7D-X</v>
      </c>
      <c r="C5309" s="14" t="s">
        <v>1</v>
      </c>
      <c r="D5309" s="15"/>
      <c r="E5309" s="15" t="s">
        <v>20</v>
      </c>
      <c r="F5309" s="16" t="s">
        <v>21</v>
      </c>
      <c r="G5309" s="15" t="s">
        <v>5</v>
      </c>
    </row>
    <row r="5310" spans="1:7">
      <c r="A5310" s="211" t="s">
        <v>508</v>
      </c>
      <c r="B5310" s="216" t="str">
        <f ca="1">_xlfn.CONCAT(B5284,A5310)</f>
        <v>15280E7D-Y</v>
      </c>
      <c r="C5310" s="24" t="s">
        <v>22</v>
      </c>
      <c r="D5310" s="184"/>
      <c r="E5310" s="25">
        <f>_xlfn.XLOOKUP(C5310,'H-MO'!B$7:B$30,'H-MO'!D$7:D$30,,0,1)</f>
        <v>2436.5624999999995</v>
      </c>
      <c r="F5310" s="19">
        <v>4</v>
      </c>
      <c r="G5310" s="33">
        <f t="shared" ref="G5310:G5315" si="154">+E5310*F5310</f>
        <v>9746.2499999999982</v>
      </c>
    </row>
    <row r="5311" spans="1:7">
      <c r="A5311" s="211" t="s">
        <v>509</v>
      </c>
      <c r="B5311" s="216" t="str">
        <f ca="1">_xlfn.CONCAT(B5284,A5311)</f>
        <v>15280E7D-Z</v>
      </c>
      <c r="C5311" s="24" t="s">
        <v>23</v>
      </c>
      <c r="D5311" s="184"/>
      <c r="E5311" s="25">
        <f>_xlfn.XLOOKUP(C5311,'H-MO'!B$7:B$30,'H-MO'!D$7:D$30,,0,1)</f>
        <v>1461.9374999999998</v>
      </c>
      <c r="F5311" s="19">
        <v>6</v>
      </c>
      <c r="G5311" s="33">
        <f t="shared" si="154"/>
        <v>8771.6249999999982</v>
      </c>
    </row>
    <row r="5312" spans="1:7">
      <c r="A5312" s="211" t="s">
        <v>510</v>
      </c>
      <c r="B5312" s="216" t="str">
        <f ca="1">_xlfn.CONCAT(B5284,A5312)</f>
        <v>15280E7D-aa</v>
      </c>
      <c r="C5312" s="24" t="s">
        <v>24</v>
      </c>
      <c r="D5312" s="185"/>
      <c r="E5312" s="25">
        <f>_xlfn.XLOOKUP(C5312,'H-MO'!B$7:B$30,'H-MO'!D$7:D$30,,0,1)</f>
        <v>29238.749999999996</v>
      </c>
      <c r="F5312" s="28">
        <v>2</v>
      </c>
      <c r="G5312" s="33">
        <f t="shared" si="154"/>
        <v>58477.499999999993</v>
      </c>
    </row>
    <row r="5313" spans="1:8">
      <c r="A5313" s="211" t="s">
        <v>511</v>
      </c>
      <c r="B5313" s="216" t="str">
        <f ca="1">_xlfn.CONCAT(B5284,A5313)</f>
        <v>15280E7D-ab</v>
      </c>
      <c r="C5313" s="24" t="s">
        <v>25</v>
      </c>
      <c r="D5313" s="185"/>
      <c r="E5313" s="25">
        <f>_xlfn.XLOOKUP(C5313,'H-MO'!B$7:B$30,'H-MO'!D$7:D$30,,0,1)</f>
        <v>2761.4374999999995</v>
      </c>
      <c r="F5313" s="28">
        <v>12</v>
      </c>
      <c r="G5313" s="33">
        <f t="shared" si="154"/>
        <v>33137.249999999993</v>
      </c>
    </row>
    <row r="5314" spans="1:8">
      <c r="A5314" s="211" t="s">
        <v>512</v>
      </c>
      <c r="B5314" s="216" t="str">
        <f ca="1">_xlfn.CONCAT(B5284,A5314)</f>
        <v>15280E7D-ac</v>
      </c>
      <c r="C5314" s="24"/>
      <c r="D5314" s="185"/>
      <c r="E5314" s="29"/>
      <c r="F5314" s="28"/>
      <c r="G5314" s="33">
        <f t="shared" si="154"/>
        <v>0</v>
      </c>
    </row>
    <row r="5315" spans="1:8" ht="14.25" thickBot="1">
      <c r="A5315" s="211" t="s">
        <v>513</v>
      </c>
      <c r="B5315" s="216" t="str">
        <f ca="1">_xlfn.CONCAT(B5284,A5315)</f>
        <v>15280E7D-ad</v>
      </c>
      <c r="C5315" s="24"/>
      <c r="D5315" s="185"/>
      <c r="E5315" s="29"/>
      <c r="F5315" s="28"/>
      <c r="G5315" s="33">
        <f t="shared" si="154"/>
        <v>0</v>
      </c>
    </row>
    <row r="5316" spans="1:8" ht="14.25" thickBot="1">
      <c r="A5316" s="211" t="s">
        <v>514</v>
      </c>
      <c r="B5316" s="216" t="str">
        <f ca="1">_xlfn.CONCAT(B5284,A5316)</f>
        <v>15280E7D-ae</v>
      </c>
      <c r="C5316" s="17"/>
      <c r="D5316" s="192"/>
      <c r="E5316" s="18"/>
      <c r="F5316" s="22" t="s">
        <v>26</v>
      </c>
      <c r="G5316" s="23">
        <f>SUM(G5310:G5315)</f>
        <v>110132.62499999997</v>
      </c>
    </row>
    <row r="5317" spans="1:8" ht="15.75" thickBot="1">
      <c r="A5317" s="211" t="s">
        <v>515</v>
      </c>
      <c r="B5317" s="216" t="str">
        <f ca="1">_xlfn.CONCAT(B5284,A5317)</f>
        <v>15280E7D-af</v>
      </c>
      <c r="C5317" s="10" t="s">
        <v>27</v>
      </c>
      <c r="D5317" s="190"/>
      <c r="E5317" s="11"/>
      <c r="F5317" s="12"/>
      <c r="G5317" s="13"/>
    </row>
    <row r="5318" spans="1:8" ht="14.25" thickBot="1">
      <c r="A5318" s="211" t="s">
        <v>516</v>
      </c>
      <c r="B5318" s="216" t="str">
        <f ca="1">_xlfn.CONCAT(B5284,A5318)</f>
        <v>15280E7D-ag</v>
      </c>
      <c r="C5318" s="14" t="s">
        <v>1</v>
      </c>
      <c r="D5318" s="15" t="s">
        <v>28</v>
      </c>
      <c r="E5318" s="15" t="s">
        <v>20</v>
      </c>
      <c r="F5318" s="16" t="s">
        <v>21</v>
      </c>
      <c r="G5318" s="15" t="s">
        <v>5</v>
      </c>
    </row>
    <row r="5319" spans="1:8">
      <c r="A5319" s="211" t="s">
        <v>517</v>
      </c>
      <c r="B5319" s="216" t="str">
        <f ca="1">_xlfn.CONCAT(B5284,A5319)</f>
        <v>15280E7D-ah</v>
      </c>
      <c r="C5319" s="30" t="s">
        <v>29</v>
      </c>
      <c r="D5319" s="186">
        <f>'H-MO'!$N$77</f>
        <v>725918.52892505517</v>
      </c>
      <c r="E5319" s="31">
        <f>+D5319/8</f>
        <v>90739.816115631897</v>
      </c>
      <c r="F5319" s="32">
        <v>7</v>
      </c>
      <c r="G5319" s="33">
        <f>+E5319*F5319</f>
        <v>635178.71280942322</v>
      </c>
    </row>
    <row r="5320" spans="1:8">
      <c r="A5320" s="211" t="s">
        <v>518</v>
      </c>
      <c r="B5320" s="216" t="str">
        <f ca="1">_xlfn.CONCAT(B5284,A5320)</f>
        <v>15280E7D-ai</v>
      </c>
      <c r="C5320" s="34" t="s">
        <v>30</v>
      </c>
      <c r="D5320" s="187">
        <f>'H-MO'!$N$86</f>
        <v>685561.39085756091</v>
      </c>
      <c r="E5320" s="29">
        <f>+D5320/8</f>
        <v>85695.173857195114</v>
      </c>
      <c r="F5320" s="28">
        <v>0</v>
      </c>
      <c r="G5320" s="33">
        <f>+E5320*F5320</f>
        <v>0</v>
      </c>
    </row>
    <row r="5321" spans="1:8" ht="14.25" thickBot="1">
      <c r="A5321" s="211" t="s">
        <v>519</v>
      </c>
      <c r="B5321" s="216" t="str">
        <f ca="1">_xlfn.CONCAT(B5284,A5321)</f>
        <v>15280E7D-aj</v>
      </c>
      <c r="C5321" s="34"/>
      <c r="D5321" s="187"/>
      <c r="E5321" s="29"/>
      <c r="F5321" s="28"/>
      <c r="G5321" s="33">
        <f>+E5321*F5321</f>
        <v>0</v>
      </c>
    </row>
    <row r="5322" spans="1:8" ht="14.25" thickBot="1">
      <c r="A5322" s="211" t="s">
        <v>520</v>
      </c>
      <c r="B5322" s="216" t="str">
        <f ca="1">_xlfn.CONCAT(B5284,A5322)</f>
        <v>15280E7D-ak</v>
      </c>
      <c r="C5322" s="34"/>
      <c r="D5322" s="185"/>
      <c r="E5322" s="26"/>
      <c r="F5322" s="36" t="s">
        <v>31</v>
      </c>
      <c r="G5322" s="23">
        <f>SUM(G5319:G5321)</f>
        <v>635178.71280942322</v>
      </c>
    </row>
    <row r="5323" spans="1:8" ht="14.25" thickBot="1">
      <c r="A5323" s="211" t="s">
        <v>521</v>
      </c>
      <c r="B5323" s="216" t="str">
        <f ca="1">_xlfn.CONCAT(B5284,A5323)</f>
        <v>15280E7D-al</v>
      </c>
      <c r="C5323" s="37"/>
      <c r="E5323" s="38"/>
      <c r="F5323" s="22"/>
      <c r="G5323" s="39"/>
    </row>
    <row r="5324" spans="1:8" ht="16.5" thickBot="1">
      <c r="A5324" s="211" t="s">
        <v>522</v>
      </c>
      <c r="B5324" s="216" t="str">
        <f ca="1">_xlfn.CONCAT(B5284,A5324)</f>
        <v>15280E7D-am</v>
      </c>
      <c r="C5324" s="40"/>
      <c r="D5324" s="193"/>
      <c r="E5324" s="41"/>
      <c r="F5324" s="42"/>
      <c r="G5324" s="43">
        <f>+G5307+G5316+G5322</f>
        <v>2607663.337809423</v>
      </c>
    </row>
    <row r="5325" spans="1:8" ht="21.75" thickBot="1">
      <c r="B5325" s="212" t="s">
        <v>550</v>
      </c>
      <c r="C5325" s="2"/>
      <c r="D5325" s="183"/>
      <c r="F5325" s="4"/>
      <c r="G5325" s="5"/>
    </row>
    <row r="5326" spans="1:8" ht="18.75">
      <c r="A5326" s="213"/>
      <c r="B5326" s="214">
        <v>122</v>
      </c>
      <c r="C5326" s="242" t="str">
        <f ca="1">_xlfn.XLOOKUP(B5326,Cantidades!$A$10:$A$314,Cantidades!$C$10:$C$314,,0,1)</f>
        <v>Suministro e instalación de ductos  2Ø3" PVC</v>
      </c>
      <c r="D5326" s="243"/>
      <c r="E5326" s="243"/>
      <c r="F5326" s="243"/>
      <c r="G5326" s="244"/>
      <c r="H5326" s="213"/>
    </row>
    <row r="5327" spans="1:8" ht="19.5" thickBot="1">
      <c r="A5327" s="215"/>
      <c r="B5327" s="216" t="s">
        <v>550</v>
      </c>
      <c r="C5327" s="177"/>
      <c r="D5327" s="189"/>
      <c r="E5327" s="178"/>
      <c r="F5327" s="179" t="s">
        <v>636</v>
      </c>
      <c r="G5327" s="209" t="str">
        <f ca="1">B5328</f>
        <v>1CD8FFD0-</v>
      </c>
      <c r="H5327" s="215"/>
    </row>
    <row r="5328" spans="1:8" ht="15.75" thickBot="1">
      <c r="B5328" s="212" t="str">
        <f ca="1">_xlfn.XLOOKUP(C5326,Cantidades!$C$1:$C$314,Cantidades!$B$1:$B$314,"",0,1)</f>
        <v>1CD8FFD0-</v>
      </c>
      <c r="C5328" s="10" t="s">
        <v>0</v>
      </c>
      <c r="D5328" s="190"/>
      <c r="E5328" s="11"/>
      <c r="F5328" s="12"/>
      <c r="G5328" s="13"/>
    </row>
    <row r="5329" spans="1:8" ht="14.25" thickBot="1">
      <c r="A5329" s="215"/>
      <c r="B5329" s="216" t="s">
        <v>550</v>
      </c>
      <c r="C5329" s="14" t="s">
        <v>1</v>
      </c>
      <c r="D5329" s="15" t="s">
        <v>2</v>
      </c>
      <c r="E5329" s="15" t="s">
        <v>3</v>
      </c>
      <c r="F5329" s="16" t="s">
        <v>4</v>
      </c>
      <c r="G5329" s="15" t="s">
        <v>5</v>
      </c>
    </row>
    <row r="5330" spans="1:8">
      <c r="A5330" s="211" t="s">
        <v>484</v>
      </c>
      <c r="B5330" s="216" t="str">
        <f ca="1">_xlfn.CONCAT(B5328,A5330)</f>
        <v>1CD8FFD0-A</v>
      </c>
      <c r="C5330" s="17" t="str">
        <f>_xlfn.XLOOKUP(H5330,'Materiales unitario'!$A$1:$A$2500,'Materiales unitario'!B$1:B$2500,,0,1)</f>
        <v>Ducto telef. Y Electric. Corrugado TDP ø3" PVC</v>
      </c>
      <c r="D5330" s="184" t="str">
        <f>_xlfn.XLOOKUP(H5330,'Materiales unitario'!A$1:A$2500,'Materiales unitario'!C$1:C$2500,,0,1)</f>
        <v>ml</v>
      </c>
      <c r="E5330" s="197">
        <f>_xlfn.XLOOKUP(H5330,'Materiales unitario'!$A$1:$A$2500,'Materiales unitario'!D$1:D$2500,,0,1)</f>
        <v>12880</v>
      </c>
      <c r="F5330" s="19">
        <v>2.15</v>
      </c>
      <c r="G5330" s="20">
        <f>+E5330*F5330</f>
        <v>27692</v>
      </c>
      <c r="H5330" s="211" t="s">
        <v>1191</v>
      </c>
    </row>
    <row r="5331" spans="1:8">
      <c r="A5331" s="211" t="s">
        <v>485</v>
      </c>
      <c r="B5331" s="216" t="str">
        <f ca="1">_xlfn.CONCAT(B5328,A5331)</f>
        <v>1CD8FFD0-B</v>
      </c>
      <c r="C5331" s="17" t="str">
        <f>_xlfn.XLOOKUP(H5331,'Materiales unitario'!$A$1:$A$2500,'Materiales unitario'!B$1:B$2500,,0,1)</f>
        <v>Campana terminal ducto ø3" PVC</v>
      </c>
      <c r="D5331" s="184" t="str">
        <f>_xlfn.XLOOKUP(H5331,'Materiales unitario'!A$1:A$2500,'Materiales unitario'!C$1:C$2500,,0,1)</f>
        <v>un</v>
      </c>
      <c r="E5331" s="197">
        <f>_xlfn.XLOOKUP(H5331,'Materiales unitario'!$A$1:$A$2500,'Materiales unitario'!D$1:D$2500,,0,1)</f>
        <v>8640</v>
      </c>
      <c r="F5331" s="19">
        <v>0.2</v>
      </c>
      <c r="G5331" s="20">
        <f>+E5331*F5331</f>
        <v>1728</v>
      </c>
      <c r="H5331" s="211" t="s">
        <v>1193</v>
      </c>
    </row>
    <row r="5332" spans="1:8">
      <c r="A5332" s="211" t="s">
        <v>486</v>
      </c>
      <c r="B5332" s="216" t="str">
        <f ca="1">_xlfn.CONCAT(B5328,A5332)</f>
        <v>1CD8FFD0-C</v>
      </c>
      <c r="C5332" s="17" t="str">
        <f>_xlfn.XLOOKUP(H5332,'Materiales unitario'!$A$1:$A$2500,'Materiales unitario'!B$1:B$2500,,0,1)</f>
        <v>Soldadura liquida PVC 1/4 de galón</v>
      </c>
      <c r="D5332" s="184" t="str">
        <f>_xlfn.XLOOKUP(H5332,'Materiales unitario'!A$1:A$2500,'Materiales unitario'!C$1:C$2500,,0,1)</f>
        <v>un</v>
      </c>
      <c r="E5332" s="197">
        <f>_xlfn.XLOOKUP(H5332,'Materiales unitario'!$A$1:$A$2500,'Materiales unitario'!D$1:D$2500,,0,1)</f>
        <v>60900</v>
      </c>
      <c r="F5332" s="19">
        <f>0.006*7</f>
        <v>4.2000000000000003E-2</v>
      </c>
      <c r="G5332" s="20">
        <f>+E5332*F5332</f>
        <v>2557.8000000000002</v>
      </c>
      <c r="H5332" s="211" t="s">
        <v>530</v>
      </c>
    </row>
    <row r="5333" spans="1:8">
      <c r="A5333" s="211" t="s">
        <v>487</v>
      </c>
      <c r="B5333" s="216" t="str">
        <f ca="1">_xlfn.CONCAT(B5328,A5333)</f>
        <v>1CD8FFD0-D</v>
      </c>
      <c r="C5333" s="17"/>
      <c r="D5333" s="184"/>
      <c r="E5333" s="197"/>
      <c r="F5333" s="19"/>
      <c r="G5333" s="20"/>
    </row>
    <row r="5334" spans="1:8">
      <c r="A5334" s="211" t="s">
        <v>488</v>
      </c>
      <c r="B5334" s="216" t="str">
        <f ca="1">_xlfn.CONCAT(B5328,A5334)</f>
        <v>1CD8FFD0-E</v>
      </c>
      <c r="C5334" s="17"/>
      <c r="D5334" s="184"/>
      <c r="E5334" s="197"/>
      <c r="F5334" s="19"/>
      <c r="G5334" s="20"/>
    </row>
    <row r="5335" spans="1:8">
      <c r="A5335" s="211" t="s">
        <v>489</v>
      </c>
      <c r="B5335" s="216" t="str">
        <f ca="1">_xlfn.CONCAT(B5328,A5335)</f>
        <v>1CD8FFD0-F</v>
      </c>
      <c r="C5335" s="17"/>
      <c r="D5335" s="184"/>
      <c r="E5335" s="197"/>
      <c r="F5335" s="19"/>
      <c r="G5335" s="20"/>
    </row>
    <row r="5336" spans="1:8">
      <c r="A5336" s="211" t="s">
        <v>490</v>
      </c>
      <c r="B5336" s="216" t="str">
        <f ca="1">_xlfn.CONCAT(B5328,A5336)</f>
        <v>1CD8FFD0-G</v>
      </c>
      <c r="C5336" s="17"/>
      <c r="D5336" s="184"/>
      <c r="E5336" s="197"/>
      <c r="F5336" s="19"/>
      <c r="G5336" s="20"/>
    </row>
    <row r="5337" spans="1:8">
      <c r="A5337" s="211" t="s">
        <v>491</v>
      </c>
      <c r="B5337" s="216" t="str">
        <f ca="1">_xlfn.CONCAT(B5328,A5337)</f>
        <v>1CD8FFD0-H</v>
      </c>
      <c r="C5337" s="17"/>
      <c r="D5337" s="184"/>
      <c r="E5337" s="197"/>
      <c r="F5337" s="19"/>
      <c r="G5337" s="20"/>
    </row>
    <row r="5338" spans="1:8">
      <c r="A5338" s="211" t="s">
        <v>492</v>
      </c>
      <c r="B5338" s="216" t="str">
        <f ca="1">_xlfn.CONCAT(B5328,A5338)</f>
        <v>1CD8FFD0-I</v>
      </c>
      <c r="C5338" s="17"/>
      <c r="D5338" s="184"/>
      <c r="E5338" s="197"/>
      <c r="F5338" s="19"/>
      <c r="G5338" s="20"/>
    </row>
    <row r="5339" spans="1:8">
      <c r="A5339" s="211" t="s">
        <v>493</v>
      </c>
      <c r="B5339" s="216" t="str">
        <f ca="1">_xlfn.CONCAT(B5328,A5339)</f>
        <v>1CD8FFD0-J</v>
      </c>
      <c r="C5339" s="17"/>
      <c r="D5339" s="184"/>
      <c r="E5339" s="197"/>
      <c r="F5339" s="19"/>
      <c r="G5339" s="20"/>
    </row>
    <row r="5340" spans="1:8">
      <c r="A5340" s="211" t="s">
        <v>494</v>
      </c>
      <c r="B5340" s="216" t="str">
        <f ca="1">_xlfn.CONCAT(B5328,A5340)</f>
        <v>1CD8FFD0-K</v>
      </c>
      <c r="C5340" s="17"/>
      <c r="D5340" s="184"/>
      <c r="E5340" s="197"/>
      <c r="F5340" s="19"/>
      <c r="G5340" s="20"/>
    </row>
    <row r="5341" spans="1:8">
      <c r="A5341" s="211" t="s">
        <v>495</v>
      </c>
      <c r="B5341" s="216" t="str">
        <f ca="1">_xlfn.CONCAT(B5328,A5341)</f>
        <v>1CD8FFD0-L</v>
      </c>
      <c r="C5341" s="17"/>
      <c r="D5341" s="184"/>
      <c r="E5341" s="197"/>
      <c r="F5341" s="19"/>
      <c r="G5341" s="20"/>
    </row>
    <row r="5342" spans="1:8">
      <c r="A5342" s="211" t="s">
        <v>496</v>
      </c>
      <c r="B5342" s="216" t="str">
        <f ca="1">_xlfn.CONCAT(B5328,A5342)</f>
        <v>1CD8FFD0-M</v>
      </c>
      <c r="C5342" s="17"/>
      <c r="D5342" s="184"/>
      <c r="E5342" s="197"/>
      <c r="F5342" s="19"/>
      <c r="G5342" s="20"/>
    </row>
    <row r="5343" spans="1:8">
      <c r="A5343" s="211" t="s">
        <v>497</v>
      </c>
      <c r="B5343" s="216" t="str">
        <f ca="1">_xlfn.CONCAT(B5328,A5343)</f>
        <v>1CD8FFD0-N</v>
      </c>
      <c r="C5343" s="17"/>
      <c r="D5343" s="184"/>
      <c r="E5343" s="197"/>
      <c r="F5343" s="19"/>
      <c r="G5343" s="20"/>
    </row>
    <row r="5344" spans="1:8">
      <c r="A5344" s="211" t="s">
        <v>498</v>
      </c>
      <c r="B5344" s="216" t="str">
        <f ca="1">_xlfn.CONCAT(B5328,A5344)</f>
        <v>1CD8FFD0-O</v>
      </c>
      <c r="C5344" s="17"/>
      <c r="D5344" s="184"/>
      <c r="E5344" s="197"/>
      <c r="F5344" s="19"/>
      <c r="G5344" s="20"/>
    </row>
    <row r="5345" spans="1:8">
      <c r="A5345" s="211" t="s">
        <v>499</v>
      </c>
      <c r="B5345" s="216" t="str">
        <f ca="1">_xlfn.CONCAT(B5328,A5345)</f>
        <v>1CD8FFD0-P</v>
      </c>
      <c r="C5345" s="17"/>
      <c r="D5345" s="184"/>
      <c r="E5345" s="197"/>
      <c r="F5345" s="19"/>
      <c r="G5345" s="20"/>
    </row>
    <row r="5346" spans="1:8">
      <c r="A5346" s="211" t="s">
        <v>500</v>
      </c>
      <c r="B5346" s="216" t="str">
        <f ca="1">_xlfn.CONCAT(B5328,A5346)</f>
        <v>1CD8FFD0-Q</v>
      </c>
      <c r="C5346" s="17"/>
      <c r="D5346" s="184"/>
      <c r="E5346" s="197"/>
      <c r="F5346" s="19"/>
      <c r="G5346" s="20"/>
    </row>
    <row r="5347" spans="1:8">
      <c r="A5347" s="211" t="s">
        <v>501</v>
      </c>
      <c r="B5347" s="216" t="str">
        <f ca="1">_xlfn.CONCAT(B5328,A5347)</f>
        <v>1CD8FFD0-R</v>
      </c>
      <c r="C5347" s="17"/>
      <c r="D5347" s="184"/>
      <c r="E5347" s="197"/>
      <c r="F5347" s="19"/>
      <c r="G5347" s="20"/>
    </row>
    <row r="5348" spans="1:8">
      <c r="A5348" s="211" t="s">
        <v>502</v>
      </c>
      <c r="B5348" s="216" t="str">
        <f ca="1">_xlfn.CONCAT(B5328,A5348)</f>
        <v>1CD8FFD0-S</v>
      </c>
      <c r="C5348" s="17"/>
      <c r="D5348" s="184"/>
      <c r="E5348" s="197"/>
      <c r="F5348" s="19"/>
      <c r="G5348" s="20"/>
    </row>
    <row r="5349" spans="1:8">
      <c r="A5349" s="211" t="s">
        <v>503</v>
      </c>
      <c r="B5349" s="216" t="str">
        <f ca="1">_xlfn.CONCAT(B5328,A5349)</f>
        <v>1CD8FFD0-T</v>
      </c>
      <c r="C5349" s="17"/>
      <c r="D5349" s="184"/>
      <c r="E5349" s="197"/>
      <c r="F5349" s="19"/>
      <c r="G5349" s="20"/>
    </row>
    <row r="5350" spans="1:8" ht="14.25" thickBot="1">
      <c r="A5350" s="211" t="s">
        <v>504</v>
      </c>
      <c r="B5350" s="216" t="str">
        <f ca="1">_xlfn.CONCAT(B5328,A5350)</f>
        <v>1CD8FFD0-U</v>
      </c>
      <c r="C5350" s="17"/>
      <c r="D5350" s="184"/>
      <c r="E5350" s="197"/>
      <c r="F5350" s="19"/>
      <c r="G5350" s="20"/>
    </row>
    <row r="5351" spans="1:8" ht="14.25" thickBot="1">
      <c r="A5351" s="211" t="s">
        <v>505</v>
      </c>
      <c r="B5351" s="216" t="str">
        <f ca="1">_xlfn.CONCAT(B5328,A5351)</f>
        <v>1CD8FFD0-V</v>
      </c>
      <c r="C5351" s="17" t="s">
        <v>17</v>
      </c>
      <c r="D5351" s="192" t="s">
        <v>17</v>
      </c>
      <c r="E5351" s="18"/>
      <c r="F5351" s="22" t="s">
        <v>18</v>
      </c>
      <c r="G5351" s="23">
        <f>SUM(G5330:G5350)</f>
        <v>31977.8</v>
      </c>
    </row>
    <row r="5352" spans="1:8" ht="15.75" thickBot="1">
      <c r="A5352" s="211" t="s">
        <v>506</v>
      </c>
      <c r="B5352" s="216" t="str">
        <f ca="1">_xlfn.CONCAT(B5328,A5352)</f>
        <v>1CD8FFD0-W</v>
      </c>
      <c r="C5352" s="10" t="s">
        <v>19</v>
      </c>
      <c r="D5352" s="190"/>
      <c r="E5352" s="11"/>
      <c r="F5352" s="12"/>
      <c r="G5352" s="13"/>
    </row>
    <row r="5353" spans="1:8" ht="14.25" thickBot="1">
      <c r="A5353" s="211" t="s">
        <v>507</v>
      </c>
      <c r="B5353" s="216" t="str">
        <f ca="1">_xlfn.CONCAT(B5328,A5353)</f>
        <v>1CD8FFD0-X</v>
      </c>
      <c r="C5353" s="14" t="s">
        <v>1</v>
      </c>
      <c r="D5353" s="15"/>
      <c r="E5353" s="15" t="s">
        <v>20</v>
      </c>
      <c r="F5353" s="16" t="s">
        <v>21</v>
      </c>
      <c r="G5353" s="15" t="s">
        <v>5</v>
      </c>
      <c r="H5353" s="215"/>
    </row>
    <row r="5354" spans="1:8">
      <c r="A5354" s="211" t="s">
        <v>508</v>
      </c>
      <c r="B5354" s="216" t="str">
        <f ca="1">_xlfn.CONCAT(B5328,A5354)</f>
        <v>1CD8FFD0-Y</v>
      </c>
      <c r="C5354" s="24" t="s">
        <v>22</v>
      </c>
      <c r="D5354" s="184"/>
      <c r="E5354" s="25">
        <f>_xlfn.XLOOKUP(C5354,'H-MO'!B$7:B$30,'H-MO'!D$7:D$30,,0,1)</f>
        <v>2436.5624999999995</v>
      </c>
      <c r="F5354" s="19">
        <v>0.2</v>
      </c>
      <c r="G5354" s="33">
        <f t="shared" ref="G5354:G5359" si="155">+E5354*F5354</f>
        <v>487.31249999999994</v>
      </c>
    </row>
    <row r="5355" spans="1:8">
      <c r="A5355" s="211" t="s">
        <v>509</v>
      </c>
      <c r="B5355" s="216" t="str">
        <f ca="1">_xlfn.CONCAT(B5328,A5355)</f>
        <v>1CD8FFD0-Z</v>
      </c>
      <c r="C5355" s="24" t="s">
        <v>23</v>
      </c>
      <c r="D5355" s="184"/>
      <c r="E5355" s="25">
        <f>_xlfn.XLOOKUP(C5355,'H-MO'!B$7:B$30,'H-MO'!D$7:D$30,,0,1)</f>
        <v>1461.9374999999998</v>
      </c>
      <c r="F5355" s="19">
        <v>1.8</v>
      </c>
      <c r="G5355" s="33">
        <f t="shared" si="155"/>
        <v>2631.4874999999997</v>
      </c>
    </row>
    <row r="5356" spans="1:8">
      <c r="A5356" s="211" t="s">
        <v>510</v>
      </c>
      <c r="B5356" s="216" t="str">
        <f ca="1">_xlfn.CONCAT(B5328,A5356)</f>
        <v>1CD8FFD0-aa</v>
      </c>
      <c r="C5356" s="24" t="s">
        <v>24</v>
      </c>
      <c r="D5356" s="185"/>
      <c r="E5356" s="25">
        <f>_xlfn.XLOOKUP(C5356,'H-MO'!B$7:B$30,'H-MO'!D$7:D$30,,0,1)</f>
        <v>29238.749999999996</v>
      </c>
      <c r="F5356" s="28">
        <v>0.08</v>
      </c>
      <c r="G5356" s="33">
        <f t="shared" si="155"/>
        <v>2339.1</v>
      </c>
    </row>
    <row r="5357" spans="1:8">
      <c r="A5357" s="211" t="s">
        <v>511</v>
      </c>
      <c r="B5357" s="216" t="str">
        <f ca="1">_xlfn.CONCAT(B5328,A5357)</f>
        <v>1CD8FFD0-ab</v>
      </c>
      <c r="C5357" s="24" t="s">
        <v>25</v>
      </c>
      <c r="D5357" s="185"/>
      <c r="E5357" s="25">
        <f>_xlfn.XLOOKUP(C5357,'H-MO'!B$7:B$30,'H-MO'!D$7:D$30,,0,1)</f>
        <v>2761.4374999999995</v>
      </c>
      <c r="F5357" s="28">
        <v>0.35000000000000003</v>
      </c>
      <c r="G5357" s="33">
        <f t="shared" si="155"/>
        <v>966.50312499999995</v>
      </c>
    </row>
    <row r="5358" spans="1:8">
      <c r="A5358" s="211" t="s">
        <v>512</v>
      </c>
      <c r="B5358" s="216" t="str">
        <f ca="1">_xlfn.CONCAT(B5328,A5358)</f>
        <v>1CD8FFD0-ac</v>
      </c>
      <c r="C5358" s="24"/>
      <c r="D5358" s="185"/>
      <c r="E5358" s="29"/>
      <c r="F5358" s="28"/>
      <c r="G5358" s="33">
        <f t="shared" si="155"/>
        <v>0</v>
      </c>
    </row>
    <row r="5359" spans="1:8" ht="14.25" thickBot="1">
      <c r="A5359" s="211" t="s">
        <v>513</v>
      </c>
      <c r="B5359" s="216" t="str">
        <f ca="1">_xlfn.CONCAT(B5328,A5359)</f>
        <v>1CD8FFD0-ad</v>
      </c>
      <c r="C5359" s="24"/>
      <c r="D5359" s="185"/>
      <c r="E5359" s="29"/>
      <c r="F5359" s="28"/>
      <c r="G5359" s="33">
        <f t="shared" si="155"/>
        <v>0</v>
      </c>
    </row>
    <row r="5360" spans="1:8" ht="14.25" thickBot="1">
      <c r="A5360" s="211" t="s">
        <v>514</v>
      </c>
      <c r="B5360" s="216" t="str">
        <f ca="1">_xlfn.CONCAT(B5328,A5360)</f>
        <v>1CD8FFD0-ae</v>
      </c>
      <c r="C5360" s="17"/>
      <c r="D5360" s="192"/>
      <c r="E5360" s="18"/>
      <c r="F5360" s="22"/>
      <c r="G5360" s="23">
        <f>SUM(G5354:G5359)</f>
        <v>6424.4031249999998</v>
      </c>
    </row>
    <row r="5361" spans="1:8" ht="15.75" thickBot="1">
      <c r="A5361" s="211" t="s">
        <v>515</v>
      </c>
      <c r="B5361" s="216" t="str">
        <f ca="1">_xlfn.CONCAT(B5328,A5361)</f>
        <v>1CD8FFD0-af</v>
      </c>
      <c r="C5361" s="10" t="s">
        <v>27</v>
      </c>
      <c r="D5361" s="190"/>
      <c r="E5361" s="11"/>
      <c r="F5361" s="12"/>
      <c r="G5361" s="13"/>
    </row>
    <row r="5362" spans="1:8" ht="14.25" thickBot="1">
      <c r="A5362" s="211" t="s">
        <v>516</v>
      </c>
      <c r="B5362" s="216" t="str">
        <f ca="1">_xlfn.CONCAT(B5328,A5362)</f>
        <v>1CD8FFD0-ag</v>
      </c>
      <c r="C5362" s="14" t="s">
        <v>1</v>
      </c>
      <c r="D5362" s="15" t="s">
        <v>28</v>
      </c>
      <c r="E5362" s="15" t="s">
        <v>20</v>
      </c>
      <c r="F5362" s="16"/>
      <c r="G5362" s="15" t="s">
        <v>5</v>
      </c>
      <c r="H5362" s="215"/>
    </row>
    <row r="5363" spans="1:8">
      <c r="A5363" s="211" t="s">
        <v>517</v>
      </c>
      <c r="B5363" s="216" t="str">
        <f ca="1">_xlfn.CONCAT(B5328,A5363)</f>
        <v>1CD8FFD0-ah</v>
      </c>
      <c r="C5363" s="30" t="s">
        <v>29</v>
      </c>
      <c r="D5363" s="186">
        <f>'H-MO'!$N$77</f>
        <v>725918.52892505517</v>
      </c>
      <c r="E5363" s="31">
        <f>+D5363/8</f>
        <v>90739.816115631897</v>
      </c>
      <c r="F5363" s="32">
        <v>0.1</v>
      </c>
      <c r="G5363" s="33">
        <f>+E5363*F5363</f>
        <v>9073.9816115631893</v>
      </c>
    </row>
    <row r="5364" spans="1:8">
      <c r="A5364" s="211" t="s">
        <v>518</v>
      </c>
      <c r="B5364" s="216" t="str">
        <f ca="1">_xlfn.CONCAT(B5328,A5364)</f>
        <v>1CD8FFD0-ai</v>
      </c>
      <c r="C5364" s="34" t="s">
        <v>30</v>
      </c>
      <c r="D5364" s="187">
        <f>'H-MO'!$N$86</f>
        <v>685561.39085756091</v>
      </c>
      <c r="E5364" s="29">
        <f>+D5364/8</f>
        <v>85695.173857195114</v>
      </c>
      <c r="F5364" s="28">
        <v>0.08</v>
      </c>
      <c r="G5364" s="33">
        <f>+E5364*F5364</f>
        <v>6855.6139085756095</v>
      </c>
    </row>
    <row r="5365" spans="1:8" ht="14.25" thickBot="1">
      <c r="A5365" s="211" t="s">
        <v>519</v>
      </c>
      <c r="B5365" s="216" t="str">
        <f ca="1">_xlfn.CONCAT(B5328,A5365)</f>
        <v>1CD8FFD0-aj</v>
      </c>
      <c r="C5365" s="34"/>
      <c r="D5365" s="187"/>
      <c r="E5365" s="29"/>
      <c r="F5365" s="28">
        <v>0</v>
      </c>
      <c r="G5365" s="33">
        <f>+E5365*F5365</f>
        <v>0</v>
      </c>
    </row>
    <row r="5366" spans="1:8" ht="14.25" thickBot="1">
      <c r="A5366" s="211" t="s">
        <v>520</v>
      </c>
      <c r="B5366" s="216" t="str">
        <f ca="1">_xlfn.CONCAT(B5328,A5366)</f>
        <v>1CD8FFD0-ak</v>
      </c>
      <c r="C5366" s="34"/>
      <c r="D5366" s="185"/>
      <c r="E5366" s="26"/>
      <c r="F5366" s="36" t="s">
        <v>31</v>
      </c>
      <c r="G5366" s="23">
        <f>SUM(G5363:G5365)</f>
        <v>15929.595520138799</v>
      </c>
    </row>
    <row r="5367" spans="1:8" ht="14.25" thickBot="1">
      <c r="A5367" s="211" t="s">
        <v>521</v>
      </c>
      <c r="B5367" s="216" t="str">
        <f ca="1">_xlfn.CONCAT(B5328,A5367)</f>
        <v>1CD8FFD0-al</v>
      </c>
      <c r="C5367" s="37"/>
      <c r="E5367" s="38"/>
      <c r="F5367" s="22"/>
      <c r="G5367" s="39"/>
    </row>
    <row r="5368" spans="1:8" ht="16.5" thickBot="1">
      <c r="A5368" s="211" t="s">
        <v>522</v>
      </c>
      <c r="B5368" s="216" t="str">
        <f ca="1">_xlfn.CONCAT(B5328,A5368)</f>
        <v>1CD8FFD0-am</v>
      </c>
      <c r="C5368" s="40"/>
      <c r="D5368" s="193"/>
      <c r="E5368" s="41"/>
      <c r="F5368" s="42"/>
      <c r="G5368" s="43">
        <f>+G5351+G5360+G5366</f>
        <v>54331.798645138799</v>
      </c>
    </row>
    <row r="5369" spans="1:8" ht="21.75" thickBot="1">
      <c r="B5369" s="212" t="s">
        <v>550</v>
      </c>
      <c r="C5369" s="2"/>
      <c r="D5369" s="183"/>
      <c r="F5369" s="4"/>
      <c r="G5369" s="5"/>
    </row>
    <row r="5370" spans="1:8" ht="18.75">
      <c r="A5370" s="213"/>
      <c r="B5370" s="214">
        <v>123</v>
      </c>
      <c r="C5370" s="242" t="str">
        <f ca="1">_xlfn.XLOOKUP(B5370,Cantidades!$A$10:$A$314,Cantidades!$C$10:$C$314,,0,1)</f>
        <v>Suministro e instalación de ductos  1Ø4+2Ø2" PVC</v>
      </c>
      <c r="D5370" s="243"/>
      <c r="E5370" s="243"/>
      <c r="F5370" s="243"/>
      <c r="G5370" s="244"/>
      <c r="H5370" s="213"/>
    </row>
    <row r="5371" spans="1:8" ht="19.5" thickBot="1">
      <c r="A5371" s="215"/>
      <c r="B5371" s="216" t="s">
        <v>550</v>
      </c>
      <c r="C5371" s="177"/>
      <c r="D5371" s="189"/>
      <c r="E5371" s="178"/>
      <c r="F5371" s="179" t="s">
        <v>636</v>
      </c>
      <c r="G5371" s="209" t="str">
        <f ca="1">B5372</f>
        <v>288741B8-</v>
      </c>
      <c r="H5371" s="215"/>
    </row>
    <row r="5372" spans="1:8" ht="15.75" thickBot="1">
      <c r="B5372" s="212" t="str">
        <f ca="1">_xlfn.XLOOKUP(C5370,Cantidades!$C$1:$C$314,Cantidades!$B$1:$B$314,"",0,1)</f>
        <v>288741B8-</v>
      </c>
      <c r="C5372" s="10" t="s">
        <v>0</v>
      </c>
      <c r="D5372" s="190"/>
      <c r="E5372" s="11"/>
      <c r="F5372" s="12"/>
      <c r="G5372" s="13"/>
    </row>
    <row r="5373" spans="1:8" ht="14.25" thickBot="1">
      <c r="A5373" s="215"/>
      <c r="B5373" s="216" t="s">
        <v>550</v>
      </c>
      <c r="C5373" s="14" t="s">
        <v>1</v>
      </c>
      <c r="D5373" s="15" t="s">
        <v>2</v>
      </c>
      <c r="E5373" s="15" t="s">
        <v>3</v>
      </c>
      <c r="F5373" s="16" t="s">
        <v>4</v>
      </c>
      <c r="G5373" s="15" t="s">
        <v>5</v>
      </c>
    </row>
    <row r="5374" spans="1:8">
      <c r="A5374" s="211" t="s">
        <v>484</v>
      </c>
      <c r="B5374" s="216" t="str">
        <f ca="1">_xlfn.CONCAT(B5372,A5374)</f>
        <v>288741B8-A</v>
      </c>
      <c r="C5374" s="17" t="str">
        <f>_xlfn.XLOOKUP(H5374,'Materiales unitario'!$A$1:$A$2500,'Materiales unitario'!B$1:B$2500,,0,1)</f>
        <v>Ducto telef. Y Electric. pesado TDP ø2" PVC</v>
      </c>
      <c r="D5374" s="184" t="str">
        <f>_xlfn.XLOOKUP(H5374,'Materiales unitario'!A$1:A$2500,'Materiales unitario'!C$1:C$2500,,0,1)</f>
        <v>ml</v>
      </c>
      <c r="E5374" s="197">
        <f>_xlfn.XLOOKUP(H5374,'Materiales unitario'!$A$1:$A$2500,'Materiales unitario'!D$1:D$2500,,0,1)</f>
        <v>6520</v>
      </c>
      <c r="F5374" s="19">
        <v>2.15</v>
      </c>
      <c r="G5374" s="20">
        <f>+E5374*F5374</f>
        <v>14018</v>
      </c>
      <c r="H5374" s="211" t="s">
        <v>1196</v>
      </c>
    </row>
    <row r="5375" spans="1:8">
      <c r="A5375" s="211" t="s">
        <v>485</v>
      </c>
      <c r="B5375" s="216" t="str">
        <f ca="1">_xlfn.CONCAT(B5372,A5375)</f>
        <v>288741B8-B</v>
      </c>
      <c r="C5375" s="17" t="str">
        <f>_xlfn.XLOOKUP(H5375,'Materiales unitario'!$A$1:$A$2500,'Materiales unitario'!B$1:B$2500,,0,1)</f>
        <v>Campana terminal ducto ø2" PVC</v>
      </c>
      <c r="D5375" s="184" t="str">
        <f>_xlfn.XLOOKUP(H5375,'Materiales unitario'!A$1:A$2500,'Materiales unitario'!C$1:C$2500,,0,1)</f>
        <v>un</v>
      </c>
      <c r="E5375" s="197">
        <f>_xlfn.XLOOKUP(H5375,'Materiales unitario'!$A$1:$A$2500,'Materiales unitario'!D$1:D$2500,,0,1)</f>
        <v>4046</v>
      </c>
      <c r="F5375" s="19">
        <v>0.5</v>
      </c>
      <c r="G5375" s="20">
        <f>+E5375*F5375</f>
        <v>2023</v>
      </c>
      <c r="H5375" s="211" t="s">
        <v>286</v>
      </c>
    </row>
    <row r="5376" spans="1:8">
      <c r="A5376" s="211" t="s">
        <v>486</v>
      </c>
      <c r="B5376" s="216" t="str">
        <f ca="1">_xlfn.CONCAT(B5372,A5376)</f>
        <v>288741B8-C</v>
      </c>
      <c r="C5376" s="17" t="str">
        <f>_xlfn.XLOOKUP(H5376,'Materiales unitario'!$A$1:$A$2500,'Materiales unitario'!B$1:B$2500,,0,1)</f>
        <v>Soldadura liquida PVC 1/4 de galón</v>
      </c>
      <c r="D5376" s="184" t="str">
        <f>_xlfn.XLOOKUP(H5376,'Materiales unitario'!A$1:A$2500,'Materiales unitario'!C$1:C$2500,,0,1)</f>
        <v>un</v>
      </c>
      <c r="E5376" s="197">
        <f>_xlfn.XLOOKUP(H5376,'Materiales unitario'!$A$1:$A$2500,'Materiales unitario'!D$1:D$2500,,0,1)</f>
        <v>60900</v>
      </c>
      <c r="F5376" s="19">
        <f>0.006*6</f>
        <v>3.6000000000000004E-2</v>
      </c>
      <c r="G5376" s="20">
        <f>+E5376*F5376</f>
        <v>2192.4</v>
      </c>
      <c r="H5376" s="211" t="s">
        <v>530</v>
      </c>
    </row>
    <row r="5377" spans="1:8">
      <c r="A5377" s="211" t="s">
        <v>487</v>
      </c>
      <c r="B5377" s="216" t="str">
        <f ca="1">_xlfn.CONCAT(B5372,A5377)</f>
        <v>288741B8-D</v>
      </c>
      <c r="C5377" s="17" t="str">
        <f>_xlfn.XLOOKUP(H5377,'Materiales unitario'!$A$1:$A$2500,'Materiales unitario'!B$1:B$2500,,0,1)</f>
        <v>Ducto telef. Y Electric. Corrugado TDP ø4" PVC</v>
      </c>
      <c r="D5377" s="184" t="str">
        <f>_xlfn.XLOOKUP(H5377,'Materiales unitario'!A$1:A$2500,'Materiales unitario'!C$1:C$2500,,0,1)</f>
        <v>ml</v>
      </c>
      <c r="E5377" s="197">
        <f>_xlfn.XLOOKUP(H5377,'Materiales unitario'!$A$1:$A$2500,'Materiales unitario'!D$1:D$2500,,0,1)</f>
        <v>15680</v>
      </c>
      <c r="F5377" s="19">
        <v>1.1000000000000001</v>
      </c>
      <c r="G5377" s="20">
        <f>+E5377*F5377</f>
        <v>17248</v>
      </c>
      <c r="H5377" s="211" t="s">
        <v>316</v>
      </c>
    </row>
    <row r="5378" spans="1:8">
      <c r="A5378" s="211" t="s">
        <v>488</v>
      </c>
      <c r="B5378" s="216" t="str">
        <f ca="1">_xlfn.CONCAT(B5372,A5378)</f>
        <v>288741B8-E</v>
      </c>
      <c r="C5378" s="17" t="str">
        <f>_xlfn.XLOOKUP(H5378,'Materiales unitario'!$A$1:$A$2500,'Materiales unitario'!B$1:B$2500,,0,1)</f>
        <v>Campana terminal ducto ø4" PVC</v>
      </c>
      <c r="D5378" s="184" t="str">
        <f>_xlfn.XLOOKUP(H5378,'Materiales unitario'!A$1:A$2500,'Materiales unitario'!C$1:C$2500,,0,1)</f>
        <v>un</v>
      </c>
      <c r="E5378" s="197">
        <f>_xlfn.XLOOKUP(H5378,'Materiales unitario'!$A$1:$A$2500,'Materiales unitario'!D$1:D$2500,,0,1)</f>
        <v>8388.6</v>
      </c>
      <c r="F5378" s="19">
        <v>0.2</v>
      </c>
      <c r="G5378" s="20">
        <f>+E5378*F5378</f>
        <v>1677.7200000000003</v>
      </c>
      <c r="H5378" s="211" t="s">
        <v>287</v>
      </c>
    </row>
    <row r="5379" spans="1:8">
      <c r="A5379" s="211" t="s">
        <v>489</v>
      </c>
      <c r="B5379" s="216" t="str">
        <f ca="1">_xlfn.CONCAT(B5372,A5379)</f>
        <v>288741B8-F</v>
      </c>
      <c r="C5379" s="17"/>
      <c r="D5379" s="184"/>
      <c r="E5379" s="197"/>
      <c r="F5379" s="19"/>
      <c r="G5379" s="20"/>
    </row>
    <row r="5380" spans="1:8">
      <c r="A5380" s="211" t="s">
        <v>490</v>
      </c>
      <c r="B5380" s="216" t="str">
        <f ca="1">_xlfn.CONCAT(B5372,A5380)</f>
        <v>288741B8-G</v>
      </c>
      <c r="C5380" s="17"/>
      <c r="D5380" s="184"/>
      <c r="E5380" s="197"/>
      <c r="F5380" s="19"/>
      <c r="G5380" s="20"/>
    </row>
    <row r="5381" spans="1:8">
      <c r="A5381" s="211" t="s">
        <v>491</v>
      </c>
      <c r="B5381" s="216" t="str">
        <f ca="1">_xlfn.CONCAT(B5372,A5381)</f>
        <v>288741B8-H</v>
      </c>
      <c r="C5381" s="17"/>
      <c r="D5381" s="184"/>
      <c r="E5381" s="197"/>
      <c r="F5381" s="19"/>
      <c r="G5381" s="20"/>
    </row>
    <row r="5382" spans="1:8">
      <c r="A5382" s="211" t="s">
        <v>492</v>
      </c>
      <c r="B5382" s="216" t="str">
        <f ca="1">_xlfn.CONCAT(B5372,A5382)</f>
        <v>288741B8-I</v>
      </c>
      <c r="C5382" s="17"/>
      <c r="D5382" s="184"/>
      <c r="E5382" s="197"/>
      <c r="F5382" s="19"/>
      <c r="G5382" s="20"/>
    </row>
    <row r="5383" spans="1:8">
      <c r="A5383" s="211" t="s">
        <v>493</v>
      </c>
      <c r="B5383" s="216" t="str">
        <f ca="1">_xlfn.CONCAT(B5372,A5383)</f>
        <v>288741B8-J</v>
      </c>
      <c r="C5383" s="17"/>
      <c r="D5383" s="184"/>
      <c r="E5383" s="197"/>
      <c r="F5383" s="19"/>
      <c r="G5383" s="20"/>
    </row>
    <row r="5384" spans="1:8">
      <c r="A5384" s="211" t="s">
        <v>494</v>
      </c>
      <c r="B5384" s="216" t="str">
        <f ca="1">_xlfn.CONCAT(B5372,A5384)</f>
        <v>288741B8-K</v>
      </c>
      <c r="C5384" s="17"/>
      <c r="D5384" s="184"/>
      <c r="E5384" s="197"/>
      <c r="F5384" s="19"/>
      <c r="G5384" s="20"/>
    </row>
    <row r="5385" spans="1:8">
      <c r="A5385" s="211" t="s">
        <v>495</v>
      </c>
      <c r="B5385" s="216" t="str">
        <f ca="1">_xlfn.CONCAT(B5372,A5385)</f>
        <v>288741B8-L</v>
      </c>
      <c r="C5385" s="17"/>
      <c r="D5385" s="184"/>
      <c r="E5385" s="197"/>
      <c r="F5385" s="19"/>
      <c r="G5385" s="20"/>
    </row>
    <row r="5386" spans="1:8">
      <c r="A5386" s="211" t="s">
        <v>496</v>
      </c>
      <c r="B5386" s="216" t="str">
        <f ca="1">_xlfn.CONCAT(B5372,A5386)</f>
        <v>288741B8-M</v>
      </c>
      <c r="C5386" s="17"/>
      <c r="D5386" s="184"/>
      <c r="E5386" s="197"/>
      <c r="F5386" s="19"/>
      <c r="G5386" s="20"/>
    </row>
    <row r="5387" spans="1:8">
      <c r="A5387" s="211" t="s">
        <v>497</v>
      </c>
      <c r="B5387" s="216" t="str">
        <f ca="1">_xlfn.CONCAT(B5372,A5387)</f>
        <v>288741B8-N</v>
      </c>
      <c r="C5387" s="17"/>
      <c r="D5387" s="184"/>
      <c r="E5387" s="197"/>
      <c r="F5387" s="19"/>
      <c r="G5387" s="20"/>
    </row>
    <row r="5388" spans="1:8">
      <c r="A5388" s="211" t="s">
        <v>498</v>
      </c>
      <c r="B5388" s="216" t="str">
        <f ca="1">_xlfn.CONCAT(B5372,A5388)</f>
        <v>288741B8-O</v>
      </c>
      <c r="C5388" s="17"/>
      <c r="D5388" s="184"/>
      <c r="E5388" s="197"/>
      <c r="F5388" s="19"/>
      <c r="G5388" s="20"/>
    </row>
    <row r="5389" spans="1:8">
      <c r="A5389" s="211" t="s">
        <v>499</v>
      </c>
      <c r="B5389" s="216" t="str">
        <f ca="1">_xlfn.CONCAT(B5372,A5389)</f>
        <v>288741B8-P</v>
      </c>
      <c r="C5389" s="17"/>
      <c r="D5389" s="184"/>
      <c r="E5389" s="197"/>
      <c r="F5389" s="19"/>
      <c r="G5389" s="20"/>
    </row>
    <row r="5390" spans="1:8">
      <c r="A5390" s="211" t="s">
        <v>500</v>
      </c>
      <c r="B5390" s="216" t="str">
        <f ca="1">_xlfn.CONCAT(B5372,A5390)</f>
        <v>288741B8-Q</v>
      </c>
      <c r="C5390" s="17"/>
      <c r="D5390" s="184"/>
      <c r="E5390" s="197"/>
      <c r="F5390" s="19"/>
      <c r="G5390" s="20"/>
    </row>
    <row r="5391" spans="1:8">
      <c r="A5391" s="211" t="s">
        <v>501</v>
      </c>
      <c r="B5391" s="216" t="str">
        <f ca="1">_xlfn.CONCAT(B5372,A5391)</f>
        <v>288741B8-R</v>
      </c>
      <c r="C5391" s="17"/>
      <c r="D5391" s="184"/>
      <c r="E5391" s="197"/>
      <c r="F5391" s="19"/>
      <c r="G5391" s="20"/>
    </row>
    <row r="5392" spans="1:8">
      <c r="A5392" s="211" t="s">
        <v>502</v>
      </c>
      <c r="B5392" s="216" t="str">
        <f ca="1">_xlfn.CONCAT(B5372,A5392)</f>
        <v>288741B8-S</v>
      </c>
      <c r="C5392" s="17"/>
      <c r="D5392" s="184"/>
      <c r="E5392" s="197"/>
      <c r="F5392" s="19"/>
      <c r="G5392" s="20"/>
    </row>
    <row r="5393" spans="1:8">
      <c r="A5393" s="211" t="s">
        <v>503</v>
      </c>
      <c r="B5393" s="216" t="str">
        <f ca="1">_xlfn.CONCAT(B5372,A5393)</f>
        <v>288741B8-T</v>
      </c>
      <c r="C5393" s="17"/>
      <c r="D5393" s="184"/>
      <c r="E5393" s="197"/>
      <c r="F5393" s="19"/>
      <c r="G5393" s="20"/>
    </row>
    <row r="5394" spans="1:8" ht="14.25" thickBot="1">
      <c r="A5394" s="211" t="s">
        <v>504</v>
      </c>
      <c r="B5394" s="216" t="str">
        <f ca="1">_xlfn.CONCAT(B5372,A5394)</f>
        <v>288741B8-U</v>
      </c>
      <c r="C5394" s="17"/>
      <c r="D5394" s="184"/>
      <c r="E5394" s="197"/>
      <c r="F5394" s="19"/>
      <c r="G5394" s="20"/>
    </row>
    <row r="5395" spans="1:8" ht="14.25" thickBot="1">
      <c r="A5395" s="211" t="s">
        <v>505</v>
      </c>
      <c r="B5395" s="216" t="str">
        <f ca="1">_xlfn.CONCAT(B5372,A5395)</f>
        <v>288741B8-V</v>
      </c>
      <c r="C5395" s="17" t="s">
        <v>17</v>
      </c>
      <c r="D5395" s="192" t="s">
        <v>17</v>
      </c>
      <c r="E5395" s="18"/>
      <c r="F5395" s="22" t="s">
        <v>18</v>
      </c>
      <c r="G5395" s="23">
        <f>SUM(G5374:G5394)</f>
        <v>37159.120000000003</v>
      </c>
    </row>
    <row r="5396" spans="1:8" ht="15.75" thickBot="1">
      <c r="A5396" s="211" t="s">
        <v>506</v>
      </c>
      <c r="B5396" s="216" t="str">
        <f ca="1">_xlfn.CONCAT(B5372,A5396)</f>
        <v>288741B8-W</v>
      </c>
      <c r="C5396" s="10" t="s">
        <v>19</v>
      </c>
      <c r="D5396" s="190"/>
      <c r="E5396" s="11"/>
      <c r="F5396" s="12"/>
      <c r="G5396" s="13"/>
    </row>
    <row r="5397" spans="1:8" ht="14.25" thickBot="1">
      <c r="A5397" s="211" t="s">
        <v>507</v>
      </c>
      <c r="B5397" s="216" t="str">
        <f ca="1">_xlfn.CONCAT(B5372,A5397)</f>
        <v>288741B8-X</v>
      </c>
      <c r="C5397" s="14" t="s">
        <v>1</v>
      </c>
      <c r="D5397" s="15"/>
      <c r="E5397" s="15" t="s">
        <v>20</v>
      </c>
      <c r="F5397" s="16" t="s">
        <v>21</v>
      </c>
      <c r="G5397" s="15" t="s">
        <v>5</v>
      </c>
      <c r="H5397" s="215"/>
    </row>
    <row r="5398" spans="1:8">
      <c r="A5398" s="211" t="s">
        <v>508</v>
      </c>
      <c r="B5398" s="216" t="str">
        <f ca="1">_xlfn.CONCAT(B5372,A5398)</f>
        <v>288741B8-Y</v>
      </c>
      <c r="C5398" s="24" t="s">
        <v>22</v>
      </c>
      <c r="D5398" s="184"/>
      <c r="E5398" s="25">
        <f>_xlfn.XLOOKUP(C5398,'H-MO'!B$7:B$30,'H-MO'!D$7:D$30,,0,1)</f>
        <v>2436.5624999999995</v>
      </c>
      <c r="F5398" s="19">
        <v>0.3</v>
      </c>
      <c r="G5398" s="33">
        <f t="shared" ref="G5398:G5403" si="156">+E5398*F5398</f>
        <v>730.96874999999989</v>
      </c>
    </row>
    <row r="5399" spans="1:8">
      <c r="A5399" s="211" t="s">
        <v>509</v>
      </c>
      <c r="B5399" s="216" t="str">
        <f ca="1">_xlfn.CONCAT(B5372,A5399)</f>
        <v>288741B8-Z</v>
      </c>
      <c r="C5399" s="24" t="s">
        <v>23</v>
      </c>
      <c r="D5399" s="184"/>
      <c r="E5399" s="25">
        <f>_xlfn.XLOOKUP(C5399,'H-MO'!B$7:B$30,'H-MO'!D$7:D$30,,0,1)</f>
        <v>1461.9374999999998</v>
      </c>
      <c r="F5399" s="19">
        <v>1</v>
      </c>
      <c r="G5399" s="33">
        <f t="shared" si="156"/>
        <v>1461.9374999999998</v>
      </c>
    </row>
    <row r="5400" spans="1:8">
      <c r="A5400" s="211" t="s">
        <v>510</v>
      </c>
      <c r="B5400" s="216" t="str">
        <f ca="1">_xlfn.CONCAT(B5372,A5400)</f>
        <v>288741B8-aa</v>
      </c>
      <c r="C5400" s="24" t="s">
        <v>24</v>
      </c>
      <c r="D5400" s="185"/>
      <c r="E5400" s="25">
        <f>_xlfn.XLOOKUP(C5400,'H-MO'!B$7:B$30,'H-MO'!D$7:D$30,,0,1)</f>
        <v>29238.749999999996</v>
      </c>
      <c r="F5400" s="28">
        <v>0.2</v>
      </c>
      <c r="G5400" s="33">
        <f t="shared" si="156"/>
        <v>5847.75</v>
      </c>
    </row>
    <row r="5401" spans="1:8">
      <c r="A5401" s="211" t="s">
        <v>511</v>
      </c>
      <c r="B5401" s="216" t="str">
        <f ca="1">_xlfn.CONCAT(B5372,A5401)</f>
        <v>288741B8-ab</v>
      </c>
      <c r="C5401" s="24" t="s">
        <v>25</v>
      </c>
      <c r="D5401" s="185"/>
      <c r="E5401" s="25">
        <f>_xlfn.XLOOKUP(C5401,'H-MO'!B$7:B$30,'H-MO'!D$7:D$30,,0,1)</f>
        <v>2761.4374999999995</v>
      </c>
      <c r="F5401" s="28">
        <v>0.3</v>
      </c>
      <c r="G5401" s="33">
        <f t="shared" si="156"/>
        <v>828.43124999999986</v>
      </c>
    </row>
    <row r="5402" spans="1:8">
      <c r="A5402" s="211" t="s">
        <v>512</v>
      </c>
      <c r="B5402" s="216" t="str">
        <f ca="1">_xlfn.CONCAT(B5372,A5402)</f>
        <v>288741B8-ac</v>
      </c>
      <c r="C5402" s="24"/>
      <c r="D5402" s="185"/>
      <c r="E5402" s="29"/>
      <c r="F5402" s="28">
        <v>0</v>
      </c>
      <c r="G5402" s="33">
        <f t="shared" si="156"/>
        <v>0</v>
      </c>
    </row>
    <row r="5403" spans="1:8" ht="14.25" thickBot="1">
      <c r="A5403" s="211" t="s">
        <v>513</v>
      </c>
      <c r="B5403" s="216" t="str">
        <f ca="1">_xlfn.CONCAT(B5372,A5403)</f>
        <v>288741B8-ad</v>
      </c>
      <c r="C5403" s="24"/>
      <c r="D5403" s="185"/>
      <c r="E5403" s="29"/>
      <c r="F5403" s="28">
        <v>0</v>
      </c>
      <c r="G5403" s="33">
        <f t="shared" si="156"/>
        <v>0</v>
      </c>
    </row>
    <row r="5404" spans="1:8" ht="14.25" thickBot="1">
      <c r="A5404" s="211" t="s">
        <v>514</v>
      </c>
      <c r="B5404" s="216" t="str">
        <f ca="1">_xlfn.CONCAT(B5372,A5404)</f>
        <v>288741B8-ae</v>
      </c>
      <c r="C5404" s="17"/>
      <c r="D5404" s="192"/>
      <c r="E5404" s="18"/>
      <c r="F5404" s="22" t="s">
        <v>26</v>
      </c>
      <c r="G5404" s="23">
        <f>SUM(G5398:G5403)</f>
        <v>8869.0874999999996</v>
      </c>
    </row>
    <row r="5405" spans="1:8" ht="15.75" thickBot="1">
      <c r="A5405" s="211" t="s">
        <v>515</v>
      </c>
      <c r="B5405" s="216" t="str">
        <f ca="1">_xlfn.CONCAT(B5372,A5405)</f>
        <v>288741B8-af</v>
      </c>
      <c r="C5405" s="10" t="s">
        <v>27</v>
      </c>
      <c r="D5405" s="190"/>
      <c r="E5405" s="11"/>
      <c r="F5405" s="12"/>
      <c r="G5405" s="13"/>
    </row>
    <row r="5406" spans="1:8" ht="14.25" thickBot="1">
      <c r="A5406" s="211" t="s">
        <v>516</v>
      </c>
      <c r="B5406" s="216" t="str">
        <f ca="1">_xlfn.CONCAT(B5372,A5406)</f>
        <v>288741B8-ag</v>
      </c>
      <c r="C5406" s="14" t="s">
        <v>1</v>
      </c>
      <c r="D5406" s="15" t="s">
        <v>28</v>
      </c>
      <c r="E5406" s="15" t="s">
        <v>20</v>
      </c>
      <c r="F5406" s="16" t="s">
        <v>21</v>
      </c>
      <c r="G5406" s="15" t="s">
        <v>5</v>
      </c>
      <c r="H5406" s="215"/>
    </row>
    <row r="5407" spans="1:8">
      <c r="A5407" s="211" t="s">
        <v>517</v>
      </c>
      <c r="B5407" s="216" t="str">
        <f ca="1">_xlfn.CONCAT(B5372,A5407)</f>
        <v>288741B8-ah</v>
      </c>
      <c r="C5407" s="30" t="s">
        <v>29</v>
      </c>
      <c r="D5407" s="186">
        <f>'H-MO'!$N$77</f>
        <v>725918.52892505517</v>
      </c>
      <c r="E5407" s="31">
        <f>+D5407/8</f>
        <v>90739.816115631897</v>
      </c>
      <c r="F5407" s="32">
        <v>0.05</v>
      </c>
      <c r="G5407" s="33">
        <f>+E5407*F5407</f>
        <v>4536.9908057815946</v>
      </c>
    </row>
    <row r="5408" spans="1:8">
      <c r="A5408" s="211" t="s">
        <v>518</v>
      </c>
      <c r="B5408" s="216" t="str">
        <f ca="1">_xlfn.CONCAT(B5372,A5408)</f>
        <v>288741B8-ai</v>
      </c>
      <c r="C5408" s="34" t="s">
        <v>30</v>
      </c>
      <c r="D5408" s="187">
        <f>'H-MO'!$N$86</f>
        <v>685561.39085756091</v>
      </c>
      <c r="E5408" s="29">
        <f>+D5408/8</f>
        <v>85695.173857195114</v>
      </c>
      <c r="F5408" s="28">
        <v>0.1</v>
      </c>
      <c r="G5408" s="33">
        <f>+E5408*F5408</f>
        <v>8569.5173857195114</v>
      </c>
    </row>
    <row r="5409" spans="1:8" ht="14.25" thickBot="1">
      <c r="A5409" s="211" t="s">
        <v>519</v>
      </c>
      <c r="B5409" s="216" t="str">
        <f ca="1">_xlfn.CONCAT(B5372,A5409)</f>
        <v>288741B8-aj</v>
      </c>
      <c r="C5409" s="34"/>
      <c r="D5409" s="187"/>
      <c r="E5409" s="29"/>
      <c r="F5409" s="28">
        <v>0</v>
      </c>
      <c r="G5409" s="33">
        <f>+E5409*F5409</f>
        <v>0</v>
      </c>
    </row>
    <row r="5410" spans="1:8" ht="14.25" thickBot="1">
      <c r="A5410" s="211" t="s">
        <v>520</v>
      </c>
      <c r="B5410" s="216" t="str">
        <f ca="1">_xlfn.CONCAT(B5372,A5410)</f>
        <v>288741B8-ak</v>
      </c>
      <c r="C5410" s="34"/>
      <c r="D5410" s="185"/>
      <c r="E5410" s="26"/>
      <c r="F5410" s="36" t="s">
        <v>31</v>
      </c>
      <c r="G5410" s="23">
        <f>SUM(G5407:G5409)</f>
        <v>13106.508191501107</v>
      </c>
    </row>
    <row r="5411" spans="1:8" ht="14.25" thickBot="1">
      <c r="A5411" s="211" t="s">
        <v>521</v>
      </c>
      <c r="B5411" s="216" t="str">
        <f ca="1">_xlfn.CONCAT(B5372,A5411)</f>
        <v>288741B8-al</v>
      </c>
      <c r="C5411" s="37"/>
      <c r="E5411" s="38"/>
      <c r="F5411" s="22"/>
      <c r="G5411" s="39"/>
    </row>
    <row r="5412" spans="1:8" ht="16.5" thickBot="1">
      <c r="A5412" s="211" t="s">
        <v>522</v>
      </c>
      <c r="B5412" s="216" t="str">
        <f ca="1">_xlfn.CONCAT(B5372,A5412)</f>
        <v>288741B8-am</v>
      </c>
      <c r="C5412" s="40"/>
      <c r="D5412" s="193"/>
      <c r="E5412" s="41"/>
      <c r="F5412" s="42"/>
      <c r="G5412" s="43">
        <f>+G5395+G5404+G5410</f>
        <v>59134.715691501115</v>
      </c>
    </row>
    <row r="5413" spans="1:8" ht="21.75" thickBot="1">
      <c r="B5413" s="212" t="s">
        <v>550</v>
      </c>
      <c r="C5413" s="2"/>
      <c r="D5413" s="183"/>
      <c r="F5413" s="4"/>
      <c r="G5413" s="5"/>
    </row>
    <row r="5414" spans="1:8" ht="18.75">
      <c r="A5414" s="213"/>
      <c r="B5414" s="214">
        <v>124</v>
      </c>
      <c r="C5414" s="242" t="str">
        <f ca="1">_xlfn.XLOOKUP(B5414,Cantidades!$A$10:$A$314,Cantidades!$C$10:$C$314,,0,1)</f>
        <v xml:space="preserve">Suministro e instalación de ductos  1Ø4+4Ø2" PVC </v>
      </c>
      <c r="D5414" s="243"/>
      <c r="E5414" s="243"/>
      <c r="F5414" s="243"/>
      <c r="G5414" s="244"/>
      <c r="H5414" s="213"/>
    </row>
    <row r="5415" spans="1:8" ht="19.5" thickBot="1">
      <c r="A5415" s="215"/>
      <c r="B5415" s="216" t="s">
        <v>550</v>
      </c>
      <c r="C5415" s="177"/>
      <c r="D5415" s="189"/>
      <c r="E5415" s="178"/>
      <c r="F5415" s="179" t="s">
        <v>636</v>
      </c>
      <c r="G5415" s="209" t="str">
        <f ca="1">B5416</f>
        <v>370BBE6E-</v>
      </c>
      <c r="H5415" s="215"/>
    </row>
    <row r="5416" spans="1:8" ht="15.75" thickBot="1">
      <c r="B5416" s="212" t="str">
        <f ca="1">_xlfn.XLOOKUP(C5414,Cantidades!$C$1:$C$314,Cantidades!$B$1:$B$314,"",0,1)</f>
        <v>370BBE6E-</v>
      </c>
      <c r="C5416" s="10" t="s">
        <v>0</v>
      </c>
      <c r="D5416" s="190"/>
      <c r="E5416" s="11"/>
      <c r="F5416" s="12"/>
      <c r="G5416" s="13"/>
    </row>
    <row r="5417" spans="1:8" ht="14.25" thickBot="1">
      <c r="A5417" s="215"/>
      <c r="B5417" s="216" t="s">
        <v>550</v>
      </c>
      <c r="C5417" s="14" t="s">
        <v>1</v>
      </c>
      <c r="D5417" s="15" t="s">
        <v>2</v>
      </c>
      <c r="E5417" s="15" t="s">
        <v>3</v>
      </c>
      <c r="F5417" s="16" t="s">
        <v>4</v>
      </c>
      <c r="G5417" s="15" t="s">
        <v>5</v>
      </c>
    </row>
    <row r="5418" spans="1:8">
      <c r="A5418" s="211" t="s">
        <v>484</v>
      </c>
      <c r="B5418" s="216" t="str">
        <f ca="1">_xlfn.CONCAT(B5416,A5418)</f>
        <v>370BBE6E-A</v>
      </c>
      <c r="C5418" s="17" t="str">
        <f>_xlfn.XLOOKUP(H5418,'Materiales unitario'!$A$1:$A$2500,'Materiales unitario'!B$1:B$2500,,0,1)</f>
        <v>Ducto telef. Y Electric. pesado TDP ø2" PVC</v>
      </c>
      <c r="D5418" s="184" t="str">
        <f>_xlfn.XLOOKUP(H5418,'Materiales unitario'!A$1:A$2500,'Materiales unitario'!C$1:C$2500,,0,1)</f>
        <v>ml</v>
      </c>
      <c r="E5418" s="197">
        <f>_xlfn.XLOOKUP(H5418,'Materiales unitario'!$A$1:$A$2500,'Materiales unitario'!D$1:D$2500,,0,1)</f>
        <v>6520</v>
      </c>
      <c r="F5418" s="19">
        <v>4.8</v>
      </c>
      <c r="G5418" s="20">
        <f>+E5418*F5418</f>
        <v>31296</v>
      </c>
      <c r="H5418" s="211" t="s">
        <v>1196</v>
      </c>
    </row>
    <row r="5419" spans="1:8">
      <c r="A5419" s="211" t="s">
        <v>485</v>
      </c>
      <c r="B5419" s="216" t="str">
        <f ca="1">_xlfn.CONCAT(B5416,A5419)</f>
        <v>370BBE6E-B</v>
      </c>
      <c r="C5419" s="17" t="str">
        <f>_xlfn.XLOOKUP(H5419,'Materiales unitario'!$A$1:$A$2500,'Materiales unitario'!B$1:B$2500,,0,1)</f>
        <v>Campana terminal ducto ø2" PVC</v>
      </c>
      <c r="D5419" s="184" t="str">
        <f>_xlfn.XLOOKUP(H5419,'Materiales unitario'!A$1:A$2500,'Materiales unitario'!C$1:C$2500,,0,1)</f>
        <v>un</v>
      </c>
      <c r="E5419" s="197">
        <f>_xlfn.XLOOKUP(H5419,'Materiales unitario'!$A$1:$A$2500,'Materiales unitario'!D$1:D$2500,,0,1)</f>
        <v>4046</v>
      </c>
      <c r="F5419" s="19">
        <v>0.5</v>
      </c>
      <c r="G5419" s="20">
        <f>+E5419*F5419</f>
        <v>2023</v>
      </c>
      <c r="H5419" s="211" t="s">
        <v>286</v>
      </c>
    </row>
    <row r="5420" spans="1:8">
      <c r="A5420" s="211" t="s">
        <v>486</v>
      </c>
      <c r="B5420" s="216" t="str">
        <f ca="1">_xlfn.CONCAT(B5416,A5420)</f>
        <v>370BBE6E-C</v>
      </c>
      <c r="C5420" s="17" t="str">
        <f>_xlfn.XLOOKUP(H5420,'Materiales unitario'!$A$1:$A$2500,'Materiales unitario'!B$1:B$2500,,0,1)</f>
        <v>Soldadura liquida PVC 1/4 de galón</v>
      </c>
      <c r="D5420" s="184" t="str">
        <f>_xlfn.XLOOKUP(H5420,'Materiales unitario'!A$1:A$2500,'Materiales unitario'!C$1:C$2500,,0,1)</f>
        <v>un</v>
      </c>
      <c r="E5420" s="197">
        <f>_xlfn.XLOOKUP(H5420,'Materiales unitario'!$A$1:$A$2500,'Materiales unitario'!D$1:D$2500,,0,1)</f>
        <v>60900</v>
      </c>
      <c r="F5420" s="19">
        <v>0.06</v>
      </c>
      <c r="G5420" s="20">
        <f>+E5420*F5420</f>
        <v>3654</v>
      </c>
      <c r="H5420" s="211" t="s">
        <v>530</v>
      </c>
    </row>
    <row r="5421" spans="1:8">
      <c r="A5421" s="211" t="s">
        <v>487</v>
      </c>
      <c r="B5421" s="216" t="str">
        <f ca="1">_xlfn.CONCAT(B5416,A5421)</f>
        <v>370BBE6E-D</v>
      </c>
      <c r="C5421" s="17" t="str">
        <f>_xlfn.XLOOKUP(H5421,'Materiales unitario'!$A$1:$A$2500,'Materiales unitario'!B$1:B$2500,,0,1)</f>
        <v>Ducto telef. Y Electric. Corrugado TDP ø4" PVC</v>
      </c>
      <c r="D5421" s="184" t="str">
        <f>_xlfn.XLOOKUP(H5421,'Materiales unitario'!A$1:A$2500,'Materiales unitario'!C$1:C$2500,,0,1)</f>
        <v>ml</v>
      </c>
      <c r="E5421" s="197">
        <f>_xlfn.XLOOKUP(H5421,'Materiales unitario'!$A$1:$A$2500,'Materiales unitario'!D$1:D$2500,,0,1)</f>
        <v>15680</v>
      </c>
      <c r="F5421" s="19">
        <v>1.1000000000000001</v>
      </c>
      <c r="G5421" s="20">
        <f>+E5421*F5421</f>
        <v>17248</v>
      </c>
      <c r="H5421" s="211" t="s">
        <v>316</v>
      </c>
    </row>
    <row r="5422" spans="1:8">
      <c r="A5422" s="211" t="s">
        <v>488</v>
      </c>
      <c r="B5422" s="216" t="str">
        <f ca="1">_xlfn.CONCAT(B5416,A5422)</f>
        <v>370BBE6E-E</v>
      </c>
      <c r="C5422" s="17" t="str">
        <f>_xlfn.XLOOKUP(H5422,'Materiales unitario'!$A$1:$A$2500,'Materiales unitario'!B$1:B$2500,,0,1)</f>
        <v>Campana terminal ducto ø4" PVC</v>
      </c>
      <c r="D5422" s="184" t="str">
        <f>_xlfn.XLOOKUP(H5422,'Materiales unitario'!A$1:A$2500,'Materiales unitario'!C$1:C$2500,,0,1)</f>
        <v>un</v>
      </c>
      <c r="E5422" s="197">
        <f>_xlfn.XLOOKUP(H5422,'Materiales unitario'!$A$1:$A$2500,'Materiales unitario'!D$1:D$2500,,0,1)</f>
        <v>8388.6</v>
      </c>
      <c r="F5422" s="19">
        <v>0.2</v>
      </c>
      <c r="G5422" s="20">
        <f>+E5422*F5422</f>
        <v>1677.7200000000003</v>
      </c>
      <c r="H5422" s="211" t="s">
        <v>287</v>
      </c>
    </row>
    <row r="5423" spans="1:8">
      <c r="A5423" s="211" t="s">
        <v>489</v>
      </c>
      <c r="B5423" s="216" t="str">
        <f ca="1">_xlfn.CONCAT(B5416,A5423)</f>
        <v>370BBE6E-F</v>
      </c>
      <c r="C5423" s="17"/>
      <c r="D5423" s="184"/>
      <c r="E5423" s="197"/>
      <c r="F5423" s="19"/>
      <c r="G5423" s="20"/>
    </row>
    <row r="5424" spans="1:8">
      <c r="A5424" s="211" t="s">
        <v>490</v>
      </c>
      <c r="B5424" s="216" t="str">
        <f ca="1">_xlfn.CONCAT(B5416,A5424)</f>
        <v>370BBE6E-G</v>
      </c>
      <c r="C5424" s="17"/>
      <c r="D5424" s="184"/>
      <c r="E5424" s="197"/>
      <c r="F5424" s="19"/>
      <c r="G5424" s="20"/>
    </row>
    <row r="5425" spans="1:7">
      <c r="A5425" s="211" t="s">
        <v>491</v>
      </c>
      <c r="B5425" s="216" t="str">
        <f ca="1">_xlfn.CONCAT(B5416,A5425)</f>
        <v>370BBE6E-H</v>
      </c>
      <c r="C5425" s="17"/>
      <c r="D5425" s="184"/>
      <c r="E5425" s="197"/>
      <c r="F5425" s="19"/>
      <c r="G5425" s="20"/>
    </row>
    <row r="5426" spans="1:7">
      <c r="A5426" s="211" t="s">
        <v>492</v>
      </c>
      <c r="B5426" s="216" t="str">
        <f ca="1">_xlfn.CONCAT(B5416,A5426)</f>
        <v>370BBE6E-I</v>
      </c>
      <c r="C5426" s="17"/>
      <c r="D5426" s="184"/>
      <c r="E5426" s="197"/>
      <c r="F5426" s="19"/>
      <c r="G5426" s="20"/>
    </row>
    <row r="5427" spans="1:7">
      <c r="A5427" s="211" t="s">
        <v>493</v>
      </c>
      <c r="B5427" s="216" t="str">
        <f ca="1">_xlfn.CONCAT(B5416,A5427)</f>
        <v>370BBE6E-J</v>
      </c>
      <c r="C5427" s="17"/>
      <c r="D5427" s="184"/>
      <c r="E5427" s="197"/>
      <c r="F5427" s="19"/>
      <c r="G5427" s="20"/>
    </row>
    <row r="5428" spans="1:7">
      <c r="A5428" s="211" t="s">
        <v>494</v>
      </c>
      <c r="B5428" s="216" t="str">
        <f ca="1">_xlfn.CONCAT(B5416,A5428)</f>
        <v>370BBE6E-K</v>
      </c>
      <c r="C5428" s="17"/>
      <c r="D5428" s="184"/>
      <c r="E5428" s="197"/>
      <c r="F5428" s="19"/>
      <c r="G5428" s="20"/>
    </row>
    <row r="5429" spans="1:7">
      <c r="A5429" s="211" t="s">
        <v>495</v>
      </c>
      <c r="B5429" s="216" t="str">
        <f ca="1">_xlfn.CONCAT(B5416,A5429)</f>
        <v>370BBE6E-L</v>
      </c>
      <c r="C5429" s="17"/>
      <c r="D5429" s="184"/>
      <c r="E5429" s="197"/>
      <c r="F5429" s="19"/>
      <c r="G5429" s="20"/>
    </row>
    <row r="5430" spans="1:7">
      <c r="A5430" s="211" t="s">
        <v>496</v>
      </c>
      <c r="B5430" s="216" t="str">
        <f ca="1">_xlfn.CONCAT(B5416,A5430)</f>
        <v>370BBE6E-M</v>
      </c>
      <c r="C5430" s="17"/>
      <c r="D5430" s="184"/>
      <c r="E5430" s="197"/>
      <c r="F5430" s="19"/>
      <c r="G5430" s="20"/>
    </row>
    <row r="5431" spans="1:7">
      <c r="A5431" s="211" t="s">
        <v>497</v>
      </c>
      <c r="B5431" s="216" t="str">
        <f ca="1">_xlfn.CONCAT(B5416,A5431)</f>
        <v>370BBE6E-N</v>
      </c>
      <c r="C5431" s="17"/>
      <c r="D5431" s="184"/>
      <c r="E5431" s="197"/>
      <c r="F5431" s="19"/>
      <c r="G5431" s="20"/>
    </row>
    <row r="5432" spans="1:7">
      <c r="A5432" s="211" t="s">
        <v>498</v>
      </c>
      <c r="B5432" s="216" t="str">
        <f ca="1">_xlfn.CONCAT(B5416,A5432)</f>
        <v>370BBE6E-O</v>
      </c>
      <c r="C5432" s="17"/>
      <c r="D5432" s="184"/>
      <c r="E5432" s="197"/>
      <c r="F5432" s="19"/>
      <c r="G5432" s="20"/>
    </row>
    <row r="5433" spans="1:7">
      <c r="A5433" s="211" t="s">
        <v>499</v>
      </c>
      <c r="B5433" s="216" t="str">
        <f ca="1">_xlfn.CONCAT(B5416,A5433)</f>
        <v>370BBE6E-P</v>
      </c>
      <c r="C5433" s="17"/>
      <c r="D5433" s="184"/>
      <c r="E5433" s="197"/>
      <c r="F5433" s="19"/>
      <c r="G5433" s="20"/>
    </row>
    <row r="5434" spans="1:7">
      <c r="A5434" s="211" t="s">
        <v>500</v>
      </c>
      <c r="B5434" s="216" t="str">
        <f ca="1">_xlfn.CONCAT(B5416,A5434)</f>
        <v>370BBE6E-Q</v>
      </c>
      <c r="C5434" s="17"/>
      <c r="D5434" s="184"/>
      <c r="E5434" s="197"/>
      <c r="F5434" s="19"/>
      <c r="G5434" s="20"/>
    </row>
    <row r="5435" spans="1:7">
      <c r="A5435" s="211" t="s">
        <v>501</v>
      </c>
      <c r="B5435" s="216" t="str">
        <f ca="1">_xlfn.CONCAT(B5416,A5435)</f>
        <v>370BBE6E-R</v>
      </c>
      <c r="C5435" s="17"/>
      <c r="D5435" s="184"/>
      <c r="E5435" s="197"/>
      <c r="F5435" s="19"/>
      <c r="G5435" s="20"/>
    </row>
    <row r="5436" spans="1:7">
      <c r="A5436" s="211" t="s">
        <v>502</v>
      </c>
      <c r="B5436" s="216" t="str">
        <f ca="1">_xlfn.CONCAT(B5416,A5436)</f>
        <v>370BBE6E-S</v>
      </c>
      <c r="C5436" s="17"/>
      <c r="D5436" s="184"/>
      <c r="E5436" s="197"/>
      <c r="F5436" s="19"/>
      <c r="G5436" s="20"/>
    </row>
    <row r="5437" spans="1:7">
      <c r="A5437" s="211" t="s">
        <v>503</v>
      </c>
      <c r="B5437" s="216" t="str">
        <f ca="1">_xlfn.CONCAT(B5416,A5437)</f>
        <v>370BBE6E-T</v>
      </c>
      <c r="C5437" s="17"/>
      <c r="D5437" s="184"/>
      <c r="E5437" s="197"/>
      <c r="F5437" s="19"/>
      <c r="G5437" s="20"/>
    </row>
    <row r="5438" spans="1:7" ht="14.25" thickBot="1">
      <c r="A5438" s="211" t="s">
        <v>504</v>
      </c>
      <c r="B5438" s="216" t="str">
        <f ca="1">_xlfn.CONCAT(B5416,A5438)</f>
        <v>370BBE6E-U</v>
      </c>
      <c r="C5438" s="17"/>
      <c r="D5438" s="184"/>
      <c r="E5438" s="197"/>
      <c r="F5438" s="19"/>
      <c r="G5438" s="20"/>
    </row>
    <row r="5439" spans="1:7" ht="14.25" thickBot="1">
      <c r="A5439" s="211" t="s">
        <v>505</v>
      </c>
      <c r="B5439" s="216" t="str">
        <f ca="1">_xlfn.CONCAT(B5416,A5439)</f>
        <v>370BBE6E-V</v>
      </c>
      <c r="C5439" s="17" t="s">
        <v>17</v>
      </c>
      <c r="D5439" s="192" t="s">
        <v>17</v>
      </c>
      <c r="E5439" s="18"/>
      <c r="F5439" s="22" t="s">
        <v>18</v>
      </c>
      <c r="G5439" s="23">
        <f>SUM(G5418:G5438)</f>
        <v>55898.720000000001</v>
      </c>
    </row>
    <row r="5440" spans="1:7" ht="15.75" thickBot="1">
      <c r="A5440" s="211" t="s">
        <v>506</v>
      </c>
      <c r="B5440" s="216" t="str">
        <f ca="1">_xlfn.CONCAT(B5416,A5440)</f>
        <v>370BBE6E-W</v>
      </c>
      <c r="C5440" s="10" t="s">
        <v>19</v>
      </c>
      <c r="D5440" s="190"/>
      <c r="E5440" s="11"/>
      <c r="F5440" s="12"/>
      <c r="G5440" s="13"/>
    </row>
    <row r="5441" spans="1:8" ht="14.25" thickBot="1">
      <c r="A5441" s="211" t="s">
        <v>507</v>
      </c>
      <c r="B5441" s="216" t="str">
        <f ca="1">_xlfn.CONCAT(B5416,A5441)</f>
        <v>370BBE6E-X</v>
      </c>
      <c r="C5441" s="14" t="s">
        <v>1</v>
      </c>
      <c r="D5441" s="15"/>
      <c r="E5441" s="15" t="s">
        <v>20</v>
      </c>
      <c r="F5441" s="16" t="s">
        <v>21</v>
      </c>
      <c r="G5441" s="15" t="s">
        <v>5</v>
      </c>
      <c r="H5441" s="215"/>
    </row>
    <row r="5442" spans="1:8">
      <c r="A5442" s="211" t="s">
        <v>508</v>
      </c>
      <c r="B5442" s="216" t="str">
        <f ca="1">_xlfn.CONCAT(B5416,A5442)</f>
        <v>370BBE6E-Y</v>
      </c>
      <c r="C5442" s="24" t="s">
        <v>22</v>
      </c>
      <c r="D5442" s="184"/>
      <c r="E5442" s="25">
        <f>_xlfn.XLOOKUP(C5442,'H-MO'!B$7:B$30,'H-MO'!D$7:D$30,,0,1)</f>
        <v>2436.5624999999995</v>
      </c>
      <c r="F5442" s="19">
        <v>0.4</v>
      </c>
      <c r="G5442" s="33">
        <f t="shared" ref="G5442:G5447" si="157">+E5442*F5442</f>
        <v>974.62499999999989</v>
      </c>
    </row>
    <row r="5443" spans="1:8">
      <c r="A5443" s="211" t="s">
        <v>509</v>
      </c>
      <c r="B5443" s="216" t="str">
        <f ca="1">_xlfn.CONCAT(B5416,A5443)</f>
        <v>370BBE6E-Z</v>
      </c>
      <c r="C5443" s="24" t="s">
        <v>23</v>
      </c>
      <c r="D5443" s="184"/>
      <c r="E5443" s="25">
        <f>_xlfn.XLOOKUP(C5443,'H-MO'!B$7:B$30,'H-MO'!D$7:D$30,,0,1)</f>
        <v>1461.9374999999998</v>
      </c>
      <c r="F5443" s="19">
        <v>1.6</v>
      </c>
      <c r="G5443" s="33">
        <f t="shared" si="157"/>
        <v>2339.1</v>
      </c>
    </row>
    <row r="5444" spans="1:8">
      <c r="A5444" s="211" t="s">
        <v>510</v>
      </c>
      <c r="B5444" s="216" t="str">
        <f ca="1">_xlfn.CONCAT(B5416,A5444)</f>
        <v>370BBE6E-aa</v>
      </c>
      <c r="C5444" s="24" t="s">
        <v>24</v>
      </c>
      <c r="D5444" s="185"/>
      <c r="E5444" s="25">
        <f>_xlfn.XLOOKUP(C5444,'H-MO'!B$7:B$30,'H-MO'!D$7:D$30,,0,1)</f>
        <v>29238.749999999996</v>
      </c>
      <c r="F5444" s="28">
        <v>0.2</v>
      </c>
      <c r="G5444" s="33">
        <f t="shared" si="157"/>
        <v>5847.75</v>
      </c>
    </row>
    <row r="5445" spans="1:8">
      <c r="A5445" s="211" t="s">
        <v>511</v>
      </c>
      <c r="B5445" s="216" t="str">
        <f ca="1">_xlfn.CONCAT(B5416,A5445)</f>
        <v>370BBE6E-ab</v>
      </c>
      <c r="C5445" s="24" t="s">
        <v>25</v>
      </c>
      <c r="D5445" s="185"/>
      <c r="E5445" s="25">
        <f>_xlfn.XLOOKUP(C5445,'H-MO'!B$7:B$30,'H-MO'!D$7:D$30,,0,1)</f>
        <v>2761.4374999999995</v>
      </c>
      <c r="F5445" s="28">
        <v>0.3</v>
      </c>
      <c r="G5445" s="33">
        <f t="shared" si="157"/>
        <v>828.43124999999986</v>
      </c>
    </row>
    <row r="5446" spans="1:8">
      <c r="A5446" s="211" t="s">
        <v>512</v>
      </c>
      <c r="B5446" s="216" t="str">
        <f ca="1">_xlfn.CONCAT(B5416,A5446)</f>
        <v>370BBE6E-ac</v>
      </c>
      <c r="C5446" s="24"/>
      <c r="D5446" s="185"/>
      <c r="E5446" s="29"/>
      <c r="F5446" s="28">
        <v>0</v>
      </c>
      <c r="G5446" s="33">
        <f t="shared" si="157"/>
        <v>0</v>
      </c>
    </row>
    <row r="5447" spans="1:8" ht="14.25" thickBot="1">
      <c r="A5447" s="211" t="s">
        <v>513</v>
      </c>
      <c r="B5447" s="216" t="str">
        <f ca="1">_xlfn.CONCAT(B5416,A5447)</f>
        <v>370BBE6E-ad</v>
      </c>
      <c r="C5447" s="24"/>
      <c r="D5447" s="185"/>
      <c r="E5447" s="29"/>
      <c r="F5447" s="28">
        <v>0</v>
      </c>
      <c r="G5447" s="33">
        <f t="shared" si="157"/>
        <v>0</v>
      </c>
    </row>
    <row r="5448" spans="1:8" ht="14.25" thickBot="1">
      <c r="A5448" s="211" t="s">
        <v>514</v>
      </c>
      <c r="B5448" s="216" t="str">
        <f ca="1">_xlfn.CONCAT(B5416,A5448)</f>
        <v>370BBE6E-ae</v>
      </c>
      <c r="C5448" s="17"/>
      <c r="D5448" s="192"/>
      <c r="E5448" s="18"/>
      <c r="F5448" s="22" t="s">
        <v>26</v>
      </c>
      <c r="G5448" s="23">
        <f>SUM(G5442:G5447)</f>
        <v>9989.90625</v>
      </c>
    </row>
    <row r="5449" spans="1:8" ht="15.75" thickBot="1">
      <c r="A5449" s="211" t="s">
        <v>515</v>
      </c>
      <c r="B5449" s="216" t="str">
        <f ca="1">_xlfn.CONCAT(B5416,A5449)</f>
        <v>370BBE6E-af</v>
      </c>
      <c r="C5449" s="10" t="s">
        <v>27</v>
      </c>
      <c r="D5449" s="190"/>
      <c r="E5449" s="11"/>
      <c r="F5449" s="12"/>
      <c r="G5449" s="13"/>
    </row>
    <row r="5450" spans="1:8" ht="14.25" thickBot="1">
      <c r="A5450" s="211" t="s">
        <v>516</v>
      </c>
      <c r="B5450" s="216" t="str">
        <f ca="1">_xlfn.CONCAT(B5416,A5450)</f>
        <v>370BBE6E-ag</v>
      </c>
      <c r="C5450" s="14" t="s">
        <v>1</v>
      </c>
      <c r="D5450" s="15" t="s">
        <v>28</v>
      </c>
      <c r="E5450" s="15" t="s">
        <v>20</v>
      </c>
      <c r="F5450" s="16" t="s">
        <v>21</v>
      </c>
      <c r="G5450" s="15" t="s">
        <v>5</v>
      </c>
      <c r="H5450" s="215"/>
    </row>
    <row r="5451" spans="1:8">
      <c r="A5451" s="211" t="s">
        <v>517</v>
      </c>
      <c r="B5451" s="216" t="str">
        <f ca="1">_xlfn.CONCAT(B5416,A5451)</f>
        <v>370BBE6E-ah</v>
      </c>
      <c r="C5451" s="30" t="s">
        <v>29</v>
      </c>
      <c r="D5451" s="186">
        <f>'H-MO'!$N$77</f>
        <v>725918.52892505517</v>
      </c>
      <c r="E5451" s="31">
        <f>+D5451/8</f>
        <v>90739.816115631897</v>
      </c>
      <c r="F5451" s="32">
        <v>0.08</v>
      </c>
      <c r="G5451" s="33">
        <f>+E5451*F5451</f>
        <v>7259.1852892505522</v>
      </c>
    </row>
    <row r="5452" spans="1:8">
      <c r="A5452" s="211" t="s">
        <v>518</v>
      </c>
      <c r="B5452" s="216" t="str">
        <f ca="1">_xlfn.CONCAT(B5416,A5452)</f>
        <v>370BBE6E-ai</v>
      </c>
      <c r="C5452" s="34" t="s">
        <v>30</v>
      </c>
      <c r="D5452" s="187">
        <f>'H-MO'!$N$86</f>
        <v>685561.39085756091</v>
      </c>
      <c r="E5452" s="29">
        <f>+D5452/8</f>
        <v>85695.173857195114</v>
      </c>
      <c r="F5452" s="28">
        <v>0.16</v>
      </c>
      <c r="G5452" s="33">
        <f>+E5452*F5452</f>
        <v>13711.227817151219</v>
      </c>
    </row>
    <row r="5453" spans="1:8" ht="14.25" thickBot="1">
      <c r="A5453" s="211" t="s">
        <v>519</v>
      </c>
      <c r="B5453" s="216" t="str">
        <f ca="1">_xlfn.CONCAT(B5416,A5453)</f>
        <v>370BBE6E-aj</v>
      </c>
      <c r="C5453" s="34"/>
      <c r="D5453" s="187"/>
      <c r="E5453" s="29"/>
      <c r="F5453" s="28">
        <v>0</v>
      </c>
      <c r="G5453" s="33">
        <f>+E5453*F5453</f>
        <v>0</v>
      </c>
    </row>
    <row r="5454" spans="1:8" ht="14.25" thickBot="1">
      <c r="A5454" s="211" t="s">
        <v>520</v>
      </c>
      <c r="B5454" s="216" t="str">
        <f ca="1">_xlfn.CONCAT(B5416,A5454)</f>
        <v>370BBE6E-ak</v>
      </c>
      <c r="C5454" s="34"/>
      <c r="D5454" s="185"/>
      <c r="E5454" s="26"/>
      <c r="F5454" s="36" t="s">
        <v>31</v>
      </c>
      <c r="G5454" s="23">
        <f>SUM(G5451:G5453)</f>
        <v>20970.413106401771</v>
      </c>
    </row>
    <row r="5455" spans="1:8" ht="14.25" thickBot="1">
      <c r="A5455" s="211" t="s">
        <v>521</v>
      </c>
      <c r="B5455" s="216" t="str">
        <f ca="1">_xlfn.CONCAT(B5416,A5455)</f>
        <v>370BBE6E-al</v>
      </c>
      <c r="C5455" s="37"/>
      <c r="E5455" s="38"/>
      <c r="F5455" s="22"/>
      <c r="G5455" s="39"/>
    </row>
    <row r="5456" spans="1:8" ht="16.5" thickBot="1">
      <c r="A5456" s="211" t="s">
        <v>522</v>
      </c>
      <c r="B5456" s="216" t="str">
        <f ca="1">_xlfn.CONCAT(B5416,A5456)</f>
        <v>370BBE6E-am</v>
      </c>
      <c r="C5456" s="40"/>
      <c r="D5456" s="193"/>
      <c r="E5456" s="41"/>
      <c r="F5456" s="42"/>
      <c r="G5456" s="43">
        <f>+G5439+G5448+G5454</f>
        <v>86859.039356401772</v>
      </c>
    </row>
    <row r="5457" spans="1:8" ht="21.75" thickBot="1">
      <c r="B5457" s="212" t="s">
        <v>550</v>
      </c>
      <c r="C5457" s="2"/>
      <c r="D5457" s="183"/>
      <c r="F5457" s="4"/>
      <c r="G5457" s="5"/>
    </row>
    <row r="5458" spans="1:8" ht="18.75">
      <c r="A5458" s="213"/>
      <c r="B5458" s="214">
        <v>125</v>
      </c>
      <c r="C5458" s="242" t="str">
        <f ca="1">_xlfn.XLOOKUP(B5458,Cantidades!$A$10:$A$314,Cantidades!$C$10:$C$314,,0,1)</f>
        <v xml:space="preserve">Suministro e instalación de ductos  1Ø4+3Ø2" PVC </v>
      </c>
      <c r="D5458" s="243"/>
      <c r="E5458" s="243"/>
      <c r="F5458" s="243"/>
      <c r="G5458" s="244"/>
      <c r="H5458" s="213"/>
    </row>
    <row r="5459" spans="1:8" ht="19.5" thickBot="1">
      <c r="A5459" s="215"/>
      <c r="B5459" s="216" t="s">
        <v>550</v>
      </c>
      <c r="C5459" s="177"/>
      <c r="D5459" s="189"/>
      <c r="E5459" s="178"/>
      <c r="F5459" s="179" t="s">
        <v>636</v>
      </c>
      <c r="G5459" s="209" t="str">
        <f ca="1">B5460</f>
        <v>285E1133-</v>
      </c>
      <c r="H5459" s="215"/>
    </row>
    <row r="5460" spans="1:8" ht="15.75" thickBot="1">
      <c r="B5460" s="212" t="str">
        <f ca="1">_xlfn.XLOOKUP(C5458,Cantidades!$C$1:$C$314,Cantidades!$B$1:$B$314,"",0,1)</f>
        <v>285E1133-</v>
      </c>
      <c r="C5460" s="10" t="s">
        <v>0</v>
      </c>
      <c r="D5460" s="190"/>
      <c r="E5460" s="11"/>
      <c r="F5460" s="12"/>
      <c r="G5460" s="13"/>
    </row>
    <row r="5461" spans="1:8" ht="14.25" thickBot="1">
      <c r="A5461" s="215"/>
      <c r="B5461" s="216" t="s">
        <v>550</v>
      </c>
      <c r="C5461" s="14" t="s">
        <v>1</v>
      </c>
      <c r="D5461" s="15" t="s">
        <v>2</v>
      </c>
      <c r="E5461" s="15" t="s">
        <v>3</v>
      </c>
      <c r="F5461" s="16" t="s">
        <v>4</v>
      </c>
      <c r="G5461" s="15" t="s">
        <v>5</v>
      </c>
    </row>
    <row r="5462" spans="1:8">
      <c r="A5462" s="211" t="s">
        <v>484</v>
      </c>
      <c r="B5462" s="216" t="str">
        <f ca="1">_xlfn.CONCAT(B5460,A5462)</f>
        <v>285E1133-A</v>
      </c>
      <c r="C5462" s="17" t="str">
        <f>_xlfn.XLOOKUP(H5462,'Materiales unitario'!$A$1:$A$2500,'Materiales unitario'!B$1:B$2500,,0,1)</f>
        <v>Ducto telef. Y Electric. pesado TDP ø2" PVC</v>
      </c>
      <c r="D5462" s="184" t="str">
        <f>_xlfn.XLOOKUP(H5462,'Materiales unitario'!A$1:A$2500,'Materiales unitario'!C$1:C$2500,,0,1)</f>
        <v>ml</v>
      </c>
      <c r="E5462" s="197">
        <f>_xlfn.XLOOKUP(H5462,'Materiales unitario'!$A$1:$A$2500,'Materiales unitario'!D$1:D$2500,,0,1)</f>
        <v>6520</v>
      </c>
      <c r="F5462" s="19">
        <v>3.6</v>
      </c>
      <c r="G5462" s="20">
        <f>+E5462*F5462</f>
        <v>23472</v>
      </c>
      <c r="H5462" s="211" t="s">
        <v>1196</v>
      </c>
    </row>
    <row r="5463" spans="1:8">
      <c r="A5463" s="211" t="s">
        <v>485</v>
      </c>
      <c r="B5463" s="216" t="str">
        <f ca="1">_xlfn.CONCAT(B5460,A5463)</f>
        <v>285E1133-B</v>
      </c>
      <c r="C5463" s="17" t="str">
        <f>_xlfn.XLOOKUP(H5463,'Materiales unitario'!$A$1:$A$2500,'Materiales unitario'!B$1:B$2500,,0,1)</f>
        <v>Campana terminal ducto ø2" PVC</v>
      </c>
      <c r="D5463" s="184" t="str">
        <f>_xlfn.XLOOKUP(H5463,'Materiales unitario'!A$1:A$2500,'Materiales unitario'!C$1:C$2500,,0,1)</f>
        <v>un</v>
      </c>
      <c r="E5463" s="197">
        <f>_xlfn.XLOOKUP(H5463,'Materiales unitario'!$A$1:$A$2500,'Materiales unitario'!D$1:D$2500,,0,1)</f>
        <v>4046</v>
      </c>
      <c r="F5463" s="19">
        <v>0.5</v>
      </c>
      <c r="G5463" s="20">
        <f>+E5463*F5463</f>
        <v>2023</v>
      </c>
      <c r="H5463" s="211" t="s">
        <v>286</v>
      </c>
    </row>
    <row r="5464" spans="1:8">
      <c r="A5464" s="211" t="s">
        <v>486</v>
      </c>
      <c r="B5464" s="216" t="str">
        <f ca="1">_xlfn.CONCAT(B5460,A5464)</f>
        <v>285E1133-C</v>
      </c>
      <c r="C5464" s="17" t="str">
        <f>_xlfn.XLOOKUP(H5464,'Materiales unitario'!$A$1:$A$2500,'Materiales unitario'!B$1:B$2500,,0,1)</f>
        <v>Soldadura liquida PVC 1/4 de galón</v>
      </c>
      <c r="D5464" s="184" t="str">
        <f>_xlfn.XLOOKUP(H5464,'Materiales unitario'!A$1:A$2500,'Materiales unitario'!C$1:C$2500,,0,1)</f>
        <v>un</v>
      </c>
      <c r="E5464" s="197">
        <f>_xlfn.XLOOKUP(H5464,'Materiales unitario'!$A$1:$A$2500,'Materiales unitario'!D$1:D$2500,,0,1)</f>
        <v>60900</v>
      </c>
      <c r="F5464" s="19">
        <v>0.06</v>
      </c>
      <c r="G5464" s="20">
        <f>+E5464*F5464</f>
        <v>3654</v>
      </c>
      <c r="H5464" s="211" t="s">
        <v>530</v>
      </c>
    </row>
    <row r="5465" spans="1:8">
      <c r="A5465" s="211" t="s">
        <v>487</v>
      </c>
      <c r="B5465" s="216" t="str">
        <f ca="1">_xlfn.CONCAT(B5460,A5465)</f>
        <v>285E1133-D</v>
      </c>
      <c r="C5465" s="17" t="str">
        <f>_xlfn.XLOOKUP(H5465,'Materiales unitario'!$A$1:$A$2500,'Materiales unitario'!B$1:B$2500,,0,1)</f>
        <v>Ducto telef. Y Electric. Corrugado TDP ø4" PVC</v>
      </c>
      <c r="D5465" s="184" t="str">
        <f>_xlfn.XLOOKUP(H5465,'Materiales unitario'!A$1:A$2500,'Materiales unitario'!C$1:C$2500,,0,1)</f>
        <v>ml</v>
      </c>
      <c r="E5465" s="197">
        <f>_xlfn.XLOOKUP(H5465,'Materiales unitario'!$A$1:$A$2500,'Materiales unitario'!D$1:D$2500,,0,1)</f>
        <v>15680</v>
      </c>
      <c r="F5465" s="19">
        <v>1.1000000000000001</v>
      </c>
      <c r="G5465" s="20">
        <f>+E5465*F5465</f>
        <v>17248</v>
      </c>
      <c r="H5465" s="211" t="s">
        <v>316</v>
      </c>
    </row>
    <row r="5466" spans="1:8">
      <c r="A5466" s="211" t="s">
        <v>488</v>
      </c>
      <c r="B5466" s="216" t="str">
        <f ca="1">_xlfn.CONCAT(B5460,A5466)</f>
        <v>285E1133-E</v>
      </c>
      <c r="C5466" s="17" t="str">
        <f>_xlfn.XLOOKUP(H5466,'Materiales unitario'!$A$1:$A$2500,'Materiales unitario'!B$1:B$2500,,0,1)</f>
        <v>Campana terminal ducto ø4" PVC</v>
      </c>
      <c r="D5466" s="184" t="str">
        <f>_xlfn.XLOOKUP(H5466,'Materiales unitario'!A$1:A$2500,'Materiales unitario'!C$1:C$2500,,0,1)</f>
        <v>un</v>
      </c>
      <c r="E5466" s="197">
        <f>_xlfn.XLOOKUP(H5466,'Materiales unitario'!$A$1:$A$2500,'Materiales unitario'!D$1:D$2500,,0,1)</f>
        <v>8388.6</v>
      </c>
      <c r="F5466" s="19">
        <v>0.2</v>
      </c>
      <c r="G5466" s="20">
        <f>+E5466*F5466</f>
        <v>1677.7200000000003</v>
      </c>
      <c r="H5466" s="211" t="s">
        <v>287</v>
      </c>
    </row>
    <row r="5467" spans="1:8">
      <c r="A5467" s="211" t="s">
        <v>489</v>
      </c>
      <c r="B5467" s="216" t="str">
        <f ca="1">_xlfn.CONCAT(B5460,A5467)</f>
        <v>285E1133-F</v>
      </c>
      <c r="C5467" s="17"/>
      <c r="D5467" s="184"/>
      <c r="E5467" s="197"/>
      <c r="F5467" s="19"/>
      <c r="G5467" s="20"/>
    </row>
    <row r="5468" spans="1:8">
      <c r="A5468" s="211" t="s">
        <v>490</v>
      </c>
      <c r="B5468" s="216" t="str">
        <f ca="1">_xlfn.CONCAT(B5460,A5468)</f>
        <v>285E1133-G</v>
      </c>
      <c r="C5468" s="17"/>
      <c r="D5468" s="184"/>
      <c r="E5468" s="197"/>
      <c r="F5468" s="19"/>
      <c r="G5468" s="20"/>
    </row>
    <row r="5469" spans="1:8">
      <c r="A5469" s="211" t="s">
        <v>491</v>
      </c>
      <c r="B5469" s="216" t="str">
        <f ca="1">_xlfn.CONCAT(B5460,A5469)</f>
        <v>285E1133-H</v>
      </c>
      <c r="C5469" s="17"/>
      <c r="D5469" s="184"/>
      <c r="E5469" s="197"/>
      <c r="F5469" s="19"/>
      <c r="G5469" s="20"/>
    </row>
    <row r="5470" spans="1:8">
      <c r="A5470" s="211" t="s">
        <v>492</v>
      </c>
      <c r="B5470" s="216" t="str">
        <f ca="1">_xlfn.CONCAT(B5460,A5470)</f>
        <v>285E1133-I</v>
      </c>
      <c r="C5470" s="17"/>
      <c r="D5470" s="184"/>
      <c r="E5470" s="197"/>
      <c r="F5470" s="19"/>
      <c r="G5470" s="20"/>
    </row>
    <row r="5471" spans="1:8">
      <c r="A5471" s="211" t="s">
        <v>493</v>
      </c>
      <c r="B5471" s="216" t="str">
        <f ca="1">_xlfn.CONCAT(B5460,A5471)</f>
        <v>285E1133-J</v>
      </c>
      <c r="C5471" s="17"/>
      <c r="D5471" s="184"/>
      <c r="E5471" s="197"/>
      <c r="F5471" s="19"/>
      <c r="G5471" s="20"/>
    </row>
    <row r="5472" spans="1:8">
      <c r="A5472" s="211" t="s">
        <v>494</v>
      </c>
      <c r="B5472" s="216" t="str">
        <f ca="1">_xlfn.CONCAT(B5460,A5472)</f>
        <v>285E1133-K</v>
      </c>
      <c r="C5472" s="17"/>
      <c r="D5472" s="184"/>
      <c r="E5472" s="197"/>
      <c r="F5472" s="19"/>
      <c r="G5472" s="20"/>
    </row>
    <row r="5473" spans="1:8">
      <c r="A5473" s="211" t="s">
        <v>495</v>
      </c>
      <c r="B5473" s="216" t="str">
        <f ca="1">_xlfn.CONCAT(B5460,A5473)</f>
        <v>285E1133-L</v>
      </c>
      <c r="C5473" s="17"/>
      <c r="D5473" s="184"/>
      <c r="E5473" s="197"/>
      <c r="F5473" s="19"/>
      <c r="G5473" s="20"/>
    </row>
    <row r="5474" spans="1:8">
      <c r="A5474" s="211" t="s">
        <v>496</v>
      </c>
      <c r="B5474" s="216" t="str">
        <f ca="1">_xlfn.CONCAT(B5460,A5474)</f>
        <v>285E1133-M</v>
      </c>
      <c r="C5474" s="17"/>
      <c r="D5474" s="184"/>
      <c r="E5474" s="197"/>
      <c r="F5474" s="19"/>
      <c r="G5474" s="20"/>
    </row>
    <row r="5475" spans="1:8">
      <c r="A5475" s="211" t="s">
        <v>497</v>
      </c>
      <c r="B5475" s="216" t="str">
        <f ca="1">_xlfn.CONCAT(B5460,A5475)</f>
        <v>285E1133-N</v>
      </c>
      <c r="C5475" s="17"/>
      <c r="D5475" s="184"/>
      <c r="E5475" s="197"/>
      <c r="F5475" s="19"/>
      <c r="G5475" s="20"/>
    </row>
    <row r="5476" spans="1:8">
      <c r="A5476" s="211" t="s">
        <v>498</v>
      </c>
      <c r="B5476" s="216" t="str">
        <f ca="1">_xlfn.CONCAT(B5460,A5476)</f>
        <v>285E1133-O</v>
      </c>
      <c r="C5476" s="17"/>
      <c r="D5476" s="184"/>
      <c r="E5476" s="197"/>
      <c r="F5476" s="19"/>
      <c r="G5476" s="20"/>
    </row>
    <row r="5477" spans="1:8">
      <c r="A5477" s="211" t="s">
        <v>499</v>
      </c>
      <c r="B5477" s="216" t="str">
        <f ca="1">_xlfn.CONCAT(B5460,A5477)</f>
        <v>285E1133-P</v>
      </c>
      <c r="C5477" s="17"/>
      <c r="D5477" s="184"/>
      <c r="E5477" s="197"/>
      <c r="F5477" s="19"/>
      <c r="G5477" s="20"/>
    </row>
    <row r="5478" spans="1:8">
      <c r="A5478" s="211" t="s">
        <v>500</v>
      </c>
      <c r="B5478" s="216" t="str">
        <f ca="1">_xlfn.CONCAT(B5460,A5478)</f>
        <v>285E1133-Q</v>
      </c>
      <c r="C5478" s="17"/>
      <c r="D5478" s="184"/>
      <c r="E5478" s="197"/>
      <c r="F5478" s="19"/>
      <c r="G5478" s="20"/>
    </row>
    <row r="5479" spans="1:8">
      <c r="A5479" s="211" t="s">
        <v>501</v>
      </c>
      <c r="B5479" s="216" t="str">
        <f ca="1">_xlfn.CONCAT(B5460,A5479)</f>
        <v>285E1133-R</v>
      </c>
      <c r="C5479" s="17"/>
      <c r="D5479" s="184"/>
      <c r="E5479" s="197"/>
      <c r="F5479" s="19"/>
      <c r="G5479" s="20"/>
    </row>
    <row r="5480" spans="1:8">
      <c r="A5480" s="211" t="s">
        <v>502</v>
      </c>
      <c r="B5480" s="216" t="str">
        <f ca="1">_xlfn.CONCAT(B5460,A5480)</f>
        <v>285E1133-S</v>
      </c>
      <c r="C5480" s="17"/>
      <c r="D5480" s="184"/>
      <c r="E5480" s="197"/>
      <c r="F5480" s="19"/>
      <c r="G5480" s="20"/>
    </row>
    <row r="5481" spans="1:8">
      <c r="A5481" s="211" t="s">
        <v>503</v>
      </c>
      <c r="B5481" s="216" t="str">
        <f ca="1">_xlfn.CONCAT(B5460,A5481)</f>
        <v>285E1133-T</v>
      </c>
      <c r="C5481" s="17"/>
      <c r="D5481" s="184"/>
      <c r="E5481" s="197"/>
      <c r="F5481" s="19"/>
      <c r="G5481" s="20"/>
    </row>
    <row r="5482" spans="1:8" ht="14.25" thickBot="1">
      <c r="A5482" s="211" t="s">
        <v>504</v>
      </c>
      <c r="B5482" s="216" t="str">
        <f ca="1">_xlfn.CONCAT(B5460,A5482)</f>
        <v>285E1133-U</v>
      </c>
      <c r="C5482" s="17"/>
      <c r="D5482" s="184"/>
      <c r="E5482" s="197"/>
      <c r="F5482" s="19"/>
      <c r="G5482" s="20"/>
    </row>
    <row r="5483" spans="1:8" ht="14.25" thickBot="1">
      <c r="A5483" s="211" t="s">
        <v>505</v>
      </c>
      <c r="B5483" s="216" t="str">
        <f ca="1">_xlfn.CONCAT(B5460,A5483)</f>
        <v>285E1133-V</v>
      </c>
      <c r="C5483" s="17" t="s">
        <v>17</v>
      </c>
      <c r="D5483" s="192" t="s">
        <v>17</v>
      </c>
      <c r="E5483" s="18"/>
      <c r="F5483" s="22" t="s">
        <v>18</v>
      </c>
      <c r="G5483" s="23">
        <f>SUM(G5462:G5482)</f>
        <v>48074.720000000001</v>
      </c>
    </row>
    <row r="5484" spans="1:8" ht="15.75" thickBot="1">
      <c r="A5484" s="211" t="s">
        <v>506</v>
      </c>
      <c r="B5484" s="216" t="str">
        <f ca="1">_xlfn.CONCAT(B5460,A5484)</f>
        <v>285E1133-W</v>
      </c>
      <c r="C5484" s="10" t="s">
        <v>19</v>
      </c>
      <c r="D5484" s="190"/>
      <c r="E5484" s="11"/>
      <c r="F5484" s="12"/>
      <c r="G5484" s="13"/>
    </row>
    <row r="5485" spans="1:8" ht="14.25" thickBot="1">
      <c r="A5485" s="211" t="s">
        <v>507</v>
      </c>
      <c r="B5485" s="216" t="str">
        <f ca="1">_xlfn.CONCAT(B5460,A5485)</f>
        <v>285E1133-X</v>
      </c>
      <c r="C5485" s="14" t="s">
        <v>1</v>
      </c>
      <c r="D5485" s="15"/>
      <c r="E5485" s="15" t="s">
        <v>20</v>
      </c>
      <c r="F5485" s="16" t="s">
        <v>21</v>
      </c>
      <c r="G5485" s="15" t="s">
        <v>5</v>
      </c>
      <c r="H5485" s="215"/>
    </row>
    <row r="5486" spans="1:8">
      <c r="A5486" s="211" t="s">
        <v>508</v>
      </c>
      <c r="B5486" s="216" t="str">
        <f ca="1">_xlfn.CONCAT(B5460,A5486)</f>
        <v>285E1133-Y</v>
      </c>
      <c r="C5486" s="24" t="s">
        <v>22</v>
      </c>
      <c r="D5486" s="184"/>
      <c r="E5486" s="25">
        <f>_xlfn.XLOOKUP(C5486,'H-MO'!B$7:B$30,'H-MO'!D$7:D$30,,0,1)</f>
        <v>2436.5624999999995</v>
      </c>
      <c r="F5486" s="19">
        <v>0.35</v>
      </c>
      <c r="G5486" s="33">
        <f t="shared" ref="G5486:G5491" si="158">+E5486*F5486</f>
        <v>852.79687499999977</v>
      </c>
    </row>
    <row r="5487" spans="1:8">
      <c r="A5487" s="211" t="s">
        <v>509</v>
      </c>
      <c r="B5487" s="216" t="str">
        <f ca="1">_xlfn.CONCAT(B5460,A5487)</f>
        <v>285E1133-Z</v>
      </c>
      <c r="C5487" s="24" t="s">
        <v>23</v>
      </c>
      <c r="D5487" s="184"/>
      <c r="E5487" s="25">
        <f>_xlfn.XLOOKUP(C5487,'H-MO'!B$7:B$30,'H-MO'!D$7:D$30,,0,1)</f>
        <v>1461.9374999999998</v>
      </c>
      <c r="F5487" s="19">
        <v>1.4</v>
      </c>
      <c r="G5487" s="33">
        <f t="shared" si="158"/>
        <v>2046.7124999999996</v>
      </c>
    </row>
    <row r="5488" spans="1:8">
      <c r="A5488" s="211" t="s">
        <v>510</v>
      </c>
      <c r="B5488" s="216" t="str">
        <f ca="1">_xlfn.CONCAT(B5460,A5488)</f>
        <v>285E1133-aa</v>
      </c>
      <c r="C5488" s="24" t="s">
        <v>24</v>
      </c>
      <c r="D5488" s="185"/>
      <c r="E5488" s="25">
        <f>_xlfn.XLOOKUP(C5488,'H-MO'!B$7:B$30,'H-MO'!D$7:D$30,,0,1)</f>
        <v>29238.749999999996</v>
      </c>
      <c r="F5488" s="28">
        <v>0.2</v>
      </c>
      <c r="G5488" s="33">
        <f t="shared" si="158"/>
        <v>5847.75</v>
      </c>
    </row>
    <row r="5489" spans="1:8">
      <c r="A5489" s="211" t="s">
        <v>511</v>
      </c>
      <c r="B5489" s="216" t="str">
        <f ca="1">_xlfn.CONCAT(B5460,A5489)</f>
        <v>285E1133-ab</v>
      </c>
      <c r="C5489" s="24" t="s">
        <v>25</v>
      </c>
      <c r="D5489" s="185"/>
      <c r="E5489" s="25">
        <f>_xlfn.XLOOKUP(C5489,'H-MO'!B$7:B$30,'H-MO'!D$7:D$30,,0,1)</f>
        <v>2761.4374999999995</v>
      </c>
      <c r="F5489" s="28">
        <v>0.3</v>
      </c>
      <c r="G5489" s="33">
        <f t="shared" si="158"/>
        <v>828.43124999999986</v>
      </c>
    </row>
    <row r="5490" spans="1:8">
      <c r="A5490" s="211" t="s">
        <v>512</v>
      </c>
      <c r="B5490" s="216" t="str">
        <f ca="1">_xlfn.CONCAT(B5460,A5490)</f>
        <v>285E1133-ac</v>
      </c>
      <c r="C5490" s="24"/>
      <c r="D5490" s="185"/>
      <c r="E5490" s="29"/>
      <c r="F5490" s="28">
        <v>0</v>
      </c>
      <c r="G5490" s="33">
        <f t="shared" si="158"/>
        <v>0</v>
      </c>
    </row>
    <row r="5491" spans="1:8" ht="14.25" thickBot="1">
      <c r="A5491" s="211" t="s">
        <v>513</v>
      </c>
      <c r="B5491" s="216" t="str">
        <f ca="1">_xlfn.CONCAT(B5460,A5491)</f>
        <v>285E1133-ad</v>
      </c>
      <c r="C5491" s="24"/>
      <c r="D5491" s="185"/>
      <c r="E5491" s="29"/>
      <c r="F5491" s="28">
        <v>0</v>
      </c>
      <c r="G5491" s="33">
        <f t="shared" si="158"/>
        <v>0</v>
      </c>
    </row>
    <row r="5492" spans="1:8" ht="14.25" thickBot="1">
      <c r="A5492" s="211" t="s">
        <v>514</v>
      </c>
      <c r="B5492" s="216" t="str">
        <f ca="1">_xlfn.CONCAT(B5460,A5492)</f>
        <v>285E1133-ae</v>
      </c>
      <c r="C5492" s="17"/>
      <c r="D5492" s="192"/>
      <c r="E5492" s="18"/>
      <c r="F5492" s="22" t="s">
        <v>26</v>
      </c>
      <c r="G5492" s="23">
        <f>SUM(G5486:G5491)</f>
        <v>9575.6906249999993</v>
      </c>
    </row>
    <row r="5493" spans="1:8" ht="15.75" thickBot="1">
      <c r="A5493" s="211" t="s">
        <v>515</v>
      </c>
      <c r="B5493" s="216" t="str">
        <f ca="1">_xlfn.CONCAT(B5460,A5493)</f>
        <v>285E1133-af</v>
      </c>
      <c r="C5493" s="10" t="s">
        <v>27</v>
      </c>
      <c r="D5493" s="190"/>
      <c r="E5493" s="11"/>
      <c r="F5493" s="12"/>
      <c r="G5493" s="13"/>
    </row>
    <row r="5494" spans="1:8" ht="14.25" thickBot="1">
      <c r="A5494" s="211" t="s">
        <v>516</v>
      </c>
      <c r="B5494" s="216" t="str">
        <f ca="1">_xlfn.CONCAT(B5460,A5494)</f>
        <v>285E1133-ag</v>
      </c>
      <c r="C5494" s="14" t="s">
        <v>1</v>
      </c>
      <c r="D5494" s="15" t="s">
        <v>28</v>
      </c>
      <c r="E5494" s="15" t="s">
        <v>20</v>
      </c>
      <c r="F5494" s="16" t="s">
        <v>21</v>
      </c>
      <c r="G5494" s="15" t="s">
        <v>5</v>
      </c>
      <c r="H5494" s="215"/>
    </row>
    <row r="5495" spans="1:8">
      <c r="A5495" s="211" t="s">
        <v>517</v>
      </c>
      <c r="B5495" s="216" t="str">
        <f ca="1">_xlfn.CONCAT(B5460,A5495)</f>
        <v>285E1133-ah</v>
      </c>
      <c r="C5495" s="30" t="s">
        <v>29</v>
      </c>
      <c r="D5495" s="186">
        <f>'H-MO'!$N$77</f>
        <v>725918.52892505517</v>
      </c>
      <c r="E5495" s="31">
        <f>+D5495/8</f>
        <v>90739.816115631897</v>
      </c>
      <c r="F5495" s="32">
        <v>7.0000000000000007E-2</v>
      </c>
      <c r="G5495" s="33">
        <f>+E5495*F5495</f>
        <v>6351.7871280942336</v>
      </c>
    </row>
    <row r="5496" spans="1:8">
      <c r="A5496" s="211" t="s">
        <v>518</v>
      </c>
      <c r="B5496" s="216" t="str">
        <f ca="1">_xlfn.CONCAT(B5460,A5496)</f>
        <v>285E1133-ai</v>
      </c>
      <c r="C5496" s="34" t="s">
        <v>30</v>
      </c>
      <c r="D5496" s="187">
        <f>'H-MO'!$N$86</f>
        <v>685561.39085756091</v>
      </c>
      <c r="E5496" s="29">
        <f>+D5496/8</f>
        <v>85695.173857195114</v>
      </c>
      <c r="F5496" s="28">
        <v>0.14000000000000001</v>
      </c>
      <c r="G5496" s="33">
        <f>+E5496*F5496</f>
        <v>11997.324340007317</v>
      </c>
    </row>
    <row r="5497" spans="1:8" ht="14.25" thickBot="1">
      <c r="A5497" s="211" t="s">
        <v>519</v>
      </c>
      <c r="B5497" s="216" t="str">
        <f ca="1">_xlfn.CONCAT(B5460,A5497)</f>
        <v>285E1133-aj</v>
      </c>
      <c r="C5497" s="34"/>
      <c r="D5497" s="187"/>
      <c r="E5497" s="29"/>
      <c r="F5497" s="28">
        <v>0</v>
      </c>
      <c r="G5497" s="33">
        <f>+E5497*F5497</f>
        <v>0</v>
      </c>
    </row>
    <row r="5498" spans="1:8" ht="14.25" thickBot="1">
      <c r="A5498" s="211" t="s">
        <v>520</v>
      </c>
      <c r="B5498" s="216" t="str">
        <f ca="1">_xlfn.CONCAT(B5460,A5498)</f>
        <v>285E1133-ak</v>
      </c>
      <c r="C5498" s="34"/>
      <c r="D5498" s="185"/>
      <c r="E5498" s="26"/>
      <c r="F5498" s="36" t="s">
        <v>31</v>
      </c>
      <c r="G5498" s="23">
        <f>SUM(G5495:G5497)</f>
        <v>18349.11146810155</v>
      </c>
    </row>
    <row r="5499" spans="1:8" ht="14.25" thickBot="1">
      <c r="A5499" s="211" t="s">
        <v>521</v>
      </c>
      <c r="B5499" s="216" t="str">
        <f ca="1">_xlfn.CONCAT(B5460,A5499)</f>
        <v>285E1133-al</v>
      </c>
      <c r="C5499" s="37"/>
      <c r="E5499" s="38"/>
      <c r="F5499" s="22"/>
      <c r="G5499" s="39"/>
    </row>
    <row r="5500" spans="1:8" ht="16.5" thickBot="1">
      <c r="A5500" s="211" t="s">
        <v>522</v>
      </c>
      <c r="B5500" s="216" t="str">
        <f ca="1">_xlfn.CONCAT(B5460,A5500)</f>
        <v>285E1133-am</v>
      </c>
      <c r="C5500" s="40"/>
      <c r="D5500" s="193"/>
      <c r="E5500" s="41"/>
      <c r="F5500" s="42"/>
      <c r="G5500" s="43">
        <f>+G5483+G5492+G5498</f>
        <v>75999.52209310155</v>
      </c>
    </row>
    <row r="5501" spans="1:8" ht="21.75" thickBot="1">
      <c r="B5501" s="212" t="s">
        <v>550</v>
      </c>
      <c r="C5501" s="2"/>
      <c r="D5501" s="183"/>
      <c r="F5501" s="4"/>
      <c r="G5501" s="5"/>
    </row>
    <row r="5502" spans="1:8" ht="18.75">
      <c r="A5502" s="213"/>
      <c r="B5502" s="214">
        <v>126</v>
      </c>
      <c r="C5502" s="242" t="str">
        <f ca="1">_xlfn.XLOOKUP(B5502,Cantidades!$A$10:$A$314,Cantidades!$C$10:$C$314,,0,1)</f>
        <v>Suministro e instalación de ductos  1Ø3+2Ø2" PVC</v>
      </c>
      <c r="D5502" s="243"/>
      <c r="E5502" s="243"/>
      <c r="F5502" s="243"/>
      <c r="G5502" s="244"/>
      <c r="H5502" s="213"/>
    </row>
    <row r="5503" spans="1:8" ht="19.5" thickBot="1">
      <c r="A5503" s="215"/>
      <c r="B5503" s="216" t="s">
        <v>550</v>
      </c>
      <c r="C5503" s="177"/>
      <c r="D5503" s="189"/>
      <c r="E5503" s="178"/>
      <c r="F5503" s="179" t="s">
        <v>636</v>
      </c>
      <c r="G5503" s="209" t="str">
        <f ca="1">B5504</f>
        <v>3A2EC6FE-</v>
      </c>
      <c r="H5503" s="215"/>
    </row>
    <row r="5504" spans="1:8" ht="15.75" thickBot="1">
      <c r="B5504" s="212" t="str">
        <f ca="1">_xlfn.XLOOKUP(C5502,Cantidades!$C$1:$C$314,Cantidades!$B$1:$B$314,"",0,1)</f>
        <v>3A2EC6FE-</v>
      </c>
      <c r="C5504" s="10" t="s">
        <v>0</v>
      </c>
      <c r="D5504" s="190"/>
      <c r="E5504" s="11"/>
      <c r="F5504" s="12"/>
      <c r="G5504" s="13"/>
    </row>
    <row r="5505" spans="1:8" ht="14.25" thickBot="1">
      <c r="A5505" s="215"/>
      <c r="B5505" s="216" t="s">
        <v>550</v>
      </c>
      <c r="C5505" s="14" t="s">
        <v>1</v>
      </c>
      <c r="D5505" s="15" t="s">
        <v>2</v>
      </c>
      <c r="E5505" s="15" t="s">
        <v>3</v>
      </c>
      <c r="F5505" s="16" t="s">
        <v>4</v>
      </c>
      <c r="G5505" s="15" t="s">
        <v>5</v>
      </c>
    </row>
    <row r="5506" spans="1:8">
      <c r="A5506" s="211" t="s">
        <v>484</v>
      </c>
      <c r="B5506" s="216" t="str">
        <f ca="1">_xlfn.CONCAT(B5504,A5506)</f>
        <v>3A2EC6FE-A</v>
      </c>
      <c r="C5506" s="17" t="str">
        <f>_xlfn.XLOOKUP(H5506,'Materiales unitario'!$A$1:$A$2500,'Materiales unitario'!B$1:B$2500,,0,1)</f>
        <v>Ducto telef. Y Electric. pesado TDP ø2" PVC</v>
      </c>
      <c r="D5506" s="184" t="str">
        <f>_xlfn.XLOOKUP(H5506,'Materiales unitario'!A$1:A$2500,'Materiales unitario'!C$1:C$2500,,0,1)</f>
        <v>ml</v>
      </c>
      <c r="E5506" s="197">
        <f>_xlfn.XLOOKUP(H5506,'Materiales unitario'!$A$1:$A$2500,'Materiales unitario'!D$1:D$2500,,0,1)</f>
        <v>6520</v>
      </c>
      <c r="F5506" s="19">
        <v>2.4</v>
      </c>
      <c r="G5506" s="20">
        <f>+E5506*F5506</f>
        <v>15648</v>
      </c>
      <c r="H5506" s="211" t="s">
        <v>1196</v>
      </c>
    </row>
    <row r="5507" spans="1:8">
      <c r="A5507" s="211" t="s">
        <v>485</v>
      </c>
      <c r="B5507" s="216" t="str">
        <f ca="1">_xlfn.CONCAT(B5504,A5507)</f>
        <v>3A2EC6FE-B</v>
      </c>
      <c r="C5507" s="17" t="str">
        <f>_xlfn.XLOOKUP(H5507,'Materiales unitario'!$A$1:$A$2500,'Materiales unitario'!B$1:B$2500,,0,1)</f>
        <v>Campana terminal ducto ø2" PVC</v>
      </c>
      <c r="D5507" s="184" t="str">
        <f>_xlfn.XLOOKUP(H5507,'Materiales unitario'!A$1:A$2500,'Materiales unitario'!C$1:C$2500,,0,1)</f>
        <v>un</v>
      </c>
      <c r="E5507" s="197">
        <f>_xlfn.XLOOKUP(H5507,'Materiales unitario'!$A$1:$A$2500,'Materiales unitario'!D$1:D$2500,,0,1)</f>
        <v>4046</v>
      </c>
      <c r="F5507" s="19">
        <v>0.5</v>
      </c>
      <c r="G5507" s="20">
        <f>+E5507*F5507</f>
        <v>2023</v>
      </c>
      <c r="H5507" s="211" t="s">
        <v>286</v>
      </c>
    </row>
    <row r="5508" spans="1:8">
      <c r="A5508" s="211" t="s">
        <v>486</v>
      </c>
      <c r="B5508" s="216" t="str">
        <f ca="1">_xlfn.CONCAT(B5504,A5508)</f>
        <v>3A2EC6FE-C</v>
      </c>
      <c r="C5508" s="17" t="str">
        <f>_xlfn.XLOOKUP(H5508,'Materiales unitario'!$A$1:$A$2500,'Materiales unitario'!B$1:B$2500,,0,1)</f>
        <v>Soldadura liquida PVC 1/4 de galón</v>
      </c>
      <c r="D5508" s="184" t="str">
        <f>_xlfn.XLOOKUP(H5508,'Materiales unitario'!A$1:A$2500,'Materiales unitario'!C$1:C$2500,,0,1)</f>
        <v>un</v>
      </c>
      <c r="E5508" s="197">
        <f>_xlfn.XLOOKUP(H5508,'Materiales unitario'!$A$1:$A$2500,'Materiales unitario'!D$1:D$2500,,0,1)</f>
        <v>60900</v>
      </c>
      <c r="F5508" s="19">
        <v>0.06</v>
      </c>
      <c r="G5508" s="20">
        <f>+E5508*F5508</f>
        <v>3654</v>
      </c>
      <c r="H5508" s="211" t="s">
        <v>530</v>
      </c>
    </row>
    <row r="5509" spans="1:8">
      <c r="A5509" s="211" t="s">
        <v>487</v>
      </c>
      <c r="B5509" s="216" t="str">
        <f ca="1">_xlfn.CONCAT(B5504,A5509)</f>
        <v>3A2EC6FE-D</v>
      </c>
      <c r="C5509" s="17" t="str">
        <f>_xlfn.XLOOKUP(H5509,'Materiales unitario'!$A$1:$A$2500,'Materiales unitario'!B$1:B$2500,,0,1)</f>
        <v>Ducto telef. Y Electric. Corrugado TDP ø3" PVC</v>
      </c>
      <c r="D5509" s="184" t="str">
        <f>_xlfn.XLOOKUP(H5509,'Materiales unitario'!A$1:A$2500,'Materiales unitario'!C$1:C$2500,,0,1)</f>
        <v>ml</v>
      </c>
      <c r="E5509" s="197">
        <f>_xlfn.XLOOKUP(H5509,'Materiales unitario'!$A$1:$A$2500,'Materiales unitario'!D$1:D$2500,,0,1)</f>
        <v>12880</v>
      </c>
      <c r="F5509" s="19">
        <v>1.1000000000000001</v>
      </c>
      <c r="G5509" s="20">
        <f>+E5509*F5509</f>
        <v>14168.000000000002</v>
      </c>
      <c r="H5509" s="211" t="s">
        <v>1191</v>
      </c>
    </row>
    <row r="5510" spans="1:8">
      <c r="A5510" s="211" t="s">
        <v>488</v>
      </c>
      <c r="B5510" s="216" t="str">
        <f ca="1">_xlfn.CONCAT(B5504,A5510)</f>
        <v>3A2EC6FE-E</v>
      </c>
      <c r="C5510" s="17" t="str">
        <f>_xlfn.XLOOKUP(H5510,'Materiales unitario'!$A$1:$A$2500,'Materiales unitario'!B$1:B$2500,,0,1)</f>
        <v>Campana terminal ducto ø3" PVC</v>
      </c>
      <c r="D5510" s="184" t="str">
        <f>_xlfn.XLOOKUP(H5510,'Materiales unitario'!A$1:A$2500,'Materiales unitario'!C$1:C$2500,,0,1)</f>
        <v>un</v>
      </c>
      <c r="E5510" s="197">
        <f>_xlfn.XLOOKUP(H5510,'Materiales unitario'!$A$1:$A$2500,'Materiales unitario'!D$1:D$2500,,0,1)</f>
        <v>8640</v>
      </c>
      <c r="F5510" s="19">
        <v>0.2</v>
      </c>
      <c r="G5510" s="20">
        <f>+E5510*F5510</f>
        <v>1728</v>
      </c>
      <c r="H5510" s="211" t="s">
        <v>1193</v>
      </c>
    </row>
    <row r="5511" spans="1:8">
      <c r="A5511" s="211" t="s">
        <v>489</v>
      </c>
      <c r="B5511" s="216" t="str">
        <f ca="1">_xlfn.CONCAT(B5504,A5511)</f>
        <v>3A2EC6FE-F</v>
      </c>
      <c r="C5511" s="17"/>
      <c r="D5511" s="184"/>
      <c r="E5511" s="197"/>
      <c r="F5511" s="19"/>
      <c r="G5511" s="20"/>
    </row>
    <row r="5512" spans="1:8">
      <c r="A5512" s="211" t="s">
        <v>490</v>
      </c>
      <c r="B5512" s="216" t="str">
        <f ca="1">_xlfn.CONCAT(B5504,A5512)</f>
        <v>3A2EC6FE-G</v>
      </c>
      <c r="C5512" s="17"/>
      <c r="D5512" s="184"/>
      <c r="E5512" s="197"/>
      <c r="F5512" s="19"/>
      <c r="G5512" s="20"/>
    </row>
    <row r="5513" spans="1:8">
      <c r="A5513" s="211" t="s">
        <v>491</v>
      </c>
      <c r="B5513" s="216" t="str">
        <f ca="1">_xlfn.CONCAT(B5504,A5513)</f>
        <v>3A2EC6FE-H</v>
      </c>
      <c r="C5513" s="17"/>
      <c r="D5513" s="184"/>
      <c r="E5513" s="197"/>
      <c r="F5513" s="19"/>
      <c r="G5513" s="20"/>
    </row>
    <row r="5514" spans="1:8">
      <c r="A5514" s="211" t="s">
        <v>492</v>
      </c>
      <c r="B5514" s="216" t="str">
        <f ca="1">_xlfn.CONCAT(B5504,A5514)</f>
        <v>3A2EC6FE-I</v>
      </c>
      <c r="C5514" s="17"/>
      <c r="D5514" s="184"/>
      <c r="E5514" s="197"/>
      <c r="F5514" s="19"/>
      <c r="G5514" s="20"/>
    </row>
    <row r="5515" spans="1:8">
      <c r="A5515" s="211" t="s">
        <v>493</v>
      </c>
      <c r="B5515" s="216" t="str">
        <f ca="1">_xlfn.CONCAT(B5504,A5515)</f>
        <v>3A2EC6FE-J</v>
      </c>
      <c r="C5515" s="17"/>
      <c r="D5515" s="184"/>
      <c r="E5515" s="197"/>
      <c r="F5515" s="19"/>
      <c r="G5515" s="20"/>
    </row>
    <row r="5516" spans="1:8">
      <c r="A5516" s="211" t="s">
        <v>494</v>
      </c>
      <c r="B5516" s="216" t="str">
        <f ca="1">_xlfn.CONCAT(B5504,A5516)</f>
        <v>3A2EC6FE-K</v>
      </c>
      <c r="C5516" s="17"/>
      <c r="D5516" s="184"/>
      <c r="E5516" s="197"/>
      <c r="F5516" s="19"/>
      <c r="G5516" s="20"/>
    </row>
    <row r="5517" spans="1:8">
      <c r="A5517" s="211" t="s">
        <v>495</v>
      </c>
      <c r="B5517" s="216" t="str">
        <f ca="1">_xlfn.CONCAT(B5504,A5517)</f>
        <v>3A2EC6FE-L</v>
      </c>
      <c r="C5517" s="17"/>
      <c r="D5517" s="184"/>
      <c r="E5517" s="197"/>
      <c r="F5517" s="19"/>
      <c r="G5517" s="20"/>
    </row>
    <row r="5518" spans="1:8">
      <c r="A5518" s="211" t="s">
        <v>496</v>
      </c>
      <c r="B5518" s="216" t="str">
        <f ca="1">_xlfn.CONCAT(B5504,A5518)</f>
        <v>3A2EC6FE-M</v>
      </c>
      <c r="C5518" s="17"/>
      <c r="D5518" s="184"/>
      <c r="E5518" s="197"/>
      <c r="F5518" s="19"/>
      <c r="G5518" s="20"/>
    </row>
    <row r="5519" spans="1:8">
      <c r="A5519" s="211" t="s">
        <v>497</v>
      </c>
      <c r="B5519" s="216" t="str">
        <f ca="1">_xlfn.CONCAT(B5504,A5519)</f>
        <v>3A2EC6FE-N</v>
      </c>
      <c r="C5519" s="17"/>
      <c r="D5519" s="184"/>
      <c r="E5519" s="197"/>
      <c r="F5519" s="19"/>
      <c r="G5519" s="20"/>
    </row>
    <row r="5520" spans="1:8">
      <c r="A5520" s="211" t="s">
        <v>498</v>
      </c>
      <c r="B5520" s="216" t="str">
        <f ca="1">_xlfn.CONCAT(B5504,A5520)</f>
        <v>3A2EC6FE-O</v>
      </c>
      <c r="C5520" s="17"/>
      <c r="D5520" s="184"/>
      <c r="E5520" s="197"/>
      <c r="F5520" s="19"/>
      <c r="G5520" s="20"/>
    </row>
    <row r="5521" spans="1:8">
      <c r="A5521" s="211" t="s">
        <v>499</v>
      </c>
      <c r="B5521" s="216" t="str">
        <f ca="1">_xlfn.CONCAT(B5504,A5521)</f>
        <v>3A2EC6FE-P</v>
      </c>
      <c r="C5521" s="17"/>
      <c r="D5521" s="184"/>
      <c r="E5521" s="197"/>
      <c r="F5521" s="19"/>
      <c r="G5521" s="20"/>
    </row>
    <row r="5522" spans="1:8">
      <c r="A5522" s="211" t="s">
        <v>500</v>
      </c>
      <c r="B5522" s="216" t="str">
        <f ca="1">_xlfn.CONCAT(B5504,A5522)</f>
        <v>3A2EC6FE-Q</v>
      </c>
      <c r="C5522" s="17"/>
      <c r="D5522" s="184"/>
      <c r="E5522" s="197"/>
      <c r="F5522" s="19"/>
      <c r="G5522" s="20"/>
    </row>
    <row r="5523" spans="1:8">
      <c r="A5523" s="211" t="s">
        <v>501</v>
      </c>
      <c r="B5523" s="216" t="str">
        <f ca="1">_xlfn.CONCAT(B5504,A5523)</f>
        <v>3A2EC6FE-R</v>
      </c>
      <c r="C5523" s="17"/>
      <c r="D5523" s="184"/>
      <c r="E5523" s="197"/>
      <c r="F5523" s="19"/>
      <c r="G5523" s="20"/>
    </row>
    <row r="5524" spans="1:8">
      <c r="A5524" s="211" t="s">
        <v>502</v>
      </c>
      <c r="B5524" s="216" t="str">
        <f ca="1">_xlfn.CONCAT(B5504,A5524)</f>
        <v>3A2EC6FE-S</v>
      </c>
      <c r="C5524" s="17"/>
      <c r="D5524" s="184"/>
      <c r="E5524" s="197"/>
      <c r="F5524" s="19"/>
      <c r="G5524" s="20"/>
    </row>
    <row r="5525" spans="1:8">
      <c r="A5525" s="211" t="s">
        <v>503</v>
      </c>
      <c r="B5525" s="216" t="str">
        <f ca="1">_xlfn.CONCAT(B5504,A5525)</f>
        <v>3A2EC6FE-T</v>
      </c>
      <c r="C5525" s="17"/>
      <c r="D5525" s="184"/>
      <c r="E5525" s="197"/>
      <c r="F5525" s="19"/>
      <c r="G5525" s="20"/>
    </row>
    <row r="5526" spans="1:8" ht="14.25" thickBot="1">
      <c r="A5526" s="211" t="s">
        <v>504</v>
      </c>
      <c r="B5526" s="216" t="str">
        <f ca="1">_xlfn.CONCAT(B5504,A5526)</f>
        <v>3A2EC6FE-U</v>
      </c>
      <c r="C5526" s="17"/>
      <c r="D5526" s="184"/>
      <c r="E5526" s="197"/>
      <c r="F5526" s="19"/>
      <c r="G5526" s="20"/>
    </row>
    <row r="5527" spans="1:8" ht="14.25" thickBot="1">
      <c r="A5527" s="211" t="s">
        <v>505</v>
      </c>
      <c r="B5527" s="216" t="str">
        <f ca="1">_xlfn.CONCAT(B5504,A5527)</f>
        <v>3A2EC6FE-V</v>
      </c>
      <c r="C5527" s="17" t="s">
        <v>17</v>
      </c>
      <c r="D5527" s="192" t="s">
        <v>17</v>
      </c>
      <c r="E5527" s="18"/>
      <c r="F5527" s="22" t="s">
        <v>18</v>
      </c>
      <c r="G5527" s="23">
        <f>SUM(G5506:G5526)</f>
        <v>37221</v>
      </c>
    </row>
    <row r="5528" spans="1:8" ht="15.75" thickBot="1">
      <c r="A5528" s="211" t="s">
        <v>506</v>
      </c>
      <c r="B5528" s="216" t="str">
        <f ca="1">_xlfn.CONCAT(B5504,A5528)</f>
        <v>3A2EC6FE-W</v>
      </c>
      <c r="C5528" s="10" t="s">
        <v>19</v>
      </c>
      <c r="D5528" s="190"/>
      <c r="E5528" s="11"/>
      <c r="F5528" s="12"/>
      <c r="G5528" s="13"/>
    </row>
    <row r="5529" spans="1:8" ht="14.25" thickBot="1">
      <c r="A5529" s="211" t="s">
        <v>507</v>
      </c>
      <c r="B5529" s="216" t="str">
        <f ca="1">_xlfn.CONCAT(B5504,A5529)</f>
        <v>3A2EC6FE-X</v>
      </c>
      <c r="C5529" s="14" t="s">
        <v>1</v>
      </c>
      <c r="D5529" s="15"/>
      <c r="E5529" s="15" t="s">
        <v>20</v>
      </c>
      <c r="F5529" s="16" t="s">
        <v>21</v>
      </c>
      <c r="G5529" s="15" t="s">
        <v>5</v>
      </c>
      <c r="H5529" s="215"/>
    </row>
    <row r="5530" spans="1:8">
      <c r="A5530" s="211" t="s">
        <v>508</v>
      </c>
      <c r="B5530" s="216" t="str">
        <f ca="1">_xlfn.CONCAT(B5504,A5530)</f>
        <v>3A2EC6FE-Y</v>
      </c>
      <c r="C5530" s="24" t="s">
        <v>22</v>
      </c>
      <c r="D5530" s="184"/>
      <c r="E5530" s="25">
        <f>_xlfn.XLOOKUP(C5530,'H-MO'!B$7:B$30,'H-MO'!D$7:D$30,,0,1)</f>
        <v>2436.5624999999995</v>
      </c>
      <c r="F5530" s="19">
        <v>0.35</v>
      </c>
      <c r="G5530" s="33">
        <f t="shared" ref="G5530:G5535" si="159">+E5530*F5530</f>
        <v>852.79687499999977</v>
      </c>
    </row>
    <row r="5531" spans="1:8">
      <c r="A5531" s="211" t="s">
        <v>509</v>
      </c>
      <c r="B5531" s="216" t="str">
        <f ca="1">_xlfn.CONCAT(B5504,A5531)</f>
        <v>3A2EC6FE-Z</v>
      </c>
      <c r="C5531" s="24" t="s">
        <v>23</v>
      </c>
      <c r="D5531" s="184"/>
      <c r="E5531" s="25">
        <f>_xlfn.XLOOKUP(C5531,'H-MO'!B$7:B$30,'H-MO'!D$7:D$30,,0,1)</f>
        <v>1461.9374999999998</v>
      </c>
      <c r="F5531" s="19">
        <v>1.4</v>
      </c>
      <c r="G5531" s="33">
        <f t="shared" si="159"/>
        <v>2046.7124999999996</v>
      </c>
    </row>
    <row r="5532" spans="1:8">
      <c r="A5532" s="211" t="s">
        <v>510</v>
      </c>
      <c r="B5532" s="216" t="str">
        <f ca="1">_xlfn.CONCAT(B5504,A5532)</f>
        <v>3A2EC6FE-aa</v>
      </c>
      <c r="C5532" s="24" t="s">
        <v>24</v>
      </c>
      <c r="D5532" s="185"/>
      <c r="E5532" s="25">
        <f>_xlfn.XLOOKUP(C5532,'H-MO'!B$7:B$30,'H-MO'!D$7:D$30,,0,1)</f>
        <v>29238.749999999996</v>
      </c>
      <c r="F5532" s="28">
        <v>0.2</v>
      </c>
      <c r="G5532" s="33">
        <f t="shared" si="159"/>
        <v>5847.75</v>
      </c>
    </row>
    <row r="5533" spans="1:8">
      <c r="A5533" s="211" t="s">
        <v>511</v>
      </c>
      <c r="B5533" s="216" t="str">
        <f ca="1">_xlfn.CONCAT(B5504,A5533)</f>
        <v>3A2EC6FE-ab</v>
      </c>
      <c r="C5533" s="24" t="s">
        <v>25</v>
      </c>
      <c r="D5533" s="185"/>
      <c r="E5533" s="25">
        <f>_xlfn.XLOOKUP(C5533,'H-MO'!B$7:B$30,'H-MO'!D$7:D$30,,0,1)</f>
        <v>2761.4374999999995</v>
      </c>
      <c r="F5533" s="28">
        <v>0.3</v>
      </c>
      <c r="G5533" s="33">
        <f t="shared" si="159"/>
        <v>828.43124999999986</v>
      </c>
    </row>
    <row r="5534" spans="1:8">
      <c r="A5534" s="211" t="s">
        <v>512</v>
      </c>
      <c r="B5534" s="216" t="str">
        <f ca="1">_xlfn.CONCAT(B5504,A5534)</f>
        <v>3A2EC6FE-ac</v>
      </c>
      <c r="C5534" s="24"/>
      <c r="D5534" s="185"/>
      <c r="E5534" s="29"/>
      <c r="F5534" s="28">
        <v>0</v>
      </c>
      <c r="G5534" s="33">
        <f t="shared" si="159"/>
        <v>0</v>
      </c>
    </row>
    <row r="5535" spans="1:8" ht="14.25" thickBot="1">
      <c r="A5535" s="211" t="s">
        <v>513</v>
      </c>
      <c r="B5535" s="216" t="str">
        <f ca="1">_xlfn.CONCAT(B5504,A5535)</f>
        <v>3A2EC6FE-ad</v>
      </c>
      <c r="C5535" s="24"/>
      <c r="D5535" s="185"/>
      <c r="E5535" s="29"/>
      <c r="F5535" s="28">
        <v>0</v>
      </c>
      <c r="G5535" s="33">
        <f t="shared" si="159"/>
        <v>0</v>
      </c>
    </row>
    <row r="5536" spans="1:8" ht="14.25" thickBot="1">
      <c r="A5536" s="211" t="s">
        <v>514</v>
      </c>
      <c r="B5536" s="216" t="str">
        <f ca="1">_xlfn.CONCAT(B5504,A5536)</f>
        <v>3A2EC6FE-ae</v>
      </c>
      <c r="C5536" s="17"/>
      <c r="D5536" s="192"/>
      <c r="E5536" s="18"/>
      <c r="F5536" s="22" t="s">
        <v>26</v>
      </c>
      <c r="G5536" s="23">
        <f>SUM(G5530:G5535)</f>
        <v>9575.6906249999993</v>
      </c>
    </row>
    <row r="5537" spans="1:8" ht="15.75" thickBot="1">
      <c r="A5537" s="211" t="s">
        <v>515</v>
      </c>
      <c r="B5537" s="216" t="str">
        <f ca="1">_xlfn.CONCAT(B5504,A5537)</f>
        <v>3A2EC6FE-af</v>
      </c>
      <c r="C5537" s="10" t="s">
        <v>27</v>
      </c>
      <c r="D5537" s="190"/>
      <c r="E5537" s="11"/>
      <c r="F5537" s="12"/>
      <c r="G5537" s="13"/>
    </row>
    <row r="5538" spans="1:8" ht="14.25" thickBot="1">
      <c r="A5538" s="211" t="s">
        <v>516</v>
      </c>
      <c r="B5538" s="216" t="str">
        <f ca="1">_xlfn.CONCAT(B5504,A5538)</f>
        <v>3A2EC6FE-ag</v>
      </c>
      <c r="C5538" s="14" t="s">
        <v>1</v>
      </c>
      <c r="D5538" s="15" t="s">
        <v>28</v>
      </c>
      <c r="E5538" s="15" t="s">
        <v>20</v>
      </c>
      <c r="F5538" s="16" t="s">
        <v>21</v>
      </c>
      <c r="G5538" s="15" t="s">
        <v>5</v>
      </c>
      <c r="H5538" s="215"/>
    </row>
    <row r="5539" spans="1:8">
      <c r="A5539" s="211" t="s">
        <v>517</v>
      </c>
      <c r="B5539" s="216" t="str">
        <f ca="1">_xlfn.CONCAT(B5504,A5539)</f>
        <v>3A2EC6FE-ah</v>
      </c>
      <c r="C5539" s="30" t="s">
        <v>29</v>
      </c>
      <c r="D5539" s="186">
        <f>'H-MO'!$N$77</f>
        <v>725918.52892505517</v>
      </c>
      <c r="E5539" s="31">
        <f>+D5539/8</f>
        <v>90739.816115631897</v>
      </c>
      <c r="F5539" s="32">
        <v>7.0000000000000007E-2</v>
      </c>
      <c r="G5539" s="33">
        <f>+E5539*F5539</f>
        <v>6351.7871280942336</v>
      </c>
    </row>
    <row r="5540" spans="1:8">
      <c r="A5540" s="211" t="s">
        <v>518</v>
      </c>
      <c r="B5540" s="216" t="str">
        <f ca="1">_xlfn.CONCAT(B5504,A5540)</f>
        <v>3A2EC6FE-ai</v>
      </c>
      <c r="C5540" s="34" t="s">
        <v>30</v>
      </c>
      <c r="D5540" s="187">
        <f>'H-MO'!$N$86</f>
        <v>685561.39085756091</v>
      </c>
      <c r="E5540" s="29">
        <f>+D5540/8</f>
        <v>85695.173857195114</v>
      </c>
      <c r="F5540" s="28">
        <v>0.14000000000000001</v>
      </c>
      <c r="G5540" s="33">
        <f>+E5540*F5540</f>
        <v>11997.324340007317</v>
      </c>
    </row>
    <row r="5541" spans="1:8" ht="14.25" thickBot="1">
      <c r="A5541" s="211" t="s">
        <v>519</v>
      </c>
      <c r="B5541" s="216" t="str">
        <f ca="1">_xlfn.CONCAT(B5504,A5541)</f>
        <v>3A2EC6FE-aj</v>
      </c>
      <c r="C5541" s="34"/>
      <c r="D5541" s="187"/>
      <c r="E5541" s="29"/>
      <c r="F5541" s="28">
        <v>0</v>
      </c>
      <c r="G5541" s="33">
        <f>+E5541*F5541</f>
        <v>0</v>
      </c>
    </row>
    <row r="5542" spans="1:8" ht="14.25" thickBot="1">
      <c r="A5542" s="211" t="s">
        <v>520</v>
      </c>
      <c r="B5542" s="216" t="str">
        <f ca="1">_xlfn.CONCAT(B5504,A5542)</f>
        <v>3A2EC6FE-ak</v>
      </c>
      <c r="C5542" s="34"/>
      <c r="D5542" s="185"/>
      <c r="E5542" s="26"/>
      <c r="F5542" s="36" t="s">
        <v>31</v>
      </c>
      <c r="G5542" s="23">
        <f>SUM(G5539:G5541)</f>
        <v>18349.11146810155</v>
      </c>
    </row>
    <row r="5543" spans="1:8" ht="14.25" thickBot="1">
      <c r="A5543" s="211" t="s">
        <v>521</v>
      </c>
      <c r="B5543" s="216" t="str">
        <f ca="1">_xlfn.CONCAT(B5504,A5543)</f>
        <v>3A2EC6FE-al</v>
      </c>
      <c r="C5543" s="37"/>
      <c r="E5543" s="38"/>
      <c r="F5543" s="22"/>
      <c r="G5543" s="39"/>
    </row>
    <row r="5544" spans="1:8" ht="16.5" thickBot="1">
      <c r="A5544" s="211" t="s">
        <v>522</v>
      </c>
      <c r="B5544" s="216" t="str">
        <f ca="1">_xlfn.CONCAT(B5504,A5544)</f>
        <v>3A2EC6FE-am</v>
      </c>
      <c r="C5544" s="40"/>
      <c r="D5544" s="193"/>
      <c r="E5544" s="41"/>
      <c r="F5544" s="42"/>
      <c r="G5544" s="43">
        <f>+G5527+G5536+G5542</f>
        <v>65145.802093101549</v>
      </c>
    </row>
    <row r="5545" spans="1:8" ht="21.75" thickBot="1">
      <c r="B5545" s="212" t="s">
        <v>550</v>
      </c>
      <c r="C5545" s="2"/>
      <c r="D5545" s="183"/>
      <c r="F5545" s="4"/>
      <c r="G5545" s="5"/>
    </row>
    <row r="5546" spans="1:8" ht="18.75">
      <c r="A5546" s="213"/>
      <c r="B5546" s="214">
        <v>127</v>
      </c>
      <c r="C5546" s="242" t="str">
        <f ca="1">_xlfn.XLOOKUP(B5546,Cantidades!$A$10:$A$314,Cantidades!$C$10:$C$314,,0,1)</f>
        <v>Suministro e instalación de ductos  1Ø4"+1Ø2" PVC</v>
      </c>
      <c r="D5546" s="243"/>
      <c r="E5546" s="243"/>
      <c r="F5546" s="243"/>
      <c r="G5546" s="244"/>
      <c r="H5546" s="213"/>
    </row>
    <row r="5547" spans="1:8" ht="19.5" thickBot="1">
      <c r="A5547" s="215"/>
      <c r="B5547" s="216" t="s">
        <v>550</v>
      </c>
      <c r="C5547" s="177"/>
      <c r="D5547" s="189"/>
      <c r="E5547" s="178"/>
      <c r="F5547" s="179" t="s">
        <v>636</v>
      </c>
      <c r="G5547" s="209" t="str">
        <f ca="1">B5548</f>
        <v>27E326E2-</v>
      </c>
      <c r="H5547" s="215"/>
    </row>
    <row r="5548" spans="1:8" ht="15.75" thickBot="1">
      <c r="B5548" s="212" t="str">
        <f ca="1">_xlfn.XLOOKUP(C5546,Cantidades!$C$1:$C$314,Cantidades!$B$1:$B$314,"",0,1)</f>
        <v>27E326E2-</v>
      </c>
      <c r="C5548" s="10" t="s">
        <v>0</v>
      </c>
      <c r="D5548" s="190"/>
      <c r="E5548" s="11"/>
      <c r="F5548" s="12"/>
      <c r="G5548" s="13"/>
    </row>
    <row r="5549" spans="1:8" ht="14.25" thickBot="1">
      <c r="A5549" s="215"/>
      <c r="B5549" s="216" t="s">
        <v>550</v>
      </c>
      <c r="C5549" s="14" t="s">
        <v>1</v>
      </c>
      <c r="D5549" s="15" t="s">
        <v>2</v>
      </c>
      <c r="E5549" s="15" t="s">
        <v>3</v>
      </c>
      <c r="F5549" s="16" t="s">
        <v>4</v>
      </c>
      <c r="G5549" s="15" t="s">
        <v>5</v>
      </c>
    </row>
    <row r="5550" spans="1:8">
      <c r="A5550" s="211" t="s">
        <v>484</v>
      </c>
      <c r="B5550" s="216" t="str">
        <f ca="1">_xlfn.CONCAT(B5548,A5550)</f>
        <v>27E326E2-A</v>
      </c>
      <c r="C5550" s="17" t="str">
        <f>_xlfn.XLOOKUP(H5550,'Materiales unitario'!$A$1:$A$2500,'Materiales unitario'!B$1:B$2500,,0,1)</f>
        <v>Ducto telef. Y Electric. pesado TDP ø2" PVC</v>
      </c>
      <c r="D5550" s="184" t="str">
        <f>_xlfn.XLOOKUP(H5550,'Materiales unitario'!A$1:A$2500,'Materiales unitario'!C$1:C$2500,,0,1)</f>
        <v>ml</v>
      </c>
      <c r="E5550" s="197">
        <f>_xlfn.XLOOKUP(H5550,'Materiales unitario'!$A$1:$A$2500,'Materiales unitario'!D$1:D$2500,,0,1)</f>
        <v>6520</v>
      </c>
      <c r="F5550" s="19">
        <v>1.2</v>
      </c>
      <c r="G5550" s="20">
        <f>+E5550*F5550</f>
        <v>7824</v>
      </c>
      <c r="H5550" s="211" t="s">
        <v>1196</v>
      </c>
    </row>
    <row r="5551" spans="1:8">
      <c r="A5551" s="211" t="s">
        <v>485</v>
      </c>
      <c r="B5551" s="216" t="str">
        <f ca="1">_xlfn.CONCAT(B5548,A5551)</f>
        <v>27E326E2-B</v>
      </c>
      <c r="C5551" s="17" t="str">
        <f>_xlfn.XLOOKUP(H5551,'Materiales unitario'!$A$1:$A$2500,'Materiales unitario'!B$1:B$2500,,0,1)</f>
        <v>Campana terminal ducto ø2" PVC</v>
      </c>
      <c r="D5551" s="184" t="str">
        <f>_xlfn.XLOOKUP(H5551,'Materiales unitario'!A$1:A$2500,'Materiales unitario'!C$1:C$2500,,0,1)</f>
        <v>un</v>
      </c>
      <c r="E5551" s="197">
        <f>_xlfn.XLOOKUP(H5551,'Materiales unitario'!$A$1:$A$2500,'Materiales unitario'!D$1:D$2500,,0,1)</f>
        <v>4046</v>
      </c>
      <c r="F5551" s="19">
        <v>0.3</v>
      </c>
      <c r="G5551" s="20">
        <f>+E5551*F5551</f>
        <v>1213.8</v>
      </c>
      <c r="H5551" s="211" t="s">
        <v>286</v>
      </c>
    </row>
    <row r="5552" spans="1:8">
      <c r="A5552" s="211" t="s">
        <v>486</v>
      </c>
      <c r="B5552" s="216" t="str">
        <f ca="1">_xlfn.CONCAT(B5548,A5552)</f>
        <v>27E326E2-C</v>
      </c>
      <c r="C5552" s="17" t="str">
        <f>_xlfn.XLOOKUP(H5552,'Materiales unitario'!$A$1:$A$2500,'Materiales unitario'!B$1:B$2500,,0,1)</f>
        <v>Soldadura liquida PVC 1/4 de galón</v>
      </c>
      <c r="D5552" s="184" t="str">
        <f>_xlfn.XLOOKUP(H5552,'Materiales unitario'!A$1:A$2500,'Materiales unitario'!C$1:C$2500,,0,1)</f>
        <v>un</v>
      </c>
      <c r="E5552" s="197">
        <f>_xlfn.XLOOKUP(H5552,'Materiales unitario'!$A$1:$A$2500,'Materiales unitario'!D$1:D$2500,,0,1)</f>
        <v>60900</v>
      </c>
      <c r="F5552" s="19">
        <v>0.06</v>
      </c>
      <c r="G5552" s="20">
        <f>+E5552*F5552</f>
        <v>3654</v>
      </c>
      <c r="H5552" s="211" t="s">
        <v>530</v>
      </c>
    </row>
    <row r="5553" spans="1:8">
      <c r="A5553" s="211" t="s">
        <v>487</v>
      </c>
      <c r="B5553" s="216" t="str">
        <f ca="1">_xlfn.CONCAT(B5548,A5553)</f>
        <v>27E326E2-D</v>
      </c>
      <c r="C5553" s="17" t="str">
        <f>_xlfn.XLOOKUP(H5553,'Materiales unitario'!$A$1:$A$2500,'Materiales unitario'!B$1:B$2500,,0,1)</f>
        <v>Ducto telef. Y Electric. Corrugado TDP ø4" PVC</v>
      </c>
      <c r="D5553" s="184" t="str">
        <f>_xlfn.XLOOKUP(H5553,'Materiales unitario'!A$1:A$2500,'Materiales unitario'!C$1:C$2500,,0,1)</f>
        <v>ml</v>
      </c>
      <c r="E5553" s="197">
        <f>_xlfn.XLOOKUP(H5553,'Materiales unitario'!$A$1:$A$2500,'Materiales unitario'!D$1:D$2500,,0,1)</f>
        <v>15680</v>
      </c>
      <c r="F5553" s="19">
        <v>1.2</v>
      </c>
      <c r="G5553" s="20">
        <f>+E5553*F5553</f>
        <v>18816</v>
      </c>
      <c r="H5553" s="211" t="s">
        <v>316</v>
      </c>
    </row>
    <row r="5554" spans="1:8">
      <c r="A5554" s="211" t="s">
        <v>488</v>
      </c>
      <c r="B5554" s="216" t="str">
        <f ca="1">_xlfn.CONCAT(B5548,A5554)</f>
        <v>27E326E2-E</v>
      </c>
      <c r="C5554" s="17" t="str">
        <f>_xlfn.XLOOKUP(H5554,'Materiales unitario'!$A$1:$A$2500,'Materiales unitario'!B$1:B$2500,,0,1)</f>
        <v>Campana terminal ducto ø4" PVC</v>
      </c>
      <c r="D5554" s="184" t="str">
        <f>_xlfn.XLOOKUP(H5554,'Materiales unitario'!A$1:A$2500,'Materiales unitario'!C$1:C$2500,,0,1)</f>
        <v>un</v>
      </c>
      <c r="E5554" s="197">
        <f>_xlfn.XLOOKUP(H5554,'Materiales unitario'!$A$1:$A$2500,'Materiales unitario'!D$1:D$2500,,0,1)</f>
        <v>8388.6</v>
      </c>
      <c r="F5554" s="19">
        <v>0.2</v>
      </c>
      <c r="G5554" s="20">
        <f>+E5554*F5554</f>
        <v>1677.7200000000003</v>
      </c>
      <c r="H5554" s="211" t="s">
        <v>287</v>
      </c>
    </row>
    <row r="5555" spans="1:8">
      <c r="A5555" s="211" t="s">
        <v>489</v>
      </c>
      <c r="B5555" s="216" t="str">
        <f ca="1">_xlfn.CONCAT(B5548,A5555)</f>
        <v>27E326E2-F</v>
      </c>
      <c r="C5555" s="17"/>
      <c r="D5555" s="184"/>
      <c r="E5555" s="197"/>
      <c r="F5555" s="19"/>
      <c r="G5555" s="20"/>
    </row>
    <row r="5556" spans="1:8">
      <c r="A5556" s="211" t="s">
        <v>490</v>
      </c>
      <c r="B5556" s="216" t="str">
        <f ca="1">_xlfn.CONCAT(B5548,A5556)</f>
        <v>27E326E2-G</v>
      </c>
      <c r="C5556" s="17"/>
      <c r="D5556" s="184"/>
      <c r="E5556" s="197"/>
      <c r="F5556" s="19"/>
      <c r="G5556" s="20"/>
    </row>
    <row r="5557" spans="1:8">
      <c r="A5557" s="211" t="s">
        <v>491</v>
      </c>
      <c r="B5557" s="216" t="str">
        <f ca="1">_xlfn.CONCAT(B5548,A5557)</f>
        <v>27E326E2-H</v>
      </c>
      <c r="C5557" s="17"/>
      <c r="D5557" s="184"/>
      <c r="E5557" s="197"/>
      <c r="F5557" s="19"/>
      <c r="G5557" s="20"/>
    </row>
    <row r="5558" spans="1:8">
      <c r="A5558" s="211" t="s">
        <v>492</v>
      </c>
      <c r="B5558" s="216" t="str">
        <f ca="1">_xlfn.CONCAT(B5548,A5558)</f>
        <v>27E326E2-I</v>
      </c>
      <c r="C5558" s="17"/>
      <c r="D5558" s="184"/>
      <c r="E5558" s="197"/>
      <c r="F5558" s="19"/>
      <c r="G5558" s="20"/>
    </row>
    <row r="5559" spans="1:8">
      <c r="A5559" s="211" t="s">
        <v>493</v>
      </c>
      <c r="B5559" s="216" t="str">
        <f ca="1">_xlfn.CONCAT(B5548,A5559)</f>
        <v>27E326E2-J</v>
      </c>
      <c r="C5559" s="17"/>
      <c r="D5559" s="184"/>
      <c r="E5559" s="197"/>
      <c r="F5559" s="19"/>
      <c r="G5559" s="20"/>
    </row>
    <row r="5560" spans="1:8">
      <c r="A5560" s="211" t="s">
        <v>494</v>
      </c>
      <c r="B5560" s="216" t="str">
        <f ca="1">_xlfn.CONCAT(B5548,A5560)</f>
        <v>27E326E2-K</v>
      </c>
      <c r="C5560" s="17"/>
      <c r="D5560" s="184"/>
      <c r="E5560" s="197"/>
      <c r="F5560" s="19"/>
      <c r="G5560" s="20"/>
    </row>
    <row r="5561" spans="1:8">
      <c r="A5561" s="211" t="s">
        <v>495</v>
      </c>
      <c r="B5561" s="216" t="str">
        <f ca="1">_xlfn.CONCAT(B5548,A5561)</f>
        <v>27E326E2-L</v>
      </c>
      <c r="C5561" s="17"/>
      <c r="D5561" s="184"/>
      <c r="E5561" s="197"/>
      <c r="F5561" s="19"/>
      <c r="G5561" s="20"/>
    </row>
    <row r="5562" spans="1:8">
      <c r="A5562" s="211" t="s">
        <v>496</v>
      </c>
      <c r="B5562" s="216" t="str">
        <f ca="1">_xlfn.CONCAT(B5548,A5562)</f>
        <v>27E326E2-M</v>
      </c>
      <c r="C5562" s="17"/>
      <c r="D5562" s="184"/>
      <c r="E5562" s="197"/>
      <c r="F5562" s="19"/>
      <c r="G5562" s="20"/>
    </row>
    <row r="5563" spans="1:8">
      <c r="A5563" s="211" t="s">
        <v>497</v>
      </c>
      <c r="B5563" s="216" t="str">
        <f ca="1">_xlfn.CONCAT(B5548,A5563)</f>
        <v>27E326E2-N</v>
      </c>
      <c r="C5563" s="17"/>
      <c r="D5563" s="184"/>
      <c r="E5563" s="197"/>
      <c r="F5563" s="19"/>
      <c r="G5563" s="20"/>
    </row>
    <row r="5564" spans="1:8">
      <c r="A5564" s="211" t="s">
        <v>498</v>
      </c>
      <c r="B5564" s="216" t="str">
        <f ca="1">_xlfn.CONCAT(B5548,A5564)</f>
        <v>27E326E2-O</v>
      </c>
      <c r="C5564" s="17"/>
      <c r="D5564" s="184"/>
      <c r="E5564" s="197"/>
      <c r="F5564" s="19"/>
      <c r="G5564" s="20"/>
    </row>
    <row r="5565" spans="1:8">
      <c r="A5565" s="211" t="s">
        <v>499</v>
      </c>
      <c r="B5565" s="216" t="str">
        <f ca="1">_xlfn.CONCAT(B5548,A5565)</f>
        <v>27E326E2-P</v>
      </c>
      <c r="C5565" s="17"/>
      <c r="D5565" s="184"/>
      <c r="E5565" s="197"/>
      <c r="F5565" s="19"/>
      <c r="G5565" s="20"/>
    </row>
    <row r="5566" spans="1:8">
      <c r="A5566" s="211" t="s">
        <v>500</v>
      </c>
      <c r="B5566" s="216" t="str">
        <f ca="1">_xlfn.CONCAT(B5548,A5566)</f>
        <v>27E326E2-Q</v>
      </c>
      <c r="C5566" s="17"/>
      <c r="D5566" s="184"/>
      <c r="E5566" s="197"/>
      <c r="F5566" s="19"/>
      <c r="G5566" s="20"/>
    </row>
    <row r="5567" spans="1:8">
      <c r="A5567" s="211" t="s">
        <v>501</v>
      </c>
      <c r="B5567" s="216" t="str">
        <f ca="1">_xlfn.CONCAT(B5548,A5567)</f>
        <v>27E326E2-R</v>
      </c>
      <c r="C5567" s="17"/>
      <c r="D5567" s="184"/>
      <c r="E5567" s="197"/>
      <c r="F5567" s="19"/>
      <c r="G5567" s="20"/>
    </row>
    <row r="5568" spans="1:8">
      <c r="A5568" s="211" t="s">
        <v>502</v>
      </c>
      <c r="B5568" s="216" t="str">
        <f ca="1">_xlfn.CONCAT(B5548,A5568)</f>
        <v>27E326E2-S</v>
      </c>
      <c r="C5568" s="17"/>
      <c r="D5568" s="184"/>
      <c r="E5568" s="197"/>
      <c r="F5568" s="19"/>
      <c r="G5568" s="20"/>
    </row>
    <row r="5569" spans="1:8">
      <c r="A5569" s="211" t="s">
        <v>503</v>
      </c>
      <c r="B5569" s="216" t="str">
        <f ca="1">_xlfn.CONCAT(B5548,A5569)</f>
        <v>27E326E2-T</v>
      </c>
      <c r="C5569" s="17"/>
      <c r="D5569" s="184"/>
      <c r="E5569" s="197"/>
      <c r="F5569" s="19"/>
      <c r="G5569" s="20"/>
    </row>
    <row r="5570" spans="1:8" ht="14.25" thickBot="1">
      <c r="A5570" s="211" t="s">
        <v>504</v>
      </c>
      <c r="B5570" s="216" t="str">
        <f ca="1">_xlfn.CONCAT(B5548,A5570)</f>
        <v>27E326E2-U</v>
      </c>
      <c r="C5570" s="17"/>
      <c r="D5570" s="184"/>
      <c r="E5570" s="197"/>
      <c r="F5570" s="19"/>
      <c r="G5570" s="20"/>
    </row>
    <row r="5571" spans="1:8" ht="14.25" thickBot="1">
      <c r="A5571" s="211" t="s">
        <v>505</v>
      </c>
      <c r="B5571" s="216" t="str">
        <f ca="1">_xlfn.CONCAT(B5548,A5571)</f>
        <v>27E326E2-V</v>
      </c>
      <c r="C5571" s="17" t="s">
        <v>17</v>
      </c>
      <c r="D5571" s="192" t="s">
        <v>17</v>
      </c>
      <c r="E5571" s="18"/>
      <c r="F5571" s="22" t="s">
        <v>18</v>
      </c>
      <c r="G5571" s="23">
        <f>SUM(G5550:G5570)</f>
        <v>33185.519999999997</v>
      </c>
    </row>
    <row r="5572" spans="1:8" ht="15.75" thickBot="1">
      <c r="A5572" s="211" t="s">
        <v>506</v>
      </c>
      <c r="B5572" s="216" t="str">
        <f ca="1">_xlfn.CONCAT(B5548,A5572)</f>
        <v>27E326E2-W</v>
      </c>
      <c r="C5572" s="10" t="s">
        <v>19</v>
      </c>
      <c r="D5572" s="190"/>
      <c r="E5572" s="11"/>
      <c r="F5572" s="12"/>
      <c r="G5572" s="13"/>
    </row>
    <row r="5573" spans="1:8" ht="14.25" thickBot="1">
      <c r="A5573" s="211" t="s">
        <v>507</v>
      </c>
      <c r="B5573" s="216" t="str">
        <f ca="1">_xlfn.CONCAT(B5548,A5573)</f>
        <v>27E326E2-X</v>
      </c>
      <c r="C5573" s="14" t="s">
        <v>1</v>
      </c>
      <c r="D5573" s="15"/>
      <c r="E5573" s="15" t="s">
        <v>20</v>
      </c>
      <c r="F5573" s="16" t="s">
        <v>21</v>
      </c>
      <c r="G5573" s="15" t="s">
        <v>5</v>
      </c>
      <c r="H5573" s="215"/>
    </row>
    <row r="5574" spans="1:8">
      <c r="A5574" s="211" t="s">
        <v>508</v>
      </c>
      <c r="B5574" s="216" t="str">
        <f ca="1">_xlfn.CONCAT(B5548,A5574)</f>
        <v>27E326E2-Y</v>
      </c>
      <c r="C5574" s="24" t="s">
        <v>22</v>
      </c>
      <c r="D5574" s="184"/>
      <c r="E5574" s="25">
        <f>_xlfn.XLOOKUP(C5574,'H-MO'!B$7:B$30,'H-MO'!D$7:D$30,,0,1)</f>
        <v>2436.5624999999995</v>
      </c>
      <c r="F5574" s="19">
        <v>0.45</v>
      </c>
      <c r="G5574" s="33">
        <f t="shared" ref="G5574:G5579" si="160">+E5574*F5574</f>
        <v>1096.4531249999998</v>
      </c>
    </row>
    <row r="5575" spans="1:8">
      <c r="A5575" s="211" t="s">
        <v>509</v>
      </c>
      <c r="B5575" s="216" t="str">
        <f ca="1">_xlfn.CONCAT(B5548,A5575)</f>
        <v>27E326E2-Z</v>
      </c>
      <c r="C5575" s="24" t="s">
        <v>23</v>
      </c>
      <c r="D5575" s="184"/>
      <c r="E5575" s="25">
        <f>_xlfn.XLOOKUP(C5575,'H-MO'!B$7:B$30,'H-MO'!D$7:D$30,,0,1)</f>
        <v>1461.9374999999998</v>
      </c>
      <c r="F5575" s="19">
        <v>0.9</v>
      </c>
      <c r="G5575" s="33">
        <f t="shared" si="160"/>
        <v>1315.7437499999999</v>
      </c>
    </row>
    <row r="5576" spans="1:8">
      <c r="A5576" s="211" t="s">
        <v>510</v>
      </c>
      <c r="B5576" s="216" t="str">
        <f ca="1">_xlfn.CONCAT(B5548,A5576)</f>
        <v>27E326E2-aa</v>
      </c>
      <c r="C5576" s="24" t="s">
        <v>24</v>
      </c>
      <c r="D5576" s="185"/>
      <c r="E5576" s="25">
        <f>_xlfn.XLOOKUP(C5576,'H-MO'!B$7:B$30,'H-MO'!D$7:D$30,,0,1)</f>
        <v>29238.749999999996</v>
      </c>
      <c r="F5576" s="28">
        <v>0.2</v>
      </c>
      <c r="G5576" s="33">
        <f t="shared" si="160"/>
        <v>5847.75</v>
      </c>
    </row>
    <row r="5577" spans="1:8">
      <c r="A5577" s="211" t="s">
        <v>511</v>
      </c>
      <c r="B5577" s="216" t="str">
        <f ca="1">_xlfn.CONCAT(B5548,A5577)</f>
        <v>27E326E2-ab</v>
      </c>
      <c r="C5577" s="24" t="s">
        <v>25</v>
      </c>
      <c r="D5577" s="185"/>
      <c r="E5577" s="25">
        <f>_xlfn.XLOOKUP(C5577,'H-MO'!B$7:B$30,'H-MO'!D$7:D$30,,0,1)</f>
        <v>2761.4374999999995</v>
      </c>
      <c r="F5577" s="28">
        <v>0.3</v>
      </c>
      <c r="G5577" s="33">
        <f t="shared" si="160"/>
        <v>828.43124999999986</v>
      </c>
    </row>
    <row r="5578" spans="1:8">
      <c r="A5578" s="211" t="s">
        <v>512</v>
      </c>
      <c r="B5578" s="216" t="str">
        <f ca="1">_xlfn.CONCAT(B5548,A5578)</f>
        <v>27E326E2-ac</v>
      </c>
      <c r="C5578" s="24"/>
      <c r="D5578" s="185"/>
      <c r="E5578" s="29"/>
      <c r="F5578" s="28">
        <v>0</v>
      </c>
      <c r="G5578" s="33">
        <f t="shared" si="160"/>
        <v>0</v>
      </c>
    </row>
    <row r="5579" spans="1:8" ht="14.25" thickBot="1">
      <c r="A5579" s="211" t="s">
        <v>513</v>
      </c>
      <c r="B5579" s="216" t="str">
        <f ca="1">_xlfn.CONCAT(B5548,A5579)</f>
        <v>27E326E2-ad</v>
      </c>
      <c r="C5579" s="24"/>
      <c r="D5579" s="185"/>
      <c r="E5579" s="29"/>
      <c r="F5579" s="28">
        <v>0</v>
      </c>
      <c r="G5579" s="33">
        <f t="shared" si="160"/>
        <v>0</v>
      </c>
    </row>
    <row r="5580" spans="1:8" ht="14.25" thickBot="1">
      <c r="A5580" s="211" t="s">
        <v>514</v>
      </c>
      <c r="B5580" s="216" t="str">
        <f ca="1">_xlfn.CONCAT(B5548,A5580)</f>
        <v>27E326E2-ae</v>
      </c>
      <c r="C5580" s="17"/>
      <c r="D5580" s="192"/>
      <c r="E5580" s="18"/>
      <c r="F5580" s="22" t="s">
        <v>26</v>
      </c>
      <c r="G5580" s="23">
        <f>SUM(G5574:G5579)</f>
        <v>9088.3781249999993</v>
      </c>
    </row>
    <row r="5581" spans="1:8" ht="15.75" thickBot="1">
      <c r="A5581" s="211" t="s">
        <v>515</v>
      </c>
      <c r="B5581" s="216" t="str">
        <f ca="1">_xlfn.CONCAT(B5548,A5581)</f>
        <v>27E326E2-af</v>
      </c>
      <c r="C5581" s="10" t="s">
        <v>27</v>
      </c>
      <c r="D5581" s="190"/>
      <c r="E5581" s="11"/>
      <c r="F5581" s="12"/>
      <c r="G5581" s="13"/>
    </row>
    <row r="5582" spans="1:8" ht="14.25" thickBot="1">
      <c r="A5582" s="211" t="s">
        <v>516</v>
      </c>
      <c r="B5582" s="216" t="str">
        <f ca="1">_xlfn.CONCAT(B5548,A5582)</f>
        <v>27E326E2-ag</v>
      </c>
      <c r="C5582" s="14" t="s">
        <v>1</v>
      </c>
      <c r="D5582" s="15" t="s">
        <v>28</v>
      </c>
      <c r="E5582" s="15" t="s">
        <v>20</v>
      </c>
      <c r="F5582" s="16" t="s">
        <v>21</v>
      </c>
      <c r="G5582" s="15" t="s">
        <v>5</v>
      </c>
      <c r="H5582" s="215"/>
    </row>
    <row r="5583" spans="1:8">
      <c r="A5583" s="211" t="s">
        <v>517</v>
      </c>
      <c r="B5583" s="216" t="str">
        <f ca="1">_xlfn.CONCAT(B5548,A5583)</f>
        <v>27E326E2-ah</v>
      </c>
      <c r="C5583" s="30" t="s">
        <v>29</v>
      </c>
      <c r="D5583" s="186">
        <f>'H-MO'!$N$77</f>
        <v>725918.52892505517</v>
      </c>
      <c r="E5583" s="31">
        <f>+D5583/8</f>
        <v>90739.816115631897</v>
      </c>
      <c r="F5583" s="32">
        <v>4.4999999999999998E-2</v>
      </c>
      <c r="G5583" s="33">
        <f>+E5583*F5583</f>
        <v>4083.2917252034354</v>
      </c>
    </row>
    <row r="5584" spans="1:8">
      <c r="A5584" s="211" t="s">
        <v>518</v>
      </c>
      <c r="B5584" s="216" t="str">
        <f ca="1">_xlfn.CONCAT(B5548,A5584)</f>
        <v>27E326E2-ai</v>
      </c>
      <c r="C5584" s="34" t="s">
        <v>30</v>
      </c>
      <c r="D5584" s="187">
        <f>'H-MO'!$N$86</f>
        <v>685561.39085756091</v>
      </c>
      <c r="E5584" s="29">
        <f>+D5584/8</f>
        <v>85695.173857195114</v>
      </c>
      <c r="F5584" s="28">
        <v>0.09</v>
      </c>
      <c r="G5584" s="33">
        <f>+E5584*F5584</f>
        <v>7712.5656471475595</v>
      </c>
    </row>
    <row r="5585" spans="1:8" ht="14.25" thickBot="1">
      <c r="A5585" s="211" t="s">
        <v>519</v>
      </c>
      <c r="B5585" s="216" t="str">
        <f ca="1">_xlfn.CONCAT(B5548,A5585)</f>
        <v>27E326E2-aj</v>
      </c>
      <c r="C5585" s="34"/>
      <c r="D5585" s="187"/>
      <c r="E5585" s="29"/>
      <c r="F5585" s="28">
        <v>0</v>
      </c>
      <c r="G5585" s="33">
        <f>+E5585*F5585</f>
        <v>0</v>
      </c>
    </row>
    <row r="5586" spans="1:8" ht="14.25" thickBot="1">
      <c r="A5586" s="211" t="s">
        <v>520</v>
      </c>
      <c r="B5586" s="216" t="str">
        <f ca="1">_xlfn.CONCAT(B5548,A5586)</f>
        <v>27E326E2-ak</v>
      </c>
      <c r="C5586" s="34"/>
      <c r="D5586" s="185"/>
      <c r="E5586" s="26"/>
      <c r="F5586" s="36" t="s">
        <v>31</v>
      </c>
      <c r="G5586" s="23">
        <f>SUM(G5583:G5585)</f>
        <v>11795.857372350994</v>
      </c>
    </row>
    <row r="5587" spans="1:8" ht="14.25" thickBot="1">
      <c r="A5587" s="211" t="s">
        <v>521</v>
      </c>
      <c r="B5587" s="216" t="str">
        <f ca="1">_xlfn.CONCAT(B5548,A5587)</f>
        <v>27E326E2-al</v>
      </c>
      <c r="C5587" s="37"/>
      <c r="E5587" s="38"/>
      <c r="F5587" s="22"/>
      <c r="G5587" s="39"/>
    </row>
    <row r="5588" spans="1:8" ht="16.5" thickBot="1">
      <c r="A5588" s="211" t="s">
        <v>522</v>
      </c>
      <c r="B5588" s="216" t="str">
        <f ca="1">_xlfn.CONCAT(B5548,A5588)</f>
        <v>27E326E2-am</v>
      </c>
      <c r="C5588" s="40"/>
      <c r="D5588" s="193"/>
      <c r="E5588" s="41"/>
      <c r="F5588" s="42"/>
      <c r="G5588" s="43">
        <f>+G5571+G5580+G5586</f>
        <v>54069.755497350983</v>
      </c>
    </row>
    <row r="5589" spans="1:8" ht="21.75" thickBot="1">
      <c r="B5589" s="212" t="s">
        <v>550</v>
      </c>
      <c r="C5589" s="2"/>
      <c r="D5589" s="183"/>
      <c r="F5589" s="4"/>
      <c r="G5589" s="5"/>
    </row>
    <row r="5590" spans="1:8" ht="18.75">
      <c r="A5590" s="213"/>
      <c r="B5590" s="214">
        <v>128</v>
      </c>
      <c r="C5590" s="242" t="str">
        <f ca="1">_xlfn.XLOOKUP(B5590,Cantidades!$A$10:$A$314,Cantidades!$C$10:$C$314,,0,1)</f>
        <v>Suministro e instalación de ductos  1Ø3"+1Ø2" PVC</v>
      </c>
      <c r="D5590" s="243"/>
      <c r="E5590" s="243"/>
      <c r="F5590" s="243"/>
      <c r="G5590" s="244"/>
      <c r="H5590" s="213"/>
    </row>
    <row r="5591" spans="1:8" ht="19.5" thickBot="1">
      <c r="A5591" s="215"/>
      <c r="B5591" s="216" t="s">
        <v>550</v>
      </c>
      <c r="C5591" s="177"/>
      <c r="D5591" s="189"/>
      <c r="E5591" s="178"/>
      <c r="F5591" s="179" t="s">
        <v>636</v>
      </c>
      <c r="G5591" s="209" t="str">
        <f ca="1">B5592</f>
        <v>9AEEDE1-</v>
      </c>
      <c r="H5591" s="215"/>
    </row>
    <row r="5592" spans="1:8" ht="15.75" thickBot="1">
      <c r="B5592" s="212" t="str">
        <f ca="1">_xlfn.XLOOKUP(C5590,Cantidades!$C$1:$C$314,Cantidades!$B$1:$B$314,"",0,1)</f>
        <v>9AEEDE1-</v>
      </c>
      <c r="C5592" s="10" t="s">
        <v>0</v>
      </c>
      <c r="D5592" s="190"/>
      <c r="E5592" s="11"/>
      <c r="F5592" s="12"/>
      <c r="G5592" s="13"/>
    </row>
    <row r="5593" spans="1:8" ht="14.25" thickBot="1">
      <c r="A5593" s="215"/>
      <c r="B5593" s="216" t="s">
        <v>550</v>
      </c>
      <c r="C5593" s="14" t="s">
        <v>1</v>
      </c>
      <c r="D5593" s="15" t="s">
        <v>2</v>
      </c>
      <c r="E5593" s="15" t="s">
        <v>3</v>
      </c>
      <c r="F5593" s="16" t="s">
        <v>4</v>
      </c>
      <c r="G5593" s="15" t="s">
        <v>5</v>
      </c>
    </row>
    <row r="5594" spans="1:8">
      <c r="A5594" s="211" t="s">
        <v>484</v>
      </c>
      <c r="B5594" s="216" t="str">
        <f ca="1">_xlfn.CONCAT(B5592,A5594)</f>
        <v>9AEEDE1-A</v>
      </c>
      <c r="C5594" s="17" t="str">
        <f>_xlfn.XLOOKUP(H5594,'Materiales unitario'!$A$1:$A$2500,'Materiales unitario'!B$1:B$2500,,0,1)</f>
        <v>Ducto telef. Y Electric. pesado TDP ø2" PVC</v>
      </c>
      <c r="D5594" s="184" t="str">
        <f>_xlfn.XLOOKUP(H5594,'Materiales unitario'!A$1:A$2500,'Materiales unitario'!C$1:C$2500,,0,1)</f>
        <v>ml</v>
      </c>
      <c r="E5594" s="197">
        <f>_xlfn.XLOOKUP(H5594,'Materiales unitario'!$A$1:$A$2500,'Materiales unitario'!D$1:D$2500,,0,1)</f>
        <v>6520</v>
      </c>
      <c r="F5594" s="19">
        <v>1.2</v>
      </c>
      <c r="G5594" s="20">
        <f>+E5594*F5594</f>
        <v>7824</v>
      </c>
      <c r="H5594" s="211" t="s">
        <v>1196</v>
      </c>
    </row>
    <row r="5595" spans="1:8">
      <c r="A5595" s="211" t="s">
        <v>485</v>
      </c>
      <c r="B5595" s="216" t="str">
        <f ca="1">_xlfn.CONCAT(B5592,A5595)</f>
        <v>9AEEDE1-B</v>
      </c>
      <c r="C5595" s="17" t="str">
        <f>_xlfn.XLOOKUP(H5595,'Materiales unitario'!$A$1:$A$2500,'Materiales unitario'!B$1:B$2500,,0,1)</f>
        <v>Campana terminal ducto ø2" PVC</v>
      </c>
      <c r="D5595" s="184" t="str">
        <f>_xlfn.XLOOKUP(H5595,'Materiales unitario'!A$1:A$2500,'Materiales unitario'!C$1:C$2500,,0,1)</f>
        <v>un</v>
      </c>
      <c r="E5595" s="197">
        <f>_xlfn.XLOOKUP(H5595,'Materiales unitario'!$A$1:$A$2500,'Materiales unitario'!D$1:D$2500,,0,1)</f>
        <v>4046</v>
      </c>
      <c r="F5595" s="19">
        <v>0.5</v>
      </c>
      <c r="G5595" s="20">
        <f>+E5595*F5595</f>
        <v>2023</v>
      </c>
      <c r="H5595" s="211" t="s">
        <v>286</v>
      </c>
    </row>
    <row r="5596" spans="1:8">
      <c r="A5596" s="211" t="s">
        <v>486</v>
      </c>
      <c r="B5596" s="216" t="str">
        <f ca="1">_xlfn.CONCAT(B5592,A5596)</f>
        <v>9AEEDE1-C</v>
      </c>
      <c r="C5596" s="17" t="str">
        <f>_xlfn.XLOOKUP(H5596,'Materiales unitario'!$A$1:$A$2500,'Materiales unitario'!B$1:B$2500,,0,1)</f>
        <v>Soldadura liquida PVC 1/4 de galón</v>
      </c>
      <c r="D5596" s="184" t="str">
        <f>_xlfn.XLOOKUP(H5596,'Materiales unitario'!A$1:A$2500,'Materiales unitario'!C$1:C$2500,,0,1)</f>
        <v>un</v>
      </c>
      <c r="E5596" s="197">
        <f>_xlfn.XLOOKUP(H5596,'Materiales unitario'!$A$1:$A$2500,'Materiales unitario'!D$1:D$2500,,0,1)</f>
        <v>60900</v>
      </c>
      <c r="F5596" s="19">
        <v>0.06</v>
      </c>
      <c r="G5596" s="20">
        <f>+E5596*F5596</f>
        <v>3654</v>
      </c>
      <c r="H5596" s="211" t="s">
        <v>530</v>
      </c>
    </row>
    <row r="5597" spans="1:8">
      <c r="A5597" s="211" t="s">
        <v>487</v>
      </c>
      <c r="B5597" s="216" t="str">
        <f ca="1">_xlfn.CONCAT(B5592,A5597)</f>
        <v>9AEEDE1-D</v>
      </c>
      <c r="C5597" s="17" t="str">
        <f>_xlfn.XLOOKUP(H5597,'Materiales unitario'!$A$1:$A$2500,'Materiales unitario'!B$1:B$2500,,0,1)</f>
        <v>Ducto telef. Y Electric. Corrugado TDP ø3" PVC</v>
      </c>
      <c r="D5597" s="184" t="str">
        <f>_xlfn.XLOOKUP(H5597,'Materiales unitario'!A$1:A$2500,'Materiales unitario'!C$1:C$2500,,0,1)</f>
        <v>ml</v>
      </c>
      <c r="E5597" s="197">
        <f>_xlfn.XLOOKUP(H5597,'Materiales unitario'!$A$1:$A$2500,'Materiales unitario'!D$1:D$2500,,0,1)</f>
        <v>12880</v>
      </c>
      <c r="F5597" s="19">
        <v>1.2</v>
      </c>
      <c r="G5597" s="20">
        <f>+E5597*F5597</f>
        <v>15456</v>
      </c>
      <c r="H5597" s="211" t="s">
        <v>1191</v>
      </c>
    </row>
    <row r="5598" spans="1:8">
      <c r="A5598" s="211" t="s">
        <v>488</v>
      </c>
      <c r="B5598" s="216" t="str">
        <f ca="1">_xlfn.CONCAT(B5592,A5598)</f>
        <v>9AEEDE1-E</v>
      </c>
      <c r="C5598" s="17" t="str">
        <f>_xlfn.XLOOKUP(H5598,'Materiales unitario'!$A$1:$A$2500,'Materiales unitario'!B$1:B$2500,,0,1)</f>
        <v>Campana terminal ducto ø3" PVC</v>
      </c>
      <c r="D5598" s="184" t="str">
        <f>_xlfn.XLOOKUP(H5598,'Materiales unitario'!A$1:A$2500,'Materiales unitario'!C$1:C$2500,,0,1)</f>
        <v>un</v>
      </c>
      <c r="E5598" s="197">
        <f>_xlfn.XLOOKUP(H5598,'Materiales unitario'!$A$1:$A$2500,'Materiales unitario'!D$1:D$2500,,0,1)</f>
        <v>8640</v>
      </c>
      <c r="F5598" s="19">
        <v>0.2</v>
      </c>
      <c r="G5598" s="20">
        <f>+E5598*F5598</f>
        <v>1728</v>
      </c>
      <c r="H5598" s="211" t="s">
        <v>1193</v>
      </c>
    </row>
    <row r="5599" spans="1:8">
      <c r="A5599" s="211" t="s">
        <v>489</v>
      </c>
      <c r="B5599" s="216" t="str">
        <f ca="1">_xlfn.CONCAT(B5592,A5599)</f>
        <v>9AEEDE1-F</v>
      </c>
      <c r="C5599" s="17"/>
      <c r="D5599" s="184"/>
      <c r="E5599" s="197"/>
      <c r="F5599" s="19"/>
      <c r="G5599" s="20"/>
    </row>
    <row r="5600" spans="1:8">
      <c r="A5600" s="211" t="s">
        <v>490</v>
      </c>
      <c r="B5600" s="216" t="str">
        <f ca="1">_xlfn.CONCAT(B5592,A5600)</f>
        <v>9AEEDE1-G</v>
      </c>
      <c r="C5600" s="17"/>
      <c r="D5600" s="184"/>
      <c r="E5600" s="197"/>
      <c r="F5600" s="19"/>
      <c r="G5600" s="20"/>
    </row>
    <row r="5601" spans="1:7">
      <c r="A5601" s="211" t="s">
        <v>491</v>
      </c>
      <c r="B5601" s="216" t="str">
        <f ca="1">_xlfn.CONCAT(B5592,A5601)</f>
        <v>9AEEDE1-H</v>
      </c>
      <c r="C5601" s="17"/>
      <c r="D5601" s="184"/>
      <c r="E5601" s="197"/>
      <c r="F5601" s="19"/>
      <c r="G5601" s="20"/>
    </row>
    <row r="5602" spans="1:7">
      <c r="A5602" s="211" t="s">
        <v>492</v>
      </c>
      <c r="B5602" s="216" t="str">
        <f ca="1">_xlfn.CONCAT(B5592,A5602)</f>
        <v>9AEEDE1-I</v>
      </c>
      <c r="C5602" s="17"/>
      <c r="D5602" s="184"/>
      <c r="E5602" s="197"/>
      <c r="F5602" s="19"/>
      <c r="G5602" s="20"/>
    </row>
    <row r="5603" spans="1:7">
      <c r="A5603" s="211" t="s">
        <v>493</v>
      </c>
      <c r="B5603" s="216" t="str">
        <f ca="1">_xlfn.CONCAT(B5592,A5603)</f>
        <v>9AEEDE1-J</v>
      </c>
      <c r="C5603" s="17"/>
      <c r="D5603" s="184"/>
      <c r="E5603" s="197"/>
      <c r="F5603" s="19"/>
      <c r="G5603" s="20"/>
    </row>
    <row r="5604" spans="1:7">
      <c r="A5604" s="211" t="s">
        <v>494</v>
      </c>
      <c r="B5604" s="216" t="str">
        <f ca="1">_xlfn.CONCAT(B5592,A5604)</f>
        <v>9AEEDE1-K</v>
      </c>
      <c r="C5604" s="17"/>
      <c r="D5604" s="184"/>
      <c r="E5604" s="197"/>
      <c r="F5604" s="19"/>
      <c r="G5604" s="20"/>
    </row>
    <row r="5605" spans="1:7">
      <c r="A5605" s="211" t="s">
        <v>495</v>
      </c>
      <c r="B5605" s="216" t="str">
        <f ca="1">_xlfn.CONCAT(B5592,A5605)</f>
        <v>9AEEDE1-L</v>
      </c>
      <c r="C5605" s="17"/>
      <c r="D5605" s="184"/>
      <c r="E5605" s="197"/>
      <c r="F5605" s="19"/>
      <c r="G5605" s="20"/>
    </row>
    <row r="5606" spans="1:7">
      <c r="A5606" s="211" t="s">
        <v>496</v>
      </c>
      <c r="B5606" s="216" t="str">
        <f ca="1">_xlfn.CONCAT(B5592,A5606)</f>
        <v>9AEEDE1-M</v>
      </c>
      <c r="C5606" s="17"/>
      <c r="D5606" s="184"/>
      <c r="E5606" s="197"/>
      <c r="F5606" s="19"/>
      <c r="G5606" s="20"/>
    </row>
    <row r="5607" spans="1:7">
      <c r="A5607" s="211" t="s">
        <v>497</v>
      </c>
      <c r="B5607" s="216" t="str">
        <f ca="1">_xlfn.CONCAT(B5592,A5607)</f>
        <v>9AEEDE1-N</v>
      </c>
      <c r="C5607" s="17"/>
      <c r="D5607" s="184"/>
      <c r="E5607" s="197"/>
      <c r="F5607" s="19"/>
      <c r="G5607" s="20"/>
    </row>
    <row r="5608" spans="1:7">
      <c r="A5608" s="211" t="s">
        <v>498</v>
      </c>
      <c r="B5608" s="216" t="str">
        <f ca="1">_xlfn.CONCAT(B5592,A5608)</f>
        <v>9AEEDE1-O</v>
      </c>
      <c r="C5608" s="17"/>
      <c r="D5608" s="184"/>
      <c r="E5608" s="197"/>
      <c r="F5608" s="19"/>
      <c r="G5608" s="20"/>
    </row>
    <row r="5609" spans="1:7">
      <c r="A5609" s="211" t="s">
        <v>499</v>
      </c>
      <c r="B5609" s="216" t="str">
        <f ca="1">_xlfn.CONCAT(B5592,A5609)</f>
        <v>9AEEDE1-P</v>
      </c>
      <c r="C5609" s="17"/>
      <c r="D5609" s="184"/>
      <c r="E5609" s="197"/>
      <c r="F5609" s="19"/>
      <c r="G5609" s="20"/>
    </row>
    <row r="5610" spans="1:7">
      <c r="A5610" s="211" t="s">
        <v>500</v>
      </c>
      <c r="B5610" s="216" t="str">
        <f ca="1">_xlfn.CONCAT(B5592,A5610)</f>
        <v>9AEEDE1-Q</v>
      </c>
      <c r="C5610" s="17"/>
      <c r="D5610" s="184"/>
      <c r="E5610" s="197"/>
      <c r="F5610" s="19"/>
      <c r="G5610" s="20"/>
    </row>
    <row r="5611" spans="1:7">
      <c r="A5611" s="211" t="s">
        <v>501</v>
      </c>
      <c r="B5611" s="216" t="str">
        <f ca="1">_xlfn.CONCAT(B5592,A5611)</f>
        <v>9AEEDE1-R</v>
      </c>
      <c r="C5611" s="17"/>
      <c r="D5611" s="184"/>
      <c r="E5611" s="197"/>
      <c r="F5611" s="19"/>
      <c r="G5611" s="20"/>
    </row>
    <row r="5612" spans="1:7">
      <c r="A5612" s="211" t="s">
        <v>502</v>
      </c>
      <c r="B5612" s="216" t="str">
        <f ca="1">_xlfn.CONCAT(B5592,A5612)</f>
        <v>9AEEDE1-S</v>
      </c>
      <c r="C5612" s="17"/>
      <c r="D5612" s="184"/>
      <c r="E5612" s="197"/>
      <c r="F5612" s="19"/>
      <c r="G5612" s="20"/>
    </row>
    <row r="5613" spans="1:7">
      <c r="A5613" s="211" t="s">
        <v>503</v>
      </c>
      <c r="B5613" s="216" t="str">
        <f ca="1">_xlfn.CONCAT(B5592,A5613)</f>
        <v>9AEEDE1-T</v>
      </c>
      <c r="C5613" s="17"/>
      <c r="D5613" s="184"/>
      <c r="E5613" s="197"/>
      <c r="F5613" s="19"/>
      <c r="G5613" s="20"/>
    </row>
    <row r="5614" spans="1:7" ht="14.25" thickBot="1">
      <c r="A5614" s="211" t="s">
        <v>504</v>
      </c>
      <c r="B5614" s="216" t="str">
        <f ca="1">_xlfn.CONCAT(B5592,A5614)</f>
        <v>9AEEDE1-U</v>
      </c>
      <c r="C5614" s="17"/>
      <c r="D5614" s="184"/>
      <c r="E5614" s="197"/>
      <c r="F5614" s="19"/>
      <c r="G5614" s="20"/>
    </row>
    <row r="5615" spans="1:7" ht="14.25" thickBot="1">
      <c r="A5615" s="211" t="s">
        <v>505</v>
      </c>
      <c r="B5615" s="216" t="str">
        <f ca="1">_xlfn.CONCAT(B5592,A5615)</f>
        <v>9AEEDE1-V</v>
      </c>
      <c r="C5615" s="17" t="s">
        <v>17</v>
      </c>
      <c r="D5615" s="192" t="s">
        <v>17</v>
      </c>
      <c r="E5615" s="18"/>
      <c r="F5615" s="22" t="s">
        <v>18</v>
      </c>
      <c r="G5615" s="23">
        <f>SUM(G5594:G5614)</f>
        <v>30685</v>
      </c>
    </row>
    <row r="5616" spans="1:7" ht="15.75" thickBot="1">
      <c r="A5616" s="211" t="s">
        <v>506</v>
      </c>
      <c r="B5616" s="216" t="str">
        <f ca="1">_xlfn.CONCAT(B5592,A5616)</f>
        <v>9AEEDE1-W</v>
      </c>
      <c r="C5616" s="10" t="s">
        <v>19</v>
      </c>
      <c r="D5616" s="190"/>
      <c r="E5616" s="11"/>
      <c r="F5616" s="12"/>
      <c r="G5616" s="13"/>
    </row>
    <row r="5617" spans="1:8" ht="14.25" thickBot="1">
      <c r="A5617" s="211" t="s">
        <v>507</v>
      </c>
      <c r="B5617" s="216" t="str">
        <f ca="1">_xlfn.CONCAT(B5592,A5617)</f>
        <v>9AEEDE1-X</v>
      </c>
      <c r="C5617" s="14" t="s">
        <v>1</v>
      </c>
      <c r="D5617" s="15"/>
      <c r="E5617" s="15" t="s">
        <v>20</v>
      </c>
      <c r="F5617" s="16" t="s">
        <v>21</v>
      </c>
      <c r="G5617" s="15" t="s">
        <v>5</v>
      </c>
      <c r="H5617" s="215"/>
    </row>
    <row r="5618" spans="1:8">
      <c r="A5618" s="211" t="s">
        <v>508</v>
      </c>
      <c r="B5618" s="216" t="str">
        <f ca="1">_xlfn.CONCAT(B5592,A5618)</f>
        <v>9AEEDE1-Y</v>
      </c>
      <c r="C5618" s="24" t="s">
        <v>22</v>
      </c>
      <c r="D5618" s="184"/>
      <c r="E5618" s="25">
        <f>_xlfn.XLOOKUP(C5618,'H-MO'!B$7:B$30,'H-MO'!D$7:D$30,,0,1)</f>
        <v>2436.5624999999995</v>
      </c>
      <c r="F5618" s="19">
        <v>0.4</v>
      </c>
      <c r="G5618" s="33">
        <f t="shared" ref="G5618:G5623" si="161">+E5618*F5618</f>
        <v>974.62499999999989</v>
      </c>
    </row>
    <row r="5619" spans="1:8">
      <c r="A5619" s="211" t="s">
        <v>509</v>
      </c>
      <c r="B5619" s="216" t="str">
        <f ca="1">_xlfn.CONCAT(B5592,A5619)</f>
        <v>9AEEDE1-Z</v>
      </c>
      <c r="C5619" s="24" t="s">
        <v>23</v>
      </c>
      <c r="D5619" s="184"/>
      <c r="E5619" s="25">
        <f>_xlfn.XLOOKUP(C5619,'H-MO'!B$7:B$30,'H-MO'!D$7:D$30,,0,1)</f>
        <v>1461.9374999999998</v>
      </c>
      <c r="F5619" s="19">
        <v>0.8</v>
      </c>
      <c r="G5619" s="33">
        <f t="shared" si="161"/>
        <v>1169.55</v>
      </c>
    </row>
    <row r="5620" spans="1:8">
      <c r="A5620" s="211" t="s">
        <v>510</v>
      </c>
      <c r="B5620" s="216" t="str">
        <f ca="1">_xlfn.CONCAT(B5592,A5620)</f>
        <v>9AEEDE1-aa</v>
      </c>
      <c r="C5620" s="24" t="s">
        <v>24</v>
      </c>
      <c r="D5620" s="185"/>
      <c r="E5620" s="25">
        <f>_xlfn.XLOOKUP(C5620,'H-MO'!B$7:B$30,'H-MO'!D$7:D$30,,0,1)</f>
        <v>29238.749999999996</v>
      </c>
      <c r="F5620" s="28">
        <v>0.2</v>
      </c>
      <c r="G5620" s="33">
        <f t="shared" si="161"/>
        <v>5847.75</v>
      </c>
    </row>
    <row r="5621" spans="1:8">
      <c r="A5621" s="211" t="s">
        <v>511</v>
      </c>
      <c r="B5621" s="216" t="str">
        <f ca="1">_xlfn.CONCAT(B5592,A5621)</f>
        <v>9AEEDE1-ab</v>
      </c>
      <c r="C5621" s="24" t="s">
        <v>25</v>
      </c>
      <c r="D5621" s="185"/>
      <c r="E5621" s="25">
        <f>_xlfn.XLOOKUP(C5621,'H-MO'!B$7:B$30,'H-MO'!D$7:D$30,,0,1)</f>
        <v>2761.4374999999995</v>
      </c>
      <c r="F5621" s="28">
        <v>0.3</v>
      </c>
      <c r="G5621" s="33">
        <f t="shared" si="161"/>
        <v>828.43124999999986</v>
      </c>
    </row>
    <row r="5622" spans="1:8">
      <c r="A5622" s="211" t="s">
        <v>512</v>
      </c>
      <c r="B5622" s="216" t="str">
        <f ca="1">_xlfn.CONCAT(B5592,A5622)</f>
        <v>9AEEDE1-ac</v>
      </c>
      <c r="C5622" s="24"/>
      <c r="D5622" s="185"/>
      <c r="E5622" s="29"/>
      <c r="F5622" s="28">
        <v>0</v>
      </c>
      <c r="G5622" s="33">
        <f t="shared" si="161"/>
        <v>0</v>
      </c>
    </row>
    <row r="5623" spans="1:8" ht="14.25" thickBot="1">
      <c r="A5623" s="211" t="s">
        <v>513</v>
      </c>
      <c r="B5623" s="216" t="str">
        <f ca="1">_xlfn.CONCAT(B5592,A5623)</f>
        <v>9AEEDE1-ad</v>
      </c>
      <c r="C5623" s="24"/>
      <c r="D5623" s="185"/>
      <c r="E5623" s="29"/>
      <c r="F5623" s="28">
        <v>0</v>
      </c>
      <c r="G5623" s="33">
        <f t="shared" si="161"/>
        <v>0</v>
      </c>
    </row>
    <row r="5624" spans="1:8" ht="14.25" thickBot="1">
      <c r="A5624" s="211" t="s">
        <v>514</v>
      </c>
      <c r="B5624" s="216" t="str">
        <f ca="1">_xlfn.CONCAT(B5592,A5624)</f>
        <v>9AEEDE1-ae</v>
      </c>
      <c r="C5624" s="17"/>
      <c r="D5624" s="192"/>
      <c r="E5624" s="18"/>
      <c r="F5624" s="22" t="s">
        <v>26</v>
      </c>
      <c r="G5624" s="23">
        <f>SUM(G5618:G5623)</f>
        <v>8820.3562499999989</v>
      </c>
    </row>
    <row r="5625" spans="1:8" ht="15.75" thickBot="1">
      <c r="A5625" s="211" t="s">
        <v>515</v>
      </c>
      <c r="B5625" s="216" t="str">
        <f ca="1">_xlfn.CONCAT(B5592,A5625)</f>
        <v>9AEEDE1-af</v>
      </c>
      <c r="C5625" s="10" t="s">
        <v>27</v>
      </c>
      <c r="D5625" s="190"/>
      <c r="E5625" s="11"/>
      <c r="F5625" s="12"/>
      <c r="G5625" s="13"/>
    </row>
    <row r="5626" spans="1:8" ht="14.25" thickBot="1">
      <c r="A5626" s="211" t="s">
        <v>516</v>
      </c>
      <c r="B5626" s="216" t="str">
        <f ca="1">_xlfn.CONCAT(B5592,A5626)</f>
        <v>9AEEDE1-ag</v>
      </c>
      <c r="C5626" s="14" t="s">
        <v>1</v>
      </c>
      <c r="D5626" s="15" t="s">
        <v>28</v>
      </c>
      <c r="E5626" s="15" t="s">
        <v>20</v>
      </c>
      <c r="F5626" s="16" t="s">
        <v>21</v>
      </c>
      <c r="G5626" s="15" t="s">
        <v>5</v>
      </c>
      <c r="H5626" s="215"/>
    </row>
    <row r="5627" spans="1:8">
      <c r="A5627" s="211" t="s">
        <v>517</v>
      </c>
      <c r="B5627" s="216" t="str">
        <f ca="1">_xlfn.CONCAT(B5592,A5627)</f>
        <v>9AEEDE1-ah</v>
      </c>
      <c r="C5627" s="30" t="s">
        <v>29</v>
      </c>
      <c r="D5627" s="186">
        <f>'H-MO'!$N$77</f>
        <v>725918.52892505517</v>
      </c>
      <c r="E5627" s="31">
        <f>+D5627/8</f>
        <v>90739.816115631897</v>
      </c>
      <c r="F5627" s="32">
        <v>0.04</v>
      </c>
      <c r="G5627" s="33">
        <f>+E5627*F5627</f>
        <v>3629.5926446252761</v>
      </c>
    </row>
    <row r="5628" spans="1:8">
      <c r="A5628" s="211" t="s">
        <v>518</v>
      </c>
      <c r="B5628" s="216" t="str">
        <f ca="1">_xlfn.CONCAT(B5592,A5628)</f>
        <v>9AEEDE1-ai</v>
      </c>
      <c r="C5628" s="34" t="s">
        <v>30</v>
      </c>
      <c r="D5628" s="187">
        <f>'H-MO'!$N$86</f>
        <v>685561.39085756091</v>
      </c>
      <c r="E5628" s="29">
        <f>+D5628/8</f>
        <v>85695.173857195114</v>
      </c>
      <c r="F5628" s="28">
        <v>0.08</v>
      </c>
      <c r="G5628" s="33">
        <f>+E5628*F5628</f>
        <v>6855.6139085756095</v>
      </c>
    </row>
    <row r="5629" spans="1:8" ht="14.25" thickBot="1">
      <c r="A5629" s="211" t="s">
        <v>519</v>
      </c>
      <c r="B5629" s="216" t="str">
        <f ca="1">_xlfn.CONCAT(B5592,A5629)</f>
        <v>9AEEDE1-aj</v>
      </c>
      <c r="C5629" s="34"/>
      <c r="D5629" s="187"/>
      <c r="E5629" s="29"/>
      <c r="F5629" s="28">
        <v>0</v>
      </c>
      <c r="G5629" s="33">
        <f>+E5629*F5629</f>
        <v>0</v>
      </c>
    </row>
    <row r="5630" spans="1:8" ht="14.25" thickBot="1">
      <c r="A5630" s="211" t="s">
        <v>520</v>
      </c>
      <c r="B5630" s="216" t="str">
        <f ca="1">_xlfn.CONCAT(B5592,A5630)</f>
        <v>9AEEDE1-ak</v>
      </c>
      <c r="C5630" s="34"/>
      <c r="D5630" s="185"/>
      <c r="E5630" s="26"/>
      <c r="F5630" s="36" t="s">
        <v>31</v>
      </c>
      <c r="G5630" s="23">
        <f>SUM(G5627:G5629)</f>
        <v>10485.206553200886</v>
      </c>
    </row>
    <row r="5631" spans="1:8" ht="14.25" thickBot="1">
      <c r="A5631" s="211" t="s">
        <v>521</v>
      </c>
      <c r="B5631" s="216" t="str">
        <f ca="1">_xlfn.CONCAT(B5592,A5631)</f>
        <v>9AEEDE1-al</v>
      </c>
      <c r="C5631" s="37"/>
      <c r="E5631" s="38"/>
      <c r="F5631" s="22"/>
      <c r="G5631" s="39"/>
    </row>
    <row r="5632" spans="1:8" ht="16.5" thickBot="1">
      <c r="A5632" s="211" t="s">
        <v>522</v>
      </c>
      <c r="B5632" s="216" t="str">
        <f ca="1">_xlfn.CONCAT(B5592,A5632)</f>
        <v>9AEEDE1-am</v>
      </c>
      <c r="C5632" s="40"/>
      <c r="D5632" s="193"/>
      <c r="E5632" s="41"/>
      <c r="F5632" s="42"/>
      <c r="G5632" s="43">
        <f>+G5615+G5624+G5630</f>
        <v>49990.562803200883</v>
      </c>
    </row>
    <row r="5633" spans="1:8" ht="21.75" thickBot="1">
      <c r="B5633" s="212" t="s">
        <v>550</v>
      </c>
      <c r="C5633" s="2"/>
      <c r="D5633" s="183"/>
      <c r="F5633" s="4"/>
      <c r="G5633" s="5"/>
    </row>
    <row r="5634" spans="1:8" ht="18.75">
      <c r="A5634" s="213"/>
      <c r="B5634" s="214">
        <v>129</v>
      </c>
      <c r="C5634" s="242" t="str">
        <f ca="1">_xlfn.XLOOKUP(B5634,Cantidades!$A$10:$A$314,Cantidades!$C$10:$C$314,,0,1)</f>
        <v>Suministro e instalación de ductos  8Ø2" PVC</v>
      </c>
      <c r="D5634" s="243"/>
      <c r="E5634" s="243"/>
      <c r="F5634" s="243"/>
      <c r="G5634" s="244"/>
      <c r="H5634" s="213"/>
    </row>
    <row r="5635" spans="1:8" ht="19.5" thickBot="1">
      <c r="A5635" s="215"/>
      <c r="B5635" s="216" t="s">
        <v>550</v>
      </c>
      <c r="C5635" s="177"/>
      <c r="D5635" s="189"/>
      <c r="E5635" s="178"/>
      <c r="F5635" s="179" t="s">
        <v>636</v>
      </c>
      <c r="G5635" s="209" t="str">
        <f ca="1">B5636</f>
        <v>216310C1-</v>
      </c>
      <c r="H5635" s="215"/>
    </row>
    <row r="5636" spans="1:8" ht="15.75" thickBot="1">
      <c r="B5636" s="212" t="str">
        <f ca="1">_xlfn.XLOOKUP(C5634,Cantidades!$C$1:$C$314,Cantidades!$B$1:$B$314,"",0,1)</f>
        <v>216310C1-</v>
      </c>
      <c r="C5636" s="10" t="s">
        <v>0</v>
      </c>
      <c r="D5636" s="190"/>
      <c r="E5636" s="11"/>
      <c r="F5636" s="12"/>
      <c r="G5636" s="13"/>
    </row>
    <row r="5637" spans="1:8" ht="14.25" thickBot="1">
      <c r="A5637" s="215"/>
      <c r="B5637" s="216" t="s">
        <v>550</v>
      </c>
      <c r="C5637" s="14" t="s">
        <v>1</v>
      </c>
      <c r="D5637" s="15" t="s">
        <v>2</v>
      </c>
      <c r="E5637" s="15" t="s">
        <v>3</v>
      </c>
      <c r="F5637" s="16" t="s">
        <v>4</v>
      </c>
      <c r="G5637" s="15" t="s">
        <v>5</v>
      </c>
    </row>
    <row r="5638" spans="1:8">
      <c r="A5638" s="211" t="s">
        <v>484</v>
      </c>
      <c r="B5638" s="216" t="str">
        <f ca="1">_xlfn.CONCAT(B5636,A5638)</f>
        <v>216310C1-A</v>
      </c>
      <c r="C5638" s="17" t="str">
        <f>_xlfn.XLOOKUP(H5638,'Materiales unitario'!$A$1:$A$2500,'Materiales unitario'!B$1:B$2500,,0,1)</f>
        <v>Ducto telef. Y Electric. pesado TDP ø2" PVC</v>
      </c>
      <c r="D5638" s="184" t="str">
        <f>_xlfn.XLOOKUP(H5638,'Materiales unitario'!A$1:A$2500,'Materiales unitario'!C$1:C$2500,,0,1)</f>
        <v>ml</v>
      </c>
      <c r="E5638" s="197">
        <f>_xlfn.XLOOKUP(H5638,'Materiales unitario'!$A$1:$A$2500,'Materiales unitario'!D$1:D$2500,,0,1)</f>
        <v>6520</v>
      </c>
      <c r="F5638" s="19">
        <v>9.6</v>
      </c>
      <c r="G5638" s="20">
        <f>+E5638*F5638</f>
        <v>62592</v>
      </c>
      <c r="H5638" s="211" t="s">
        <v>1196</v>
      </c>
    </row>
    <row r="5639" spans="1:8">
      <c r="A5639" s="211" t="s">
        <v>485</v>
      </c>
      <c r="B5639" s="216" t="str">
        <f ca="1">_xlfn.CONCAT(B5636,A5639)</f>
        <v>216310C1-B</v>
      </c>
      <c r="C5639" s="17" t="str">
        <f>_xlfn.XLOOKUP(H5639,'Materiales unitario'!$A$1:$A$2500,'Materiales unitario'!B$1:B$2500,,0,1)</f>
        <v>Campana terminal ducto ø2" PVC</v>
      </c>
      <c r="D5639" s="184" t="str">
        <f>_xlfn.XLOOKUP(H5639,'Materiales unitario'!A$1:A$2500,'Materiales unitario'!C$1:C$2500,,0,1)</f>
        <v>un</v>
      </c>
      <c r="E5639" s="197">
        <f>_xlfn.XLOOKUP(H5639,'Materiales unitario'!$A$1:$A$2500,'Materiales unitario'!D$1:D$2500,,0,1)</f>
        <v>4046</v>
      </c>
      <c r="F5639" s="19">
        <v>2</v>
      </c>
      <c r="G5639" s="20">
        <f>+E5639*F5639</f>
        <v>8092</v>
      </c>
      <c r="H5639" s="211" t="s">
        <v>286</v>
      </c>
    </row>
    <row r="5640" spans="1:8">
      <c r="A5640" s="211" t="s">
        <v>486</v>
      </c>
      <c r="B5640" s="216" t="str">
        <f ca="1">_xlfn.CONCAT(B5636,A5640)</f>
        <v>216310C1-C</v>
      </c>
      <c r="C5640" s="17" t="str">
        <f>_xlfn.XLOOKUP(H5640,'Materiales unitario'!$A$1:$A$2500,'Materiales unitario'!B$1:B$2500,,0,1)</f>
        <v>Soldadura liquida PVC 1/4 de galón</v>
      </c>
      <c r="D5640" s="184" t="str">
        <f>_xlfn.XLOOKUP(H5640,'Materiales unitario'!A$1:A$2500,'Materiales unitario'!C$1:C$2500,,0,1)</f>
        <v>un</v>
      </c>
      <c r="E5640" s="197">
        <f>_xlfn.XLOOKUP(H5640,'Materiales unitario'!$A$1:$A$2500,'Materiales unitario'!D$1:D$2500,,0,1)</f>
        <v>60900</v>
      </c>
      <c r="F5640" s="19">
        <v>0.15</v>
      </c>
      <c r="G5640" s="20">
        <f>+E5640*F5640</f>
        <v>9135</v>
      </c>
      <c r="H5640" s="211" t="s">
        <v>530</v>
      </c>
    </row>
    <row r="5641" spans="1:8">
      <c r="A5641" s="211" t="s">
        <v>487</v>
      </c>
      <c r="B5641" s="216" t="str">
        <f ca="1">_xlfn.CONCAT(B5636,A5641)</f>
        <v>216310C1-D</v>
      </c>
      <c r="C5641" s="17"/>
      <c r="D5641" s="184"/>
      <c r="E5641" s="197"/>
      <c r="F5641" s="19"/>
      <c r="G5641" s="20"/>
    </row>
    <row r="5642" spans="1:8">
      <c r="A5642" s="211" t="s">
        <v>488</v>
      </c>
      <c r="B5642" s="216" t="str">
        <f ca="1">_xlfn.CONCAT(B5636,A5642)</f>
        <v>216310C1-E</v>
      </c>
      <c r="C5642" s="17"/>
      <c r="D5642" s="184"/>
      <c r="E5642" s="197"/>
      <c r="F5642" s="19"/>
      <c r="G5642" s="20"/>
    </row>
    <row r="5643" spans="1:8">
      <c r="A5643" s="211" t="s">
        <v>489</v>
      </c>
      <c r="B5643" s="216" t="str">
        <f ca="1">_xlfn.CONCAT(B5636,A5643)</f>
        <v>216310C1-F</v>
      </c>
      <c r="C5643" s="17"/>
      <c r="D5643" s="184"/>
      <c r="E5643" s="197"/>
      <c r="F5643" s="19"/>
      <c r="G5643" s="20"/>
    </row>
    <row r="5644" spans="1:8">
      <c r="A5644" s="211" t="s">
        <v>490</v>
      </c>
      <c r="B5644" s="216" t="str">
        <f ca="1">_xlfn.CONCAT(B5636,A5644)</f>
        <v>216310C1-G</v>
      </c>
      <c r="C5644" s="17"/>
      <c r="D5644" s="184"/>
      <c r="E5644" s="197"/>
      <c r="F5644" s="19"/>
      <c r="G5644" s="20"/>
    </row>
    <row r="5645" spans="1:8">
      <c r="A5645" s="211" t="s">
        <v>491</v>
      </c>
      <c r="B5645" s="216" t="str">
        <f ca="1">_xlfn.CONCAT(B5636,A5645)</f>
        <v>216310C1-H</v>
      </c>
      <c r="C5645" s="17"/>
      <c r="D5645" s="184"/>
      <c r="E5645" s="197"/>
      <c r="F5645" s="19"/>
      <c r="G5645" s="20"/>
    </row>
    <row r="5646" spans="1:8">
      <c r="A5646" s="211" t="s">
        <v>492</v>
      </c>
      <c r="B5646" s="216" t="str">
        <f ca="1">_xlfn.CONCAT(B5636,A5646)</f>
        <v>216310C1-I</v>
      </c>
      <c r="C5646" s="17"/>
      <c r="D5646" s="184"/>
      <c r="E5646" s="197"/>
      <c r="F5646" s="19"/>
      <c r="G5646" s="20"/>
    </row>
    <row r="5647" spans="1:8">
      <c r="A5647" s="211" t="s">
        <v>493</v>
      </c>
      <c r="B5647" s="216" t="str">
        <f ca="1">_xlfn.CONCAT(B5636,A5647)</f>
        <v>216310C1-J</v>
      </c>
      <c r="C5647" s="17"/>
      <c r="D5647" s="184"/>
      <c r="E5647" s="197"/>
      <c r="F5647" s="19"/>
      <c r="G5647" s="20"/>
    </row>
    <row r="5648" spans="1:8">
      <c r="A5648" s="211" t="s">
        <v>494</v>
      </c>
      <c r="B5648" s="216" t="str">
        <f ca="1">_xlfn.CONCAT(B5636,A5648)</f>
        <v>216310C1-K</v>
      </c>
      <c r="C5648" s="17"/>
      <c r="D5648" s="184"/>
      <c r="E5648" s="197"/>
      <c r="F5648" s="19"/>
      <c r="G5648" s="20"/>
    </row>
    <row r="5649" spans="1:8">
      <c r="A5649" s="211" t="s">
        <v>495</v>
      </c>
      <c r="B5649" s="216" t="str">
        <f ca="1">_xlfn.CONCAT(B5636,A5649)</f>
        <v>216310C1-L</v>
      </c>
      <c r="C5649" s="17"/>
      <c r="D5649" s="184"/>
      <c r="E5649" s="197"/>
      <c r="F5649" s="19"/>
      <c r="G5649" s="20"/>
    </row>
    <row r="5650" spans="1:8">
      <c r="A5650" s="211" t="s">
        <v>496</v>
      </c>
      <c r="B5650" s="216" t="str">
        <f ca="1">_xlfn.CONCAT(B5636,A5650)</f>
        <v>216310C1-M</v>
      </c>
      <c r="C5650" s="17"/>
      <c r="D5650" s="184"/>
      <c r="E5650" s="197"/>
      <c r="F5650" s="19"/>
      <c r="G5650" s="20"/>
    </row>
    <row r="5651" spans="1:8">
      <c r="A5651" s="211" t="s">
        <v>497</v>
      </c>
      <c r="B5651" s="216" t="str">
        <f ca="1">_xlfn.CONCAT(B5636,A5651)</f>
        <v>216310C1-N</v>
      </c>
      <c r="C5651" s="17"/>
      <c r="D5651" s="184"/>
      <c r="E5651" s="197"/>
      <c r="F5651" s="19"/>
      <c r="G5651" s="20"/>
    </row>
    <row r="5652" spans="1:8">
      <c r="A5652" s="211" t="s">
        <v>498</v>
      </c>
      <c r="B5652" s="216" t="str">
        <f ca="1">_xlfn.CONCAT(B5636,A5652)</f>
        <v>216310C1-O</v>
      </c>
      <c r="C5652" s="17"/>
      <c r="D5652" s="184"/>
      <c r="E5652" s="197"/>
      <c r="F5652" s="19"/>
      <c r="G5652" s="20"/>
    </row>
    <row r="5653" spans="1:8">
      <c r="A5653" s="211" t="s">
        <v>499</v>
      </c>
      <c r="B5653" s="216" t="str">
        <f ca="1">_xlfn.CONCAT(B5636,A5653)</f>
        <v>216310C1-P</v>
      </c>
      <c r="C5653" s="17"/>
      <c r="D5653" s="184"/>
      <c r="E5653" s="197"/>
      <c r="F5653" s="19"/>
      <c r="G5653" s="20"/>
    </row>
    <row r="5654" spans="1:8">
      <c r="A5654" s="211" t="s">
        <v>500</v>
      </c>
      <c r="B5654" s="216" t="str">
        <f ca="1">_xlfn.CONCAT(B5636,A5654)</f>
        <v>216310C1-Q</v>
      </c>
      <c r="C5654" s="17"/>
      <c r="D5654" s="184"/>
      <c r="E5654" s="197"/>
      <c r="F5654" s="19"/>
      <c r="G5654" s="20"/>
    </row>
    <row r="5655" spans="1:8">
      <c r="A5655" s="211" t="s">
        <v>501</v>
      </c>
      <c r="B5655" s="216" t="str">
        <f ca="1">_xlfn.CONCAT(B5636,A5655)</f>
        <v>216310C1-R</v>
      </c>
      <c r="C5655" s="17"/>
      <c r="D5655" s="184"/>
      <c r="E5655" s="197"/>
      <c r="F5655" s="19"/>
      <c r="G5655" s="20"/>
    </row>
    <row r="5656" spans="1:8">
      <c r="A5656" s="211" t="s">
        <v>502</v>
      </c>
      <c r="B5656" s="216" t="str">
        <f ca="1">_xlfn.CONCAT(B5636,A5656)</f>
        <v>216310C1-S</v>
      </c>
      <c r="C5656" s="17"/>
      <c r="D5656" s="184"/>
      <c r="E5656" s="197"/>
      <c r="F5656" s="19"/>
      <c r="G5656" s="20"/>
    </row>
    <row r="5657" spans="1:8">
      <c r="A5657" s="211" t="s">
        <v>503</v>
      </c>
      <c r="B5657" s="216" t="str">
        <f ca="1">_xlfn.CONCAT(B5636,A5657)</f>
        <v>216310C1-T</v>
      </c>
      <c r="C5657" s="17"/>
      <c r="D5657" s="184"/>
      <c r="E5657" s="197"/>
      <c r="F5657" s="19"/>
      <c r="G5657" s="20"/>
    </row>
    <row r="5658" spans="1:8" ht="14.25" thickBot="1">
      <c r="A5658" s="211" t="s">
        <v>504</v>
      </c>
      <c r="B5658" s="216" t="str">
        <f ca="1">_xlfn.CONCAT(B5636,A5658)</f>
        <v>216310C1-U</v>
      </c>
      <c r="C5658" s="17"/>
      <c r="D5658" s="184"/>
      <c r="E5658" s="197"/>
      <c r="F5658" s="19"/>
      <c r="G5658" s="20"/>
    </row>
    <row r="5659" spans="1:8" ht="14.25" thickBot="1">
      <c r="A5659" s="211" t="s">
        <v>505</v>
      </c>
      <c r="B5659" s="216" t="str">
        <f ca="1">_xlfn.CONCAT(B5636,A5659)</f>
        <v>216310C1-V</v>
      </c>
      <c r="C5659" s="17" t="s">
        <v>17</v>
      </c>
      <c r="D5659" s="192" t="s">
        <v>17</v>
      </c>
      <c r="E5659" s="18"/>
      <c r="F5659" s="22" t="s">
        <v>18</v>
      </c>
      <c r="G5659" s="23">
        <f>SUM(G5638:G5658)</f>
        <v>79819</v>
      </c>
    </row>
    <row r="5660" spans="1:8" ht="15.75" thickBot="1">
      <c r="A5660" s="211" t="s">
        <v>506</v>
      </c>
      <c r="B5660" s="216" t="str">
        <f ca="1">_xlfn.CONCAT(B5636,A5660)</f>
        <v>216310C1-W</v>
      </c>
      <c r="C5660" s="10" t="s">
        <v>19</v>
      </c>
      <c r="D5660" s="190"/>
      <c r="E5660" s="11"/>
      <c r="F5660" s="12"/>
      <c r="G5660" s="13"/>
    </row>
    <row r="5661" spans="1:8" ht="14.25" thickBot="1">
      <c r="A5661" s="211" t="s">
        <v>507</v>
      </c>
      <c r="B5661" s="216" t="str">
        <f ca="1">_xlfn.CONCAT(B5636,A5661)</f>
        <v>216310C1-X</v>
      </c>
      <c r="C5661" s="14" t="s">
        <v>1</v>
      </c>
      <c r="D5661" s="15"/>
      <c r="E5661" s="15" t="s">
        <v>20</v>
      </c>
      <c r="F5661" s="16" t="s">
        <v>21</v>
      </c>
      <c r="G5661" s="15" t="s">
        <v>5</v>
      </c>
      <c r="H5661" s="215"/>
    </row>
    <row r="5662" spans="1:8">
      <c r="A5662" s="211" t="s">
        <v>508</v>
      </c>
      <c r="B5662" s="216" t="str">
        <f ca="1">_xlfn.CONCAT(B5636,A5662)</f>
        <v>216310C1-Y</v>
      </c>
      <c r="C5662" s="24" t="s">
        <v>22</v>
      </c>
      <c r="D5662" s="184"/>
      <c r="E5662" s="25">
        <f>_xlfn.XLOOKUP(C5662,'H-MO'!B$7:B$30,'H-MO'!D$7:D$30,,0,1)</f>
        <v>2436.5624999999995</v>
      </c>
      <c r="F5662" s="19">
        <v>2</v>
      </c>
      <c r="G5662" s="33">
        <f t="shared" ref="G5662:G5667" si="162">+E5662*F5662</f>
        <v>4873.1249999999991</v>
      </c>
    </row>
    <row r="5663" spans="1:8">
      <c r="A5663" s="211" t="s">
        <v>509</v>
      </c>
      <c r="B5663" s="216" t="str">
        <f ca="1">_xlfn.CONCAT(B5636,A5663)</f>
        <v>216310C1-Z</v>
      </c>
      <c r="C5663" s="24" t="s">
        <v>23</v>
      </c>
      <c r="D5663" s="184"/>
      <c r="E5663" s="25">
        <f>_xlfn.XLOOKUP(C5663,'H-MO'!B$7:B$30,'H-MO'!D$7:D$30,,0,1)</f>
        <v>1461.9374999999998</v>
      </c>
      <c r="F5663" s="19">
        <v>4</v>
      </c>
      <c r="G5663" s="33">
        <f t="shared" si="162"/>
        <v>5847.7499999999991</v>
      </c>
    </row>
    <row r="5664" spans="1:8">
      <c r="A5664" s="211" t="s">
        <v>510</v>
      </c>
      <c r="B5664" s="216" t="str">
        <f ca="1">_xlfn.CONCAT(B5636,A5664)</f>
        <v>216310C1-aa</v>
      </c>
      <c r="C5664" s="24" t="s">
        <v>24</v>
      </c>
      <c r="D5664" s="185"/>
      <c r="E5664" s="25">
        <f>_xlfn.XLOOKUP(C5664,'H-MO'!B$7:B$30,'H-MO'!D$7:D$30,,0,1)</f>
        <v>29238.749999999996</v>
      </c>
      <c r="F5664" s="28">
        <v>0.2</v>
      </c>
      <c r="G5664" s="33">
        <f t="shared" si="162"/>
        <v>5847.75</v>
      </c>
    </row>
    <row r="5665" spans="1:8">
      <c r="A5665" s="211" t="s">
        <v>511</v>
      </c>
      <c r="B5665" s="216" t="str">
        <f ca="1">_xlfn.CONCAT(B5636,A5665)</f>
        <v>216310C1-ab</v>
      </c>
      <c r="C5665" s="24" t="s">
        <v>25</v>
      </c>
      <c r="D5665" s="185"/>
      <c r="E5665" s="25">
        <f>_xlfn.XLOOKUP(C5665,'H-MO'!B$7:B$30,'H-MO'!D$7:D$30,,0,1)</f>
        <v>2761.4374999999995</v>
      </c>
      <c r="F5665" s="28">
        <v>0.3</v>
      </c>
      <c r="G5665" s="33">
        <f t="shared" si="162"/>
        <v>828.43124999999986</v>
      </c>
    </row>
    <row r="5666" spans="1:8">
      <c r="A5666" s="211" t="s">
        <v>512</v>
      </c>
      <c r="B5666" s="216" t="str">
        <f ca="1">_xlfn.CONCAT(B5636,A5666)</f>
        <v>216310C1-ac</v>
      </c>
      <c r="C5666" s="24"/>
      <c r="D5666" s="185"/>
      <c r="E5666" s="29"/>
      <c r="F5666" s="28">
        <v>0</v>
      </c>
      <c r="G5666" s="33">
        <f t="shared" si="162"/>
        <v>0</v>
      </c>
    </row>
    <row r="5667" spans="1:8" ht="14.25" thickBot="1">
      <c r="A5667" s="211" t="s">
        <v>513</v>
      </c>
      <c r="B5667" s="216" t="str">
        <f ca="1">_xlfn.CONCAT(B5636,A5667)</f>
        <v>216310C1-ad</v>
      </c>
      <c r="C5667" s="24"/>
      <c r="D5667" s="185"/>
      <c r="E5667" s="29"/>
      <c r="F5667" s="28">
        <v>0</v>
      </c>
      <c r="G5667" s="33">
        <f t="shared" si="162"/>
        <v>0</v>
      </c>
    </row>
    <row r="5668" spans="1:8" ht="14.25" thickBot="1">
      <c r="A5668" s="211" t="s">
        <v>514</v>
      </c>
      <c r="B5668" s="216" t="str">
        <f ca="1">_xlfn.CONCAT(B5636,A5668)</f>
        <v>216310C1-ae</v>
      </c>
      <c r="C5668" s="17"/>
      <c r="D5668" s="192"/>
      <c r="E5668" s="18"/>
      <c r="F5668" s="22" t="s">
        <v>26</v>
      </c>
      <c r="G5668" s="23">
        <f>SUM(G5662:G5667)</f>
        <v>17397.056250000001</v>
      </c>
    </row>
    <row r="5669" spans="1:8" ht="15.75" thickBot="1">
      <c r="A5669" s="211" t="s">
        <v>515</v>
      </c>
      <c r="B5669" s="216" t="str">
        <f ca="1">_xlfn.CONCAT(B5636,A5669)</f>
        <v>216310C1-af</v>
      </c>
      <c r="C5669" s="10" t="s">
        <v>27</v>
      </c>
      <c r="D5669" s="190"/>
      <c r="E5669" s="11"/>
      <c r="F5669" s="12"/>
      <c r="G5669" s="13"/>
    </row>
    <row r="5670" spans="1:8" ht="14.25" thickBot="1">
      <c r="A5670" s="211" t="s">
        <v>516</v>
      </c>
      <c r="B5670" s="216" t="str">
        <f ca="1">_xlfn.CONCAT(B5636,A5670)</f>
        <v>216310C1-ag</v>
      </c>
      <c r="C5670" s="14" t="s">
        <v>1</v>
      </c>
      <c r="D5670" s="15" t="s">
        <v>28</v>
      </c>
      <c r="E5670" s="15" t="s">
        <v>20</v>
      </c>
      <c r="F5670" s="16" t="s">
        <v>21</v>
      </c>
      <c r="G5670" s="15" t="s">
        <v>5</v>
      </c>
      <c r="H5670" s="215"/>
    </row>
    <row r="5671" spans="1:8">
      <c r="A5671" s="211" t="s">
        <v>517</v>
      </c>
      <c r="B5671" s="216" t="str">
        <f ca="1">_xlfn.CONCAT(B5636,A5671)</f>
        <v>216310C1-ah</v>
      </c>
      <c r="C5671" s="30" t="s">
        <v>29</v>
      </c>
      <c r="D5671" s="186">
        <f>'H-MO'!$N$77</f>
        <v>725918.52892505517</v>
      </c>
      <c r="E5671" s="31">
        <f>+D5671/8</f>
        <v>90739.816115631897</v>
      </c>
      <c r="F5671" s="32">
        <v>0.1</v>
      </c>
      <c r="G5671" s="33">
        <f>+E5671*F5671</f>
        <v>9073.9816115631893</v>
      </c>
    </row>
    <row r="5672" spans="1:8">
      <c r="A5672" s="211" t="s">
        <v>518</v>
      </c>
      <c r="B5672" s="216" t="str">
        <f ca="1">_xlfn.CONCAT(B5636,A5672)</f>
        <v>216310C1-ai</v>
      </c>
      <c r="C5672" s="34" t="s">
        <v>30</v>
      </c>
      <c r="D5672" s="187">
        <f>'H-MO'!$N$86</f>
        <v>685561.39085756091</v>
      </c>
      <c r="E5672" s="29">
        <f>+D5672/8</f>
        <v>85695.173857195114</v>
      </c>
      <c r="F5672" s="28">
        <v>0.2</v>
      </c>
      <c r="G5672" s="33">
        <f>+E5672*F5672</f>
        <v>17139.034771439023</v>
      </c>
    </row>
    <row r="5673" spans="1:8" ht="14.25" thickBot="1">
      <c r="A5673" s="211" t="s">
        <v>519</v>
      </c>
      <c r="B5673" s="216" t="str">
        <f ca="1">_xlfn.CONCAT(B5636,A5673)</f>
        <v>216310C1-aj</v>
      </c>
      <c r="C5673" s="34"/>
      <c r="D5673" s="187"/>
      <c r="E5673" s="29"/>
      <c r="F5673" s="28">
        <v>0</v>
      </c>
      <c r="G5673" s="33">
        <f>+E5673*F5673</f>
        <v>0</v>
      </c>
    </row>
    <row r="5674" spans="1:8" ht="14.25" thickBot="1">
      <c r="A5674" s="211" t="s">
        <v>520</v>
      </c>
      <c r="B5674" s="216" t="str">
        <f ca="1">_xlfn.CONCAT(B5636,A5674)</f>
        <v>216310C1-ak</v>
      </c>
      <c r="C5674" s="34"/>
      <c r="D5674" s="185"/>
      <c r="E5674" s="26"/>
      <c r="F5674" s="36" t="s">
        <v>31</v>
      </c>
      <c r="G5674" s="23">
        <f>SUM(G5671:G5673)</f>
        <v>26213.016383002214</v>
      </c>
    </row>
    <row r="5675" spans="1:8" ht="14.25" thickBot="1">
      <c r="A5675" s="211" t="s">
        <v>521</v>
      </c>
      <c r="B5675" s="216" t="str">
        <f ca="1">_xlfn.CONCAT(B5636,A5675)</f>
        <v>216310C1-al</v>
      </c>
      <c r="C5675" s="37"/>
      <c r="E5675" s="38"/>
      <c r="F5675" s="22"/>
      <c r="G5675" s="39"/>
    </row>
    <row r="5676" spans="1:8" ht="16.5" thickBot="1">
      <c r="A5676" s="211" t="s">
        <v>522</v>
      </c>
      <c r="B5676" s="216" t="str">
        <f ca="1">_xlfn.CONCAT(B5636,A5676)</f>
        <v>216310C1-am</v>
      </c>
      <c r="C5676" s="40"/>
      <c r="D5676" s="193"/>
      <c r="E5676" s="41"/>
      <c r="F5676" s="42"/>
      <c r="G5676" s="43">
        <f>+G5659+G5668+G5674</f>
        <v>123429.07263300222</v>
      </c>
    </row>
    <row r="5677" spans="1:8" ht="21.75" thickBot="1">
      <c r="B5677" s="212" t="s">
        <v>550</v>
      </c>
      <c r="C5677" s="2"/>
      <c r="D5677" s="183"/>
      <c r="F5677" s="4"/>
      <c r="G5677" s="5"/>
    </row>
    <row r="5678" spans="1:8" ht="18.75">
      <c r="A5678" s="213"/>
      <c r="B5678" s="214">
        <v>130</v>
      </c>
      <c r="C5678" s="242" t="str">
        <f ca="1">_xlfn.XLOOKUP(B5678,Cantidades!$A$10:$A$314,Cantidades!$C$10:$C$314,,0,1)</f>
        <v>Suministro e instalación de ductos  3Ø2" PVC</v>
      </c>
      <c r="D5678" s="243"/>
      <c r="E5678" s="243"/>
      <c r="F5678" s="243"/>
      <c r="G5678" s="244"/>
      <c r="H5678" s="213"/>
    </row>
    <row r="5679" spans="1:8" ht="19.5" thickBot="1">
      <c r="A5679" s="215"/>
      <c r="B5679" s="216" t="s">
        <v>550</v>
      </c>
      <c r="C5679" s="177"/>
      <c r="D5679" s="189"/>
      <c r="E5679" s="178"/>
      <c r="F5679" s="179" t="s">
        <v>636</v>
      </c>
      <c r="G5679" s="209" t="str">
        <f ca="1">B5680</f>
        <v>D373774-</v>
      </c>
      <c r="H5679" s="215"/>
    </row>
    <row r="5680" spans="1:8" ht="15.75" thickBot="1">
      <c r="B5680" s="212" t="str">
        <f ca="1">_xlfn.XLOOKUP(C5678,Cantidades!$C$1:$C$314,Cantidades!$B$1:$B$314,"",0,1)</f>
        <v>D373774-</v>
      </c>
      <c r="C5680" s="10" t="s">
        <v>0</v>
      </c>
      <c r="D5680" s="190"/>
      <c r="E5680" s="11"/>
      <c r="F5680" s="12"/>
      <c r="G5680" s="13"/>
    </row>
    <row r="5681" spans="1:8" ht="14.25" thickBot="1">
      <c r="A5681" s="215"/>
      <c r="B5681" s="216" t="s">
        <v>550</v>
      </c>
      <c r="C5681" s="14" t="s">
        <v>1</v>
      </c>
      <c r="D5681" s="15" t="s">
        <v>2</v>
      </c>
      <c r="E5681" s="15" t="s">
        <v>3</v>
      </c>
      <c r="F5681" s="16" t="s">
        <v>4</v>
      </c>
      <c r="G5681" s="15" t="s">
        <v>5</v>
      </c>
    </row>
    <row r="5682" spans="1:8">
      <c r="A5682" s="211" t="s">
        <v>484</v>
      </c>
      <c r="B5682" s="216" t="str">
        <f ca="1">_xlfn.CONCAT(B5680,A5682)</f>
        <v>D373774-A</v>
      </c>
      <c r="C5682" s="17" t="str">
        <f>_xlfn.XLOOKUP(H5682,'Materiales unitario'!$A$1:$A$2500,'Materiales unitario'!B$1:B$2500,,0,1)</f>
        <v>Ducto telef. Y Electric. pesado TDP ø2" PVC</v>
      </c>
      <c r="D5682" s="184" t="str">
        <f>_xlfn.XLOOKUP(H5682,'Materiales unitario'!A$1:A$2500,'Materiales unitario'!C$1:C$2500,,0,1)</f>
        <v>ml</v>
      </c>
      <c r="E5682" s="197">
        <f>_xlfn.XLOOKUP(H5682,'Materiales unitario'!$A$1:$A$2500,'Materiales unitario'!D$1:D$2500,,0,1)</f>
        <v>6520</v>
      </c>
      <c r="F5682" s="19">
        <v>3.6</v>
      </c>
      <c r="G5682" s="20">
        <f>+E5682*F5682</f>
        <v>23472</v>
      </c>
      <c r="H5682" s="211" t="s">
        <v>1196</v>
      </c>
    </row>
    <row r="5683" spans="1:8">
      <c r="A5683" s="211" t="s">
        <v>485</v>
      </c>
      <c r="B5683" s="216" t="str">
        <f ca="1">_xlfn.CONCAT(B5680,A5683)</f>
        <v>D373774-B</v>
      </c>
      <c r="C5683" s="17" t="str">
        <f>_xlfn.XLOOKUP(H5683,'Materiales unitario'!$A$1:$A$2500,'Materiales unitario'!B$1:B$2500,,0,1)</f>
        <v>Campana terminal ducto ø2" PVC</v>
      </c>
      <c r="D5683" s="184" t="str">
        <f>_xlfn.XLOOKUP(H5683,'Materiales unitario'!A$1:A$2500,'Materiales unitario'!C$1:C$2500,,0,1)</f>
        <v>un</v>
      </c>
      <c r="E5683" s="197">
        <f>_xlfn.XLOOKUP(H5683,'Materiales unitario'!$A$1:$A$2500,'Materiales unitario'!D$1:D$2500,,0,1)</f>
        <v>4046</v>
      </c>
      <c r="F5683" s="19">
        <v>0.6</v>
      </c>
      <c r="G5683" s="20">
        <f>+E5683*F5683</f>
        <v>2427.6</v>
      </c>
      <c r="H5683" s="211" t="s">
        <v>286</v>
      </c>
    </row>
    <row r="5684" spans="1:8">
      <c r="A5684" s="211" t="s">
        <v>486</v>
      </c>
      <c r="B5684" s="216" t="str">
        <f ca="1">_xlfn.CONCAT(B5680,A5684)</f>
        <v>D373774-C</v>
      </c>
      <c r="C5684" s="17" t="str">
        <f>_xlfn.XLOOKUP(H5684,'Materiales unitario'!$A$1:$A$2500,'Materiales unitario'!B$1:B$2500,,0,1)</f>
        <v>Soldadura liquida PVC 1/4 de galón</v>
      </c>
      <c r="D5684" s="184" t="str">
        <f>_xlfn.XLOOKUP(H5684,'Materiales unitario'!A$1:A$2500,'Materiales unitario'!C$1:C$2500,,0,1)</f>
        <v>un</v>
      </c>
      <c r="E5684" s="197">
        <f>_xlfn.XLOOKUP(H5684,'Materiales unitario'!$A$1:$A$2500,'Materiales unitario'!D$1:D$2500,,0,1)</f>
        <v>60900</v>
      </c>
      <c r="F5684" s="19">
        <v>0.08</v>
      </c>
      <c r="G5684" s="20">
        <f>+E5684*F5684</f>
        <v>4872</v>
      </c>
      <c r="H5684" s="211" t="s">
        <v>530</v>
      </c>
    </row>
    <row r="5685" spans="1:8">
      <c r="A5685" s="211" t="s">
        <v>487</v>
      </c>
      <c r="B5685" s="216" t="str">
        <f ca="1">_xlfn.CONCAT(B5680,A5685)</f>
        <v>D373774-D</v>
      </c>
      <c r="C5685" s="17"/>
      <c r="D5685" s="184"/>
      <c r="E5685" s="197"/>
      <c r="F5685" s="19"/>
      <c r="G5685" s="20"/>
    </row>
    <row r="5686" spans="1:8">
      <c r="A5686" s="211" t="s">
        <v>488</v>
      </c>
      <c r="B5686" s="216" t="str">
        <f ca="1">_xlfn.CONCAT(B5680,A5686)</f>
        <v>D373774-E</v>
      </c>
      <c r="C5686" s="17"/>
      <c r="D5686" s="184"/>
      <c r="E5686" s="197"/>
      <c r="F5686" s="19"/>
      <c r="G5686" s="20"/>
    </row>
    <row r="5687" spans="1:8">
      <c r="A5687" s="211" t="s">
        <v>489</v>
      </c>
      <c r="B5687" s="216" t="str">
        <f ca="1">_xlfn.CONCAT(B5680,A5687)</f>
        <v>D373774-F</v>
      </c>
      <c r="C5687" s="17"/>
      <c r="D5687" s="184"/>
      <c r="E5687" s="197"/>
      <c r="F5687" s="19"/>
      <c r="G5687" s="20"/>
    </row>
    <row r="5688" spans="1:8">
      <c r="A5688" s="211" t="s">
        <v>490</v>
      </c>
      <c r="B5688" s="216" t="str">
        <f ca="1">_xlfn.CONCAT(B5680,A5688)</f>
        <v>D373774-G</v>
      </c>
      <c r="C5688" s="17"/>
      <c r="D5688" s="184"/>
      <c r="E5688" s="197"/>
      <c r="F5688" s="19"/>
      <c r="G5688" s="20"/>
    </row>
    <row r="5689" spans="1:8">
      <c r="A5689" s="211" t="s">
        <v>491</v>
      </c>
      <c r="B5689" s="216" t="str">
        <f ca="1">_xlfn.CONCAT(B5680,A5689)</f>
        <v>D373774-H</v>
      </c>
      <c r="C5689" s="17"/>
      <c r="D5689" s="184"/>
      <c r="E5689" s="197"/>
      <c r="F5689" s="19"/>
      <c r="G5689" s="20"/>
    </row>
    <row r="5690" spans="1:8">
      <c r="A5690" s="211" t="s">
        <v>492</v>
      </c>
      <c r="B5690" s="216" t="str">
        <f ca="1">_xlfn.CONCAT(B5680,A5690)</f>
        <v>D373774-I</v>
      </c>
      <c r="C5690" s="17"/>
      <c r="D5690" s="184"/>
      <c r="E5690" s="197"/>
      <c r="F5690" s="19"/>
      <c r="G5690" s="20"/>
    </row>
    <row r="5691" spans="1:8">
      <c r="A5691" s="211" t="s">
        <v>493</v>
      </c>
      <c r="B5691" s="216" t="str">
        <f ca="1">_xlfn.CONCAT(B5680,A5691)</f>
        <v>D373774-J</v>
      </c>
      <c r="C5691" s="17"/>
      <c r="D5691" s="184"/>
      <c r="E5691" s="197"/>
      <c r="F5691" s="19"/>
      <c r="G5691" s="20"/>
    </row>
    <row r="5692" spans="1:8">
      <c r="A5692" s="211" t="s">
        <v>494</v>
      </c>
      <c r="B5692" s="216" t="str">
        <f ca="1">_xlfn.CONCAT(B5680,A5692)</f>
        <v>D373774-K</v>
      </c>
      <c r="C5692" s="17"/>
      <c r="D5692" s="184"/>
      <c r="E5692" s="197"/>
      <c r="F5692" s="19"/>
      <c r="G5692" s="20"/>
    </row>
    <row r="5693" spans="1:8">
      <c r="A5693" s="211" t="s">
        <v>495</v>
      </c>
      <c r="B5693" s="216" t="str">
        <f ca="1">_xlfn.CONCAT(B5680,A5693)</f>
        <v>D373774-L</v>
      </c>
      <c r="C5693" s="17"/>
      <c r="D5693" s="184"/>
      <c r="E5693" s="197"/>
      <c r="F5693" s="19"/>
      <c r="G5693" s="20"/>
    </row>
    <row r="5694" spans="1:8">
      <c r="A5694" s="211" t="s">
        <v>496</v>
      </c>
      <c r="B5694" s="216" t="str">
        <f ca="1">_xlfn.CONCAT(B5680,A5694)</f>
        <v>D373774-M</v>
      </c>
      <c r="C5694" s="17"/>
      <c r="D5694" s="184"/>
      <c r="E5694" s="197"/>
      <c r="F5694" s="19"/>
      <c r="G5694" s="20"/>
    </row>
    <row r="5695" spans="1:8">
      <c r="A5695" s="211" t="s">
        <v>497</v>
      </c>
      <c r="B5695" s="216" t="str">
        <f ca="1">_xlfn.CONCAT(B5680,A5695)</f>
        <v>D373774-N</v>
      </c>
      <c r="C5695" s="17"/>
      <c r="D5695" s="184"/>
      <c r="E5695" s="197"/>
      <c r="F5695" s="19"/>
      <c r="G5695" s="20"/>
    </row>
    <row r="5696" spans="1:8">
      <c r="A5696" s="211" t="s">
        <v>498</v>
      </c>
      <c r="B5696" s="216" t="str">
        <f ca="1">_xlfn.CONCAT(B5680,A5696)</f>
        <v>D373774-O</v>
      </c>
      <c r="C5696" s="17"/>
      <c r="D5696" s="184"/>
      <c r="E5696" s="197"/>
      <c r="F5696" s="19"/>
      <c r="G5696" s="20"/>
    </row>
    <row r="5697" spans="1:8">
      <c r="A5697" s="211" t="s">
        <v>499</v>
      </c>
      <c r="B5697" s="216" t="str">
        <f ca="1">_xlfn.CONCAT(B5680,A5697)</f>
        <v>D373774-P</v>
      </c>
      <c r="C5697" s="17"/>
      <c r="D5697" s="184"/>
      <c r="E5697" s="197"/>
      <c r="F5697" s="19"/>
      <c r="G5697" s="20"/>
    </row>
    <row r="5698" spans="1:8">
      <c r="A5698" s="211" t="s">
        <v>500</v>
      </c>
      <c r="B5698" s="216" t="str">
        <f ca="1">_xlfn.CONCAT(B5680,A5698)</f>
        <v>D373774-Q</v>
      </c>
      <c r="C5698" s="17"/>
      <c r="D5698" s="184"/>
      <c r="E5698" s="197"/>
      <c r="F5698" s="19"/>
      <c r="G5698" s="20"/>
    </row>
    <row r="5699" spans="1:8">
      <c r="A5699" s="211" t="s">
        <v>501</v>
      </c>
      <c r="B5699" s="216" t="str">
        <f ca="1">_xlfn.CONCAT(B5680,A5699)</f>
        <v>D373774-R</v>
      </c>
      <c r="C5699" s="17"/>
      <c r="D5699" s="184"/>
      <c r="E5699" s="197"/>
      <c r="F5699" s="19"/>
      <c r="G5699" s="20"/>
    </row>
    <row r="5700" spans="1:8">
      <c r="A5700" s="211" t="s">
        <v>502</v>
      </c>
      <c r="B5700" s="216" t="str">
        <f ca="1">_xlfn.CONCAT(B5680,A5700)</f>
        <v>D373774-S</v>
      </c>
      <c r="C5700" s="17"/>
      <c r="D5700" s="184"/>
      <c r="E5700" s="197"/>
      <c r="F5700" s="19"/>
      <c r="G5700" s="20"/>
    </row>
    <row r="5701" spans="1:8">
      <c r="A5701" s="211" t="s">
        <v>503</v>
      </c>
      <c r="B5701" s="216" t="str">
        <f ca="1">_xlfn.CONCAT(B5680,A5701)</f>
        <v>D373774-T</v>
      </c>
      <c r="C5701" s="17"/>
      <c r="D5701" s="184"/>
      <c r="E5701" s="197"/>
      <c r="F5701" s="19"/>
      <c r="G5701" s="20"/>
    </row>
    <row r="5702" spans="1:8" ht="14.25" thickBot="1">
      <c r="A5702" s="211" t="s">
        <v>504</v>
      </c>
      <c r="B5702" s="216" t="str">
        <f ca="1">_xlfn.CONCAT(B5680,A5702)</f>
        <v>D373774-U</v>
      </c>
      <c r="C5702" s="17"/>
      <c r="D5702" s="184"/>
      <c r="E5702" s="197"/>
      <c r="F5702" s="19"/>
      <c r="G5702" s="20"/>
    </row>
    <row r="5703" spans="1:8" ht="14.25" thickBot="1">
      <c r="A5703" s="211" t="s">
        <v>505</v>
      </c>
      <c r="B5703" s="216" t="str">
        <f ca="1">_xlfn.CONCAT(B5680,A5703)</f>
        <v>D373774-V</v>
      </c>
      <c r="C5703" s="17" t="s">
        <v>17</v>
      </c>
      <c r="D5703" s="192" t="s">
        <v>17</v>
      </c>
      <c r="E5703" s="18"/>
      <c r="F5703" s="22" t="s">
        <v>18</v>
      </c>
      <c r="G5703" s="23">
        <f>SUM(G5682:G5702)</f>
        <v>30771.599999999999</v>
      </c>
    </row>
    <row r="5704" spans="1:8" ht="15.75" thickBot="1">
      <c r="A5704" s="211" t="s">
        <v>506</v>
      </c>
      <c r="B5704" s="216" t="str">
        <f ca="1">_xlfn.CONCAT(B5680,A5704)</f>
        <v>D373774-W</v>
      </c>
      <c r="C5704" s="10" t="s">
        <v>19</v>
      </c>
      <c r="D5704" s="190"/>
      <c r="E5704" s="11"/>
      <c r="F5704" s="12"/>
      <c r="G5704" s="13"/>
    </row>
    <row r="5705" spans="1:8" ht="14.25" thickBot="1">
      <c r="A5705" s="211" t="s">
        <v>507</v>
      </c>
      <c r="B5705" s="216" t="str">
        <f ca="1">_xlfn.CONCAT(B5680,A5705)</f>
        <v>D373774-X</v>
      </c>
      <c r="C5705" s="14" t="s">
        <v>1</v>
      </c>
      <c r="D5705" s="15"/>
      <c r="E5705" s="15" t="s">
        <v>20</v>
      </c>
      <c r="F5705" s="16" t="s">
        <v>21</v>
      </c>
      <c r="G5705" s="15" t="s">
        <v>5</v>
      </c>
      <c r="H5705" s="215"/>
    </row>
    <row r="5706" spans="1:8">
      <c r="A5706" s="211" t="s">
        <v>508</v>
      </c>
      <c r="B5706" s="216" t="str">
        <f ca="1">_xlfn.CONCAT(B5680,A5706)</f>
        <v>D373774-Y</v>
      </c>
      <c r="C5706" s="24" t="s">
        <v>22</v>
      </c>
      <c r="D5706" s="184"/>
      <c r="E5706" s="25">
        <f>_xlfn.XLOOKUP(C5706,'H-MO'!B$7:B$30,'H-MO'!D$7:D$30,,0,1)</f>
        <v>2436.5624999999995</v>
      </c>
      <c r="F5706" s="19">
        <v>0.8</v>
      </c>
      <c r="G5706" s="33">
        <f t="shared" ref="G5706:G5711" si="163">+E5706*F5706</f>
        <v>1949.2499999999998</v>
      </c>
    </row>
    <row r="5707" spans="1:8">
      <c r="A5707" s="211" t="s">
        <v>509</v>
      </c>
      <c r="B5707" s="216" t="str">
        <f ca="1">_xlfn.CONCAT(B5680,A5707)</f>
        <v>D373774-Z</v>
      </c>
      <c r="C5707" s="24" t="s">
        <v>23</v>
      </c>
      <c r="D5707" s="184"/>
      <c r="E5707" s="25">
        <f>_xlfn.XLOOKUP(C5707,'H-MO'!B$7:B$30,'H-MO'!D$7:D$30,,0,1)</f>
        <v>1461.9374999999998</v>
      </c>
      <c r="F5707" s="19">
        <v>1.6</v>
      </c>
      <c r="G5707" s="33">
        <f t="shared" si="163"/>
        <v>2339.1</v>
      </c>
    </row>
    <row r="5708" spans="1:8">
      <c r="A5708" s="211" t="s">
        <v>510</v>
      </c>
      <c r="B5708" s="216" t="str">
        <f ca="1">_xlfn.CONCAT(B5680,A5708)</f>
        <v>D373774-aa</v>
      </c>
      <c r="C5708" s="24" t="s">
        <v>24</v>
      </c>
      <c r="D5708" s="185"/>
      <c r="E5708" s="25">
        <f>_xlfn.XLOOKUP(C5708,'H-MO'!B$7:B$30,'H-MO'!D$7:D$30,,0,1)</f>
        <v>29238.749999999996</v>
      </c>
      <c r="F5708" s="28">
        <v>0.1</v>
      </c>
      <c r="G5708" s="33">
        <f t="shared" si="163"/>
        <v>2923.875</v>
      </c>
    </row>
    <row r="5709" spans="1:8">
      <c r="A5709" s="211" t="s">
        <v>511</v>
      </c>
      <c r="B5709" s="216" t="str">
        <f ca="1">_xlfn.CONCAT(B5680,A5709)</f>
        <v>D373774-ab</v>
      </c>
      <c r="C5709" s="24" t="s">
        <v>25</v>
      </c>
      <c r="D5709" s="185"/>
      <c r="E5709" s="25">
        <f>_xlfn.XLOOKUP(C5709,'H-MO'!B$7:B$30,'H-MO'!D$7:D$30,,0,1)</f>
        <v>2761.4374999999995</v>
      </c>
      <c r="F5709" s="28">
        <v>0.3</v>
      </c>
      <c r="G5709" s="33">
        <f t="shared" si="163"/>
        <v>828.43124999999986</v>
      </c>
    </row>
    <row r="5710" spans="1:8">
      <c r="A5710" s="211" t="s">
        <v>512</v>
      </c>
      <c r="B5710" s="216" t="str">
        <f ca="1">_xlfn.CONCAT(B5680,A5710)</f>
        <v>D373774-ac</v>
      </c>
      <c r="C5710" s="24"/>
      <c r="D5710" s="185"/>
      <c r="E5710" s="29"/>
      <c r="F5710" s="28">
        <v>0</v>
      </c>
      <c r="G5710" s="33">
        <f t="shared" si="163"/>
        <v>0</v>
      </c>
    </row>
    <row r="5711" spans="1:8" ht="14.25" thickBot="1">
      <c r="A5711" s="211" t="s">
        <v>513</v>
      </c>
      <c r="B5711" s="216" t="str">
        <f ca="1">_xlfn.CONCAT(B5680,A5711)</f>
        <v>D373774-ad</v>
      </c>
      <c r="C5711" s="24"/>
      <c r="D5711" s="185"/>
      <c r="E5711" s="29"/>
      <c r="F5711" s="28">
        <v>0</v>
      </c>
      <c r="G5711" s="33">
        <f t="shared" si="163"/>
        <v>0</v>
      </c>
    </row>
    <row r="5712" spans="1:8" ht="14.25" thickBot="1">
      <c r="A5712" s="211" t="s">
        <v>514</v>
      </c>
      <c r="B5712" s="216" t="str">
        <f ca="1">_xlfn.CONCAT(B5680,A5712)</f>
        <v>D373774-ae</v>
      </c>
      <c r="C5712" s="17"/>
      <c r="D5712" s="192"/>
      <c r="E5712" s="18"/>
      <c r="F5712" s="22" t="s">
        <v>26</v>
      </c>
      <c r="G5712" s="23">
        <f>SUM(G5706:G5711)</f>
        <v>8040.6562499999991</v>
      </c>
    </row>
    <row r="5713" spans="1:8" ht="15.75" thickBot="1">
      <c r="A5713" s="211" t="s">
        <v>515</v>
      </c>
      <c r="B5713" s="216" t="str">
        <f ca="1">_xlfn.CONCAT(B5680,A5713)</f>
        <v>D373774-af</v>
      </c>
      <c r="C5713" s="10" t="s">
        <v>27</v>
      </c>
      <c r="D5713" s="190"/>
      <c r="E5713" s="11"/>
      <c r="F5713" s="12"/>
      <c r="G5713" s="13"/>
    </row>
    <row r="5714" spans="1:8" ht="14.25" thickBot="1">
      <c r="A5714" s="211" t="s">
        <v>516</v>
      </c>
      <c r="B5714" s="216" t="str">
        <f ca="1">_xlfn.CONCAT(B5680,A5714)</f>
        <v>D373774-ag</v>
      </c>
      <c r="C5714" s="14" t="s">
        <v>1</v>
      </c>
      <c r="D5714" s="15" t="s">
        <v>28</v>
      </c>
      <c r="E5714" s="15" t="s">
        <v>20</v>
      </c>
      <c r="F5714" s="16" t="s">
        <v>21</v>
      </c>
      <c r="G5714" s="15" t="s">
        <v>5</v>
      </c>
      <c r="H5714" s="215"/>
    </row>
    <row r="5715" spans="1:8">
      <c r="A5715" s="211" t="s">
        <v>517</v>
      </c>
      <c r="B5715" s="216" t="str">
        <f ca="1">_xlfn.CONCAT(B5680,A5715)</f>
        <v>D373774-ah</v>
      </c>
      <c r="C5715" s="30" t="s">
        <v>29</v>
      </c>
      <c r="D5715" s="186">
        <f>'H-MO'!$N$77</f>
        <v>725918.52892505517</v>
      </c>
      <c r="E5715" s="31">
        <f>+D5715/8</f>
        <v>90739.816115631897</v>
      </c>
      <c r="F5715" s="32">
        <v>0.04</v>
      </c>
      <c r="G5715" s="33">
        <f>+E5715*F5715</f>
        <v>3629.5926446252761</v>
      </c>
    </row>
    <row r="5716" spans="1:8">
      <c r="A5716" s="211" t="s">
        <v>518</v>
      </c>
      <c r="B5716" s="216" t="str">
        <f ca="1">_xlfn.CONCAT(B5680,A5716)</f>
        <v>D373774-ai</v>
      </c>
      <c r="C5716" s="34" t="s">
        <v>30</v>
      </c>
      <c r="D5716" s="187">
        <f>'H-MO'!$N$86</f>
        <v>685561.39085756091</v>
      </c>
      <c r="E5716" s="29">
        <f>+D5716/8</f>
        <v>85695.173857195114</v>
      </c>
      <c r="F5716" s="28">
        <v>0.08</v>
      </c>
      <c r="G5716" s="33">
        <f>+E5716*F5716</f>
        <v>6855.6139085756095</v>
      </c>
    </row>
    <row r="5717" spans="1:8" ht="14.25" thickBot="1">
      <c r="A5717" s="211" t="s">
        <v>519</v>
      </c>
      <c r="B5717" s="216" t="str">
        <f ca="1">_xlfn.CONCAT(B5680,A5717)</f>
        <v>D373774-aj</v>
      </c>
      <c r="C5717" s="34"/>
      <c r="D5717" s="187"/>
      <c r="E5717" s="29"/>
      <c r="F5717" s="28">
        <v>0</v>
      </c>
      <c r="G5717" s="33">
        <f>+E5717*F5717</f>
        <v>0</v>
      </c>
    </row>
    <row r="5718" spans="1:8" ht="14.25" thickBot="1">
      <c r="A5718" s="211" t="s">
        <v>520</v>
      </c>
      <c r="B5718" s="216" t="str">
        <f ca="1">_xlfn.CONCAT(B5680,A5718)</f>
        <v>D373774-ak</v>
      </c>
      <c r="C5718" s="34"/>
      <c r="D5718" s="185"/>
      <c r="E5718" s="26"/>
      <c r="F5718" s="36" t="s">
        <v>31</v>
      </c>
      <c r="G5718" s="23">
        <f>SUM(G5715:G5717)</f>
        <v>10485.206553200886</v>
      </c>
    </row>
    <row r="5719" spans="1:8" ht="14.25" thickBot="1">
      <c r="A5719" s="211" t="s">
        <v>521</v>
      </c>
      <c r="B5719" s="216" t="str">
        <f ca="1">_xlfn.CONCAT(B5680,A5719)</f>
        <v>D373774-al</v>
      </c>
      <c r="C5719" s="37"/>
      <c r="E5719" s="38"/>
      <c r="F5719" s="22"/>
      <c r="G5719" s="39"/>
    </row>
    <row r="5720" spans="1:8" ht="16.5" thickBot="1">
      <c r="A5720" s="211" t="s">
        <v>522</v>
      </c>
      <c r="B5720" s="216" t="str">
        <f ca="1">_xlfn.CONCAT(B5680,A5720)</f>
        <v>D373774-am</v>
      </c>
      <c r="C5720" s="40"/>
      <c r="D5720" s="193"/>
      <c r="E5720" s="41"/>
      <c r="F5720" s="42"/>
      <c r="G5720" s="43">
        <f>+G5703+G5712+G5718</f>
        <v>49297.462803200884</v>
      </c>
    </row>
    <row r="5721" spans="1:8" ht="21.75" thickBot="1">
      <c r="B5721" s="212" t="s">
        <v>550</v>
      </c>
      <c r="C5721" s="2"/>
      <c r="D5721" s="183"/>
      <c r="F5721" s="4"/>
      <c r="G5721" s="5"/>
    </row>
    <row r="5722" spans="1:8" ht="18.75">
      <c r="A5722" s="213"/>
      <c r="B5722" s="214">
        <v>131</v>
      </c>
      <c r="C5722" s="242" t="str">
        <f ca="1">_xlfn.XLOOKUP(B5722,Cantidades!$A$10:$A$314,Cantidades!$C$10:$C$314,,0,1)</f>
        <v>Suministro e instalación de ductos  5Ø2" PVC</v>
      </c>
      <c r="D5722" s="243"/>
      <c r="E5722" s="243"/>
      <c r="F5722" s="243"/>
      <c r="G5722" s="244"/>
      <c r="H5722" s="213"/>
    </row>
    <row r="5723" spans="1:8" ht="19.5" thickBot="1">
      <c r="A5723" s="215"/>
      <c r="B5723" s="216" t="s">
        <v>550</v>
      </c>
      <c r="C5723" s="177"/>
      <c r="D5723" s="189"/>
      <c r="E5723" s="178"/>
      <c r="F5723" s="179" t="s">
        <v>636</v>
      </c>
      <c r="G5723" s="209" t="str">
        <f ca="1">B5724</f>
        <v>117C350F-</v>
      </c>
      <c r="H5723" s="215"/>
    </row>
    <row r="5724" spans="1:8" ht="15.75" thickBot="1">
      <c r="B5724" s="212" t="str">
        <f ca="1">_xlfn.XLOOKUP(C5722,Cantidades!$C$1:$C$314,Cantidades!$B$1:$B$314,"",0,1)</f>
        <v>117C350F-</v>
      </c>
      <c r="C5724" s="10" t="s">
        <v>0</v>
      </c>
      <c r="D5724" s="190"/>
      <c r="E5724" s="11"/>
      <c r="F5724" s="12"/>
      <c r="G5724" s="13"/>
    </row>
    <row r="5725" spans="1:8" ht="14.25" thickBot="1">
      <c r="A5725" s="215"/>
      <c r="B5725" s="216" t="s">
        <v>550</v>
      </c>
      <c r="C5725" s="14" t="s">
        <v>1</v>
      </c>
      <c r="D5725" s="15" t="s">
        <v>2</v>
      </c>
      <c r="E5725" s="15" t="s">
        <v>3</v>
      </c>
      <c r="F5725" s="16" t="s">
        <v>4</v>
      </c>
      <c r="G5725" s="15" t="s">
        <v>5</v>
      </c>
    </row>
    <row r="5726" spans="1:8">
      <c r="A5726" s="211" t="s">
        <v>484</v>
      </c>
      <c r="B5726" s="216" t="str">
        <f ca="1">_xlfn.CONCAT(B5724,A5726)</f>
        <v>117C350F-A</v>
      </c>
      <c r="C5726" s="17" t="str">
        <f>_xlfn.XLOOKUP(H5726,'Materiales unitario'!$A$1:$A$2500,'Materiales unitario'!B$1:B$2500,,0,1)</f>
        <v>Ducto telef. Y Electric. pesado TDP ø2" PVC</v>
      </c>
      <c r="D5726" s="184" t="str">
        <f>_xlfn.XLOOKUP(H5726,'Materiales unitario'!A$1:A$2500,'Materiales unitario'!C$1:C$2500,,0,1)</f>
        <v>ml</v>
      </c>
      <c r="E5726" s="197">
        <f>_xlfn.XLOOKUP(H5726,'Materiales unitario'!$A$1:$A$2500,'Materiales unitario'!D$1:D$2500,,0,1)</f>
        <v>6520</v>
      </c>
      <c r="F5726" s="19">
        <v>6</v>
      </c>
      <c r="G5726" s="20">
        <f>+E5726*F5726</f>
        <v>39120</v>
      </c>
      <c r="H5726" s="211" t="s">
        <v>1196</v>
      </c>
    </row>
    <row r="5727" spans="1:8">
      <c r="A5727" s="211" t="s">
        <v>485</v>
      </c>
      <c r="B5727" s="216" t="str">
        <f ca="1">_xlfn.CONCAT(B5724,A5727)</f>
        <v>117C350F-B</v>
      </c>
      <c r="C5727" s="17" t="str">
        <f>_xlfn.XLOOKUP(H5727,'Materiales unitario'!$A$1:$A$2500,'Materiales unitario'!B$1:B$2500,,0,1)</f>
        <v>Campana terminal ducto ø2" PVC</v>
      </c>
      <c r="D5727" s="184" t="str">
        <f>_xlfn.XLOOKUP(H5727,'Materiales unitario'!A$1:A$2500,'Materiales unitario'!C$1:C$2500,,0,1)</f>
        <v>un</v>
      </c>
      <c r="E5727" s="197">
        <f>_xlfn.XLOOKUP(H5727,'Materiales unitario'!$A$1:$A$2500,'Materiales unitario'!D$1:D$2500,,0,1)</f>
        <v>4046</v>
      </c>
      <c r="F5727" s="19">
        <v>1</v>
      </c>
      <c r="G5727" s="20">
        <f>+E5727*F5727</f>
        <v>4046</v>
      </c>
      <c r="H5727" s="211" t="s">
        <v>286</v>
      </c>
    </row>
    <row r="5728" spans="1:8">
      <c r="A5728" s="211" t="s">
        <v>486</v>
      </c>
      <c r="B5728" s="216" t="str">
        <f ca="1">_xlfn.CONCAT(B5724,A5728)</f>
        <v>117C350F-C</v>
      </c>
      <c r="C5728" s="17" t="str">
        <f>_xlfn.XLOOKUP(H5728,'Materiales unitario'!$A$1:$A$2500,'Materiales unitario'!B$1:B$2500,,0,1)</f>
        <v>Soldadura liquida PVC 1/4 de galón</v>
      </c>
      <c r="D5728" s="184" t="str">
        <f>_xlfn.XLOOKUP(H5728,'Materiales unitario'!A$1:A$2500,'Materiales unitario'!C$1:C$2500,,0,1)</f>
        <v>un</v>
      </c>
      <c r="E5728" s="197">
        <f>_xlfn.XLOOKUP(H5728,'Materiales unitario'!$A$1:$A$2500,'Materiales unitario'!D$1:D$2500,,0,1)</f>
        <v>60900</v>
      </c>
      <c r="F5728" s="19">
        <v>0.08</v>
      </c>
      <c r="G5728" s="20">
        <f>+E5728*F5728</f>
        <v>4872</v>
      </c>
      <c r="H5728" s="211" t="s">
        <v>530</v>
      </c>
    </row>
    <row r="5729" spans="1:7">
      <c r="A5729" s="211" t="s">
        <v>487</v>
      </c>
      <c r="B5729" s="216" t="str">
        <f ca="1">_xlfn.CONCAT(B5724,A5729)</f>
        <v>117C350F-D</v>
      </c>
      <c r="C5729" s="17"/>
      <c r="D5729" s="184"/>
      <c r="E5729" s="197"/>
      <c r="F5729" s="19"/>
      <c r="G5729" s="20"/>
    </row>
    <row r="5730" spans="1:7">
      <c r="A5730" s="211" t="s">
        <v>488</v>
      </c>
      <c r="B5730" s="216" t="str">
        <f ca="1">_xlfn.CONCAT(B5724,A5730)</f>
        <v>117C350F-E</v>
      </c>
      <c r="C5730" s="17"/>
      <c r="D5730" s="184"/>
      <c r="E5730" s="197"/>
      <c r="F5730" s="19"/>
      <c r="G5730" s="20"/>
    </row>
    <row r="5731" spans="1:7">
      <c r="A5731" s="211" t="s">
        <v>489</v>
      </c>
      <c r="B5731" s="216" t="str">
        <f ca="1">_xlfn.CONCAT(B5724,A5731)</f>
        <v>117C350F-F</v>
      </c>
      <c r="C5731" s="17"/>
      <c r="D5731" s="184"/>
      <c r="E5731" s="197"/>
      <c r="F5731" s="19"/>
      <c r="G5731" s="20"/>
    </row>
    <row r="5732" spans="1:7">
      <c r="A5732" s="211" t="s">
        <v>490</v>
      </c>
      <c r="B5732" s="216" t="str">
        <f ca="1">_xlfn.CONCAT(B5724,A5732)</f>
        <v>117C350F-G</v>
      </c>
      <c r="C5732" s="17"/>
      <c r="D5732" s="184"/>
      <c r="E5732" s="197"/>
      <c r="F5732" s="19"/>
      <c r="G5732" s="20"/>
    </row>
    <row r="5733" spans="1:7">
      <c r="A5733" s="211" t="s">
        <v>491</v>
      </c>
      <c r="B5733" s="216" t="str">
        <f ca="1">_xlfn.CONCAT(B5724,A5733)</f>
        <v>117C350F-H</v>
      </c>
      <c r="C5733" s="17"/>
      <c r="D5733" s="184"/>
      <c r="E5733" s="197"/>
      <c r="F5733" s="19"/>
      <c r="G5733" s="20"/>
    </row>
    <row r="5734" spans="1:7">
      <c r="A5734" s="211" t="s">
        <v>492</v>
      </c>
      <c r="B5734" s="216" t="str">
        <f ca="1">_xlfn.CONCAT(B5724,A5734)</f>
        <v>117C350F-I</v>
      </c>
      <c r="C5734" s="17"/>
      <c r="D5734" s="184"/>
      <c r="E5734" s="197"/>
      <c r="F5734" s="19"/>
      <c r="G5734" s="20"/>
    </row>
    <row r="5735" spans="1:7">
      <c r="A5735" s="211" t="s">
        <v>493</v>
      </c>
      <c r="B5735" s="216" t="str">
        <f ca="1">_xlfn.CONCAT(B5724,A5735)</f>
        <v>117C350F-J</v>
      </c>
      <c r="C5735" s="17"/>
      <c r="D5735" s="184"/>
      <c r="E5735" s="197"/>
      <c r="F5735" s="19"/>
      <c r="G5735" s="20"/>
    </row>
    <row r="5736" spans="1:7">
      <c r="A5736" s="211" t="s">
        <v>494</v>
      </c>
      <c r="B5736" s="216" t="str">
        <f ca="1">_xlfn.CONCAT(B5724,A5736)</f>
        <v>117C350F-K</v>
      </c>
      <c r="C5736" s="17"/>
      <c r="D5736" s="184"/>
      <c r="E5736" s="197"/>
      <c r="F5736" s="19"/>
      <c r="G5736" s="20"/>
    </row>
    <row r="5737" spans="1:7">
      <c r="A5737" s="211" t="s">
        <v>495</v>
      </c>
      <c r="B5737" s="216" t="str">
        <f ca="1">_xlfn.CONCAT(B5724,A5737)</f>
        <v>117C350F-L</v>
      </c>
      <c r="C5737" s="17"/>
      <c r="D5737" s="184"/>
      <c r="E5737" s="197"/>
      <c r="F5737" s="19"/>
      <c r="G5737" s="20"/>
    </row>
    <row r="5738" spans="1:7">
      <c r="A5738" s="211" t="s">
        <v>496</v>
      </c>
      <c r="B5738" s="216" t="str">
        <f ca="1">_xlfn.CONCAT(B5724,A5738)</f>
        <v>117C350F-M</v>
      </c>
      <c r="C5738" s="17"/>
      <c r="D5738" s="184"/>
      <c r="E5738" s="197"/>
      <c r="F5738" s="19"/>
      <c r="G5738" s="20"/>
    </row>
    <row r="5739" spans="1:7">
      <c r="A5739" s="211" t="s">
        <v>497</v>
      </c>
      <c r="B5739" s="216" t="str">
        <f ca="1">_xlfn.CONCAT(B5724,A5739)</f>
        <v>117C350F-N</v>
      </c>
      <c r="C5739" s="17"/>
      <c r="D5739" s="184"/>
      <c r="E5739" s="197"/>
      <c r="F5739" s="19"/>
      <c r="G5739" s="20"/>
    </row>
    <row r="5740" spans="1:7">
      <c r="A5740" s="211" t="s">
        <v>498</v>
      </c>
      <c r="B5740" s="216" t="str">
        <f ca="1">_xlfn.CONCAT(B5724,A5740)</f>
        <v>117C350F-O</v>
      </c>
      <c r="C5740" s="17"/>
      <c r="D5740" s="184"/>
      <c r="E5740" s="197"/>
      <c r="F5740" s="19"/>
      <c r="G5740" s="20"/>
    </row>
    <row r="5741" spans="1:7">
      <c r="A5741" s="211" t="s">
        <v>499</v>
      </c>
      <c r="B5741" s="216" t="str">
        <f ca="1">_xlfn.CONCAT(B5724,A5741)</f>
        <v>117C350F-P</v>
      </c>
      <c r="C5741" s="17"/>
      <c r="D5741" s="184"/>
      <c r="E5741" s="197"/>
      <c r="F5741" s="19"/>
      <c r="G5741" s="20"/>
    </row>
    <row r="5742" spans="1:7">
      <c r="A5742" s="211" t="s">
        <v>500</v>
      </c>
      <c r="B5742" s="216" t="str">
        <f ca="1">_xlfn.CONCAT(B5724,A5742)</f>
        <v>117C350F-Q</v>
      </c>
      <c r="C5742" s="17"/>
      <c r="D5742" s="184"/>
      <c r="E5742" s="197"/>
      <c r="F5742" s="19"/>
      <c r="G5742" s="20"/>
    </row>
    <row r="5743" spans="1:7">
      <c r="A5743" s="211" t="s">
        <v>501</v>
      </c>
      <c r="B5743" s="216" t="str">
        <f ca="1">_xlfn.CONCAT(B5724,A5743)</f>
        <v>117C350F-R</v>
      </c>
      <c r="C5743" s="17"/>
      <c r="D5743" s="184"/>
      <c r="E5743" s="197"/>
      <c r="F5743" s="19"/>
      <c r="G5743" s="20"/>
    </row>
    <row r="5744" spans="1:7">
      <c r="A5744" s="211" t="s">
        <v>502</v>
      </c>
      <c r="B5744" s="216" t="str">
        <f ca="1">_xlfn.CONCAT(B5724,A5744)</f>
        <v>117C350F-S</v>
      </c>
      <c r="C5744" s="17"/>
      <c r="D5744" s="184"/>
      <c r="E5744" s="197"/>
      <c r="F5744" s="19"/>
      <c r="G5744" s="20"/>
    </row>
    <row r="5745" spans="1:8">
      <c r="A5745" s="211" t="s">
        <v>503</v>
      </c>
      <c r="B5745" s="216" t="str">
        <f ca="1">_xlfn.CONCAT(B5724,A5745)</f>
        <v>117C350F-T</v>
      </c>
      <c r="C5745" s="17"/>
      <c r="D5745" s="184"/>
      <c r="E5745" s="197"/>
      <c r="F5745" s="19"/>
      <c r="G5745" s="20"/>
    </row>
    <row r="5746" spans="1:8" ht="14.25" thickBot="1">
      <c r="A5746" s="211" t="s">
        <v>504</v>
      </c>
      <c r="B5746" s="216" t="str">
        <f ca="1">_xlfn.CONCAT(B5724,A5746)</f>
        <v>117C350F-U</v>
      </c>
      <c r="C5746" s="17"/>
      <c r="D5746" s="184"/>
      <c r="E5746" s="197"/>
      <c r="F5746" s="19"/>
      <c r="G5746" s="20"/>
    </row>
    <row r="5747" spans="1:8" ht="14.25" thickBot="1">
      <c r="A5747" s="211" t="s">
        <v>505</v>
      </c>
      <c r="B5747" s="216" t="str">
        <f ca="1">_xlfn.CONCAT(B5724,A5747)</f>
        <v>117C350F-V</v>
      </c>
      <c r="C5747" s="17" t="s">
        <v>17</v>
      </c>
      <c r="D5747" s="192" t="s">
        <v>17</v>
      </c>
      <c r="E5747" s="18"/>
      <c r="F5747" s="22" t="s">
        <v>18</v>
      </c>
      <c r="G5747" s="23">
        <f>SUM(G5726:G5746)</f>
        <v>48038</v>
      </c>
    </row>
    <row r="5748" spans="1:8" ht="15.75" thickBot="1">
      <c r="A5748" s="211" t="s">
        <v>506</v>
      </c>
      <c r="B5748" s="216" t="str">
        <f ca="1">_xlfn.CONCAT(B5724,A5748)</f>
        <v>117C350F-W</v>
      </c>
      <c r="C5748" s="10" t="s">
        <v>19</v>
      </c>
      <c r="D5748" s="190"/>
      <c r="E5748" s="11"/>
      <c r="F5748" s="12"/>
      <c r="G5748" s="13"/>
    </row>
    <row r="5749" spans="1:8" ht="14.25" thickBot="1">
      <c r="A5749" s="211" t="s">
        <v>507</v>
      </c>
      <c r="B5749" s="216" t="str">
        <f ca="1">_xlfn.CONCAT(B5724,A5749)</f>
        <v>117C350F-X</v>
      </c>
      <c r="C5749" s="14" t="s">
        <v>1</v>
      </c>
      <c r="D5749" s="15"/>
      <c r="E5749" s="15" t="s">
        <v>20</v>
      </c>
      <c r="F5749" s="16" t="s">
        <v>21</v>
      </c>
      <c r="G5749" s="15" t="s">
        <v>5</v>
      </c>
      <c r="H5749" s="215"/>
    </row>
    <row r="5750" spans="1:8">
      <c r="A5750" s="211" t="s">
        <v>508</v>
      </c>
      <c r="B5750" s="216" t="str">
        <f ca="1">_xlfn.CONCAT(B5724,A5750)</f>
        <v>117C350F-Y</v>
      </c>
      <c r="C5750" s="24" t="s">
        <v>22</v>
      </c>
      <c r="D5750" s="184"/>
      <c r="E5750" s="25">
        <f>_xlfn.XLOOKUP(C5750,'H-MO'!B$7:B$30,'H-MO'!D$7:D$30,,0,1)</f>
        <v>2436.5624999999995</v>
      </c>
      <c r="F5750" s="19">
        <v>1</v>
      </c>
      <c r="G5750" s="33">
        <f t="shared" ref="G5750:G5755" si="164">+E5750*F5750</f>
        <v>2436.5624999999995</v>
      </c>
    </row>
    <row r="5751" spans="1:8">
      <c r="A5751" s="211" t="s">
        <v>509</v>
      </c>
      <c r="B5751" s="216" t="str">
        <f ca="1">_xlfn.CONCAT(B5724,A5751)</f>
        <v>117C350F-Z</v>
      </c>
      <c r="C5751" s="24" t="s">
        <v>23</v>
      </c>
      <c r="D5751" s="184"/>
      <c r="E5751" s="25">
        <f>_xlfn.XLOOKUP(C5751,'H-MO'!B$7:B$30,'H-MO'!D$7:D$30,,0,1)</f>
        <v>1461.9374999999998</v>
      </c>
      <c r="F5751" s="19">
        <v>2</v>
      </c>
      <c r="G5751" s="33">
        <f t="shared" si="164"/>
        <v>2923.8749999999995</v>
      </c>
    </row>
    <row r="5752" spans="1:8">
      <c r="A5752" s="211" t="s">
        <v>510</v>
      </c>
      <c r="B5752" s="216" t="str">
        <f ca="1">_xlfn.CONCAT(B5724,A5752)</f>
        <v>117C350F-aa</v>
      </c>
      <c r="C5752" s="24" t="s">
        <v>24</v>
      </c>
      <c r="D5752" s="185"/>
      <c r="E5752" s="25">
        <f>_xlfn.XLOOKUP(C5752,'H-MO'!B$7:B$30,'H-MO'!D$7:D$30,,0,1)</f>
        <v>29238.749999999996</v>
      </c>
      <c r="F5752" s="28">
        <v>0.16</v>
      </c>
      <c r="G5752" s="33">
        <f t="shared" si="164"/>
        <v>4678.2</v>
      </c>
    </row>
    <row r="5753" spans="1:8">
      <c r="A5753" s="211" t="s">
        <v>511</v>
      </c>
      <c r="B5753" s="216" t="str">
        <f ca="1">_xlfn.CONCAT(B5724,A5753)</f>
        <v>117C350F-ab</v>
      </c>
      <c r="C5753" s="24" t="s">
        <v>25</v>
      </c>
      <c r="D5753" s="185"/>
      <c r="E5753" s="25">
        <f>_xlfn.XLOOKUP(C5753,'H-MO'!B$7:B$30,'H-MO'!D$7:D$30,,0,1)</f>
        <v>2761.4374999999995</v>
      </c>
      <c r="F5753" s="28">
        <v>0.8</v>
      </c>
      <c r="G5753" s="33">
        <f t="shared" si="164"/>
        <v>2209.1499999999996</v>
      </c>
    </row>
    <row r="5754" spans="1:8">
      <c r="A5754" s="211" t="s">
        <v>512</v>
      </c>
      <c r="B5754" s="216" t="str">
        <f ca="1">_xlfn.CONCAT(B5724,A5754)</f>
        <v>117C350F-ac</v>
      </c>
      <c r="C5754" s="24"/>
      <c r="D5754" s="185"/>
      <c r="E5754" s="29"/>
      <c r="F5754" s="28">
        <v>0</v>
      </c>
      <c r="G5754" s="33">
        <f t="shared" si="164"/>
        <v>0</v>
      </c>
    </row>
    <row r="5755" spans="1:8" ht="14.25" thickBot="1">
      <c r="A5755" s="211" t="s">
        <v>513</v>
      </c>
      <c r="B5755" s="216" t="str">
        <f ca="1">_xlfn.CONCAT(B5724,A5755)</f>
        <v>117C350F-ad</v>
      </c>
      <c r="C5755" s="24"/>
      <c r="D5755" s="185"/>
      <c r="E5755" s="29"/>
      <c r="F5755" s="28">
        <v>0</v>
      </c>
      <c r="G5755" s="33">
        <f t="shared" si="164"/>
        <v>0</v>
      </c>
    </row>
    <row r="5756" spans="1:8" ht="14.25" thickBot="1">
      <c r="A5756" s="211" t="s">
        <v>514</v>
      </c>
      <c r="B5756" s="216" t="str">
        <f ca="1">_xlfn.CONCAT(B5724,A5756)</f>
        <v>117C350F-ae</v>
      </c>
      <c r="C5756" s="17"/>
      <c r="D5756" s="192"/>
      <c r="E5756" s="18"/>
      <c r="F5756" s="22" t="s">
        <v>26</v>
      </c>
      <c r="G5756" s="23">
        <f>SUM(G5750:G5755)</f>
        <v>12247.787499999999</v>
      </c>
    </row>
    <row r="5757" spans="1:8" ht="15.75" thickBot="1">
      <c r="A5757" s="211" t="s">
        <v>515</v>
      </c>
      <c r="B5757" s="216" t="str">
        <f ca="1">_xlfn.CONCAT(B5724,A5757)</f>
        <v>117C350F-af</v>
      </c>
      <c r="C5757" s="10" t="s">
        <v>27</v>
      </c>
      <c r="D5757" s="190"/>
      <c r="E5757" s="11"/>
      <c r="F5757" s="12"/>
      <c r="G5757" s="13"/>
    </row>
    <row r="5758" spans="1:8" ht="14.25" thickBot="1">
      <c r="A5758" s="211" t="s">
        <v>516</v>
      </c>
      <c r="B5758" s="216" t="str">
        <f ca="1">_xlfn.CONCAT(B5724,A5758)</f>
        <v>117C350F-ag</v>
      </c>
      <c r="C5758" s="14" t="s">
        <v>1</v>
      </c>
      <c r="D5758" s="15" t="s">
        <v>28</v>
      </c>
      <c r="E5758" s="15" t="s">
        <v>20</v>
      </c>
      <c r="F5758" s="16" t="s">
        <v>21</v>
      </c>
      <c r="G5758" s="15" t="s">
        <v>5</v>
      </c>
      <c r="H5758" s="215"/>
    </row>
    <row r="5759" spans="1:8">
      <c r="A5759" s="211" t="s">
        <v>517</v>
      </c>
      <c r="B5759" s="216" t="str">
        <f ca="1">_xlfn.CONCAT(B5724,A5759)</f>
        <v>117C350F-ah</v>
      </c>
      <c r="C5759" s="30" t="s">
        <v>29</v>
      </c>
      <c r="D5759" s="186">
        <f>'H-MO'!$N$77</f>
        <v>725918.52892505517</v>
      </c>
      <c r="E5759" s="31">
        <f>+D5759/8</f>
        <v>90739.816115631897</v>
      </c>
      <c r="F5759" s="32">
        <v>6.5000000000000002E-2</v>
      </c>
      <c r="G5759" s="33">
        <f>+E5759*F5759</f>
        <v>5898.0880475160739</v>
      </c>
    </row>
    <row r="5760" spans="1:8">
      <c r="A5760" s="211" t="s">
        <v>518</v>
      </c>
      <c r="B5760" s="216" t="str">
        <f ca="1">_xlfn.CONCAT(B5724,A5760)</f>
        <v>117C350F-ai</v>
      </c>
      <c r="C5760" s="34" t="s">
        <v>30</v>
      </c>
      <c r="D5760" s="187">
        <f>'H-MO'!$N$86</f>
        <v>685561.39085756091</v>
      </c>
      <c r="E5760" s="29">
        <f>+D5760/8</f>
        <v>85695.173857195114</v>
      </c>
      <c r="F5760" s="28">
        <v>0.13</v>
      </c>
      <c r="G5760" s="33">
        <f>+E5760*F5760</f>
        <v>11140.372601435365</v>
      </c>
    </row>
    <row r="5761" spans="1:8" ht="14.25" thickBot="1">
      <c r="A5761" s="211" t="s">
        <v>519</v>
      </c>
      <c r="B5761" s="216" t="str">
        <f ca="1">_xlfn.CONCAT(B5724,A5761)</f>
        <v>117C350F-aj</v>
      </c>
      <c r="C5761" s="34"/>
      <c r="D5761" s="187"/>
      <c r="E5761" s="29"/>
      <c r="F5761" s="28">
        <v>0</v>
      </c>
      <c r="G5761" s="33">
        <f>+E5761*F5761</f>
        <v>0</v>
      </c>
    </row>
    <row r="5762" spans="1:8" ht="14.25" thickBot="1">
      <c r="A5762" s="211" t="s">
        <v>520</v>
      </c>
      <c r="B5762" s="216" t="str">
        <f ca="1">_xlfn.CONCAT(B5724,A5762)</f>
        <v>117C350F-ak</v>
      </c>
      <c r="C5762" s="34"/>
      <c r="D5762" s="185"/>
      <c r="E5762" s="26"/>
      <c r="F5762" s="36" t="s">
        <v>31</v>
      </c>
      <c r="G5762" s="23">
        <f>SUM(G5759:G5761)</f>
        <v>17038.460648951441</v>
      </c>
    </row>
    <row r="5763" spans="1:8" ht="14.25" thickBot="1">
      <c r="A5763" s="211" t="s">
        <v>521</v>
      </c>
      <c r="B5763" s="216" t="str">
        <f ca="1">_xlfn.CONCAT(B5724,A5763)</f>
        <v>117C350F-al</v>
      </c>
      <c r="C5763" s="37"/>
      <c r="E5763" s="38"/>
      <c r="F5763" s="22"/>
      <c r="G5763" s="39"/>
    </row>
    <row r="5764" spans="1:8" ht="16.5" thickBot="1">
      <c r="A5764" s="211" t="s">
        <v>522</v>
      </c>
      <c r="B5764" s="216" t="str">
        <f ca="1">_xlfn.CONCAT(B5724,A5764)</f>
        <v>117C350F-am</v>
      </c>
      <c r="C5764" s="40"/>
      <c r="D5764" s="193"/>
      <c r="E5764" s="41"/>
      <c r="F5764" s="42"/>
      <c r="G5764" s="43">
        <f>+G5747+G5756+G5762</f>
        <v>77324.248148951447</v>
      </c>
    </row>
    <row r="5765" spans="1:8" ht="21.75" thickBot="1">
      <c r="B5765" s="212" t="s">
        <v>550</v>
      </c>
      <c r="C5765" s="2"/>
      <c r="D5765" s="183"/>
      <c r="F5765" s="4"/>
      <c r="G5765" s="5"/>
    </row>
    <row r="5766" spans="1:8" ht="18.75">
      <c r="A5766" s="213"/>
      <c r="B5766" s="214">
        <v>132</v>
      </c>
      <c r="C5766" s="242" t="str">
        <f ca="1">_xlfn.XLOOKUP(B5766,Cantidades!$A$10:$A$314,Cantidades!$C$10:$C$314,,0,1)</f>
        <v>Suministro e instalación de ductos  2Ø2" PVC TDP</v>
      </c>
      <c r="D5766" s="243"/>
      <c r="E5766" s="243"/>
      <c r="F5766" s="243"/>
      <c r="G5766" s="244"/>
      <c r="H5766" s="213"/>
    </row>
    <row r="5767" spans="1:8" ht="19.5" thickBot="1">
      <c r="A5767" s="215"/>
      <c r="B5767" s="216" t="s">
        <v>550</v>
      </c>
      <c r="C5767" s="177"/>
      <c r="D5767" s="189"/>
      <c r="E5767" s="178"/>
      <c r="F5767" s="179" t="s">
        <v>636</v>
      </c>
      <c r="G5767" s="209" t="str">
        <f ca="1">B5768</f>
        <v>63A0AB0-</v>
      </c>
      <c r="H5767" s="215"/>
    </row>
    <row r="5768" spans="1:8" ht="15.75" thickBot="1">
      <c r="B5768" s="212" t="str">
        <f ca="1">_xlfn.XLOOKUP(C5766,Cantidades!$C$1:$C$314,Cantidades!$B$1:$B$314,"",0,1)</f>
        <v>63A0AB0-</v>
      </c>
      <c r="C5768" s="10" t="s">
        <v>0</v>
      </c>
      <c r="D5768" s="190"/>
      <c r="E5768" s="11"/>
      <c r="F5768" s="12"/>
      <c r="G5768" s="13"/>
    </row>
    <row r="5769" spans="1:8" ht="14.25" thickBot="1">
      <c r="A5769" s="215"/>
      <c r="B5769" s="216" t="s">
        <v>550</v>
      </c>
      <c r="C5769" s="14" t="s">
        <v>1</v>
      </c>
      <c r="D5769" s="15" t="s">
        <v>2</v>
      </c>
      <c r="E5769" s="15" t="s">
        <v>3</v>
      </c>
      <c r="F5769" s="16" t="s">
        <v>4</v>
      </c>
      <c r="G5769" s="15" t="s">
        <v>5</v>
      </c>
    </row>
    <row r="5770" spans="1:8">
      <c r="A5770" s="211" t="s">
        <v>484</v>
      </c>
      <c r="B5770" s="216" t="str">
        <f ca="1">_xlfn.CONCAT(B5768,A5770)</f>
        <v>63A0AB0-A</v>
      </c>
      <c r="C5770" s="17" t="str">
        <f>_xlfn.XLOOKUP(H5770,'Materiales unitario'!$A$1:$A$2500,'Materiales unitario'!B$1:B$2500,,0,1)</f>
        <v>Ducto telef. Y Electric. pesado TDP ø2" PVC</v>
      </c>
      <c r="D5770" s="184" t="str">
        <f>_xlfn.XLOOKUP(H5770,'Materiales unitario'!A$1:A$2500,'Materiales unitario'!C$1:C$2500,,0,1)</f>
        <v>ml</v>
      </c>
      <c r="E5770" s="197">
        <f>_xlfn.XLOOKUP(H5770,'Materiales unitario'!$A$1:$A$2500,'Materiales unitario'!D$1:D$2500,,0,1)</f>
        <v>6520</v>
      </c>
      <c r="F5770" s="19">
        <v>2.4</v>
      </c>
      <c r="G5770" s="20">
        <f>+E5770*F5770</f>
        <v>15648</v>
      </c>
      <c r="H5770" s="211" t="s">
        <v>1196</v>
      </c>
    </row>
    <row r="5771" spans="1:8">
      <c r="A5771" s="211" t="s">
        <v>485</v>
      </c>
      <c r="B5771" s="216" t="str">
        <f ca="1">_xlfn.CONCAT(B5768,A5771)</f>
        <v>63A0AB0-B</v>
      </c>
      <c r="C5771" s="17" t="str">
        <f>_xlfn.XLOOKUP(H5771,'Materiales unitario'!$A$1:$A$2500,'Materiales unitario'!B$1:B$2500,,0,1)</f>
        <v>Campana terminal ducto ø2" PVC</v>
      </c>
      <c r="D5771" s="184" t="str">
        <f>_xlfn.XLOOKUP(H5771,'Materiales unitario'!A$1:A$2500,'Materiales unitario'!C$1:C$2500,,0,1)</f>
        <v>un</v>
      </c>
      <c r="E5771" s="197">
        <f>_xlfn.XLOOKUP(H5771,'Materiales unitario'!$A$1:$A$2500,'Materiales unitario'!D$1:D$2500,,0,1)</f>
        <v>4046</v>
      </c>
      <c r="F5771" s="19">
        <v>1</v>
      </c>
      <c r="G5771" s="20">
        <f>+E5771*F5771</f>
        <v>4046</v>
      </c>
      <c r="H5771" s="211" t="s">
        <v>286</v>
      </c>
    </row>
    <row r="5772" spans="1:8">
      <c r="A5772" s="211" t="s">
        <v>486</v>
      </c>
      <c r="B5772" s="216" t="str">
        <f ca="1">_xlfn.CONCAT(B5768,A5772)</f>
        <v>63A0AB0-C</v>
      </c>
      <c r="C5772" s="17" t="str">
        <f>_xlfn.XLOOKUP(H5772,'Materiales unitario'!$A$1:$A$2500,'Materiales unitario'!B$1:B$2500,,0,1)</f>
        <v>Soldadura liquida PVC 1/4 de galón</v>
      </c>
      <c r="D5772" s="184" t="str">
        <f>_xlfn.XLOOKUP(H5772,'Materiales unitario'!A$1:A$2500,'Materiales unitario'!C$1:C$2500,,0,1)</f>
        <v>un</v>
      </c>
      <c r="E5772" s="197">
        <f>_xlfn.XLOOKUP(H5772,'Materiales unitario'!$A$1:$A$2500,'Materiales unitario'!D$1:D$2500,,0,1)</f>
        <v>60900</v>
      </c>
      <c r="F5772" s="19">
        <v>0.08</v>
      </c>
      <c r="G5772" s="20">
        <f>+E5772*F5772</f>
        <v>4872</v>
      </c>
      <c r="H5772" s="211" t="s">
        <v>530</v>
      </c>
    </row>
    <row r="5773" spans="1:8">
      <c r="A5773" s="211" t="s">
        <v>487</v>
      </c>
      <c r="B5773" s="216" t="str">
        <f ca="1">_xlfn.CONCAT(B5768,A5773)</f>
        <v>63A0AB0-D</v>
      </c>
      <c r="C5773" s="17"/>
      <c r="D5773" s="184"/>
      <c r="E5773" s="197"/>
      <c r="F5773" s="19"/>
      <c r="G5773" s="20"/>
    </row>
    <row r="5774" spans="1:8">
      <c r="A5774" s="211" t="s">
        <v>488</v>
      </c>
      <c r="B5774" s="216" t="str">
        <f ca="1">_xlfn.CONCAT(B5768,A5774)</f>
        <v>63A0AB0-E</v>
      </c>
      <c r="C5774" s="17"/>
      <c r="D5774" s="184"/>
      <c r="E5774" s="197"/>
      <c r="F5774" s="19"/>
      <c r="G5774" s="20"/>
    </row>
    <row r="5775" spans="1:8">
      <c r="A5775" s="211" t="s">
        <v>489</v>
      </c>
      <c r="B5775" s="216" t="str">
        <f ca="1">_xlfn.CONCAT(B5768,A5775)</f>
        <v>63A0AB0-F</v>
      </c>
      <c r="C5775" s="17"/>
      <c r="D5775" s="184"/>
      <c r="E5775" s="197"/>
      <c r="F5775" s="19"/>
      <c r="G5775" s="20"/>
    </row>
    <row r="5776" spans="1:8">
      <c r="A5776" s="211" t="s">
        <v>490</v>
      </c>
      <c r="B5776" s="216" t="str">
        <f ca="1">_xlfn.CONCAT(B5768,A5776)</f>
        <v>63A0AB0-G</v>
      </c>
      <c r="C5776" s="17"/>
      <c r="D5776" s="184"/>
      <c r="E5776" s="197"/>
      <c r="F5776" s="19"/>
      <c r="G5776" s="20"/>
    </row>
    <row r="5777" spans="1:7">
      <c r="A5777" s="211" t="s">
        <v>491</v>
      </c>
      <c r="B5777" s="216" t="str">
        <f ca="1">_xlfn.CONCAT(B5768,A5777)</f>
        <v>63A0AB0-H</v>
      </c>
      <c r="C5777" s="17"/>
      <c r="D5777" s="184"/>
      <c r="E5777" s="197"/>
      <c r="F5777" s="19"/>
      <c r="G5777" s="20"/>
    </row>
    <row r="5778" spans="1:7">
      <c r="A5778" s="211" t="s">
        <v>492</v>
      </c>
      <c r="B5778" s="216" t="str">
        <f ca="1">_xlfn.CONCAT(B5768,A5778)</f>
        <v>63A0AB0-I</v>
      </c>
      <c r="C5778" s="17"/>
      <c r="D5778" s="184"/>
      <c r="E5778" s="197"/>
      <c r="F5778" s="19"/>
      <c r="G5778" s="20"/>
    </row>
    <row r="5779" spans="1:7">
      <c r="A5779" s="211" t="s">
        <v>493</v>
      </c>
      <c r="B5779" s="216" t="str">
        <f ca="1">_xlfn.CONCAT(B5768,A5779)</f>
        <v>63A0AB0-J</v>
      </c>
      <c r="C5779" s="17"/>
      <c r="D5779" s="184"/>
      <c r="E5779" s="197"/>
      <c r="F5779" s="19"/>
      <c r="G5779" s="20"/>
    </row>
    <row r="5780" spans="1:7">
      <c r="A5780" s="211" t="s">
        <v>494</v>
      </c>
      <c r="B5780" s="216" t="str">
        <f ca="1">_xlfn.CONCAT(B5768,A5780)</f>
        <v>63A0AB0-K</v>
      </c>
      <c r="C5780" s="17"/>
      <c r="D5780" s="184"/>
      <c r="E5780" s="197"/>
      <c r="F5780" s="19"/>
      <c r="G5780" s="20"/>
    </row>
    <row r="5781" spans="1:7">
      <c r="A5781" s="211" t="s">
        <v>495</v>
      </c>
      <c r="B5781" s="216" t="str">
        <f ca="1">_xlfn.CONCAT(B5768,A5781)</f>
        <v>63A0AB0-L</v>
      </c>
      <c r="C5781" s="17"/>
      <c r="D5781" s="184"/>
      <c r="E5781" s="197"/>
      <c r="F5781" s="19"/>
      <c r="G5781" s="20"/>
    </row>
    <row r="5782" spans="1:7">
      <c r="A5782" s="211" t="s">
        <v>496</v>
      </c>
      <c r="B5782" s="216" t="str">
        <f ca="1">_xlfn.CONCAT(B5768,A5782)</f>
        <v>63A0AB0-M</v>
      </c>
      <c r="C5782" s="17"/>
      <c r="D5782" s="184"/>
      <c r="E5782" s="197"/>
      <c r="F5782" s="19"/>
      <c r="G5782" s="20"/>
    </row>
    <row r="5783" spans="1:7">
      <c r="A5783" s="211" t="s">
        <v>497</v>
      </c>
      <c r="B5783" s="216" t="str">
        <f ca="1">_xlfn.CONCAT(B5768,A5783)</f>
        <v>63A0AB0-N</v>
      </c>
      <c r="C5783" s="17"/>
      <c r="D5783" s="184"/>
      <c r="E5783" s="197"/>
      <c r="F5783" s="19"/>
      <c r="G5783" s="20"/>
    </row>
    <row r="5784" spans="1:7">
      <c r="A5784" s="211" t="s">
        <v>498</v>
      </c>
      <c r="B5784" s="216" t="str">
        <f ca="1">_xlfn.CONCAT(B5768,A5784)</f>
        <v>63A0AB0-O</v>
      </c>
      <c r="C5784" s="17"/>
      <c r="D5784" s="184"/>
      <c r="E5784" s="197"/>
      <c r="F5784" s="19"/>
      <c r="G5784" s="20"/>
    </row>
    <row r="5785" spans="1:7">
      <c r="A5785" s="211" t="s">
        <v>499</v>
      </c>
      <c r="B5785" s="216" t="str">
        <f ca="1">_xlfn.CONCAT(B5768,A5785)</f>
        <v>63A0AB0-P</v>
      </c>
      <c r="C5785" s="17"/>
      <c r="D5785" s="184"/>
      <c r="E5785" s="197"/>
      <c r="F5785" s="19"/>
      <c r="G5785" s="20"/>
    </row>
    <row r="5786" spans="1:7">
      <c r="A5786" s="211" t="s">
        <v>500</v>
      </c>
      <c r="B5786" s="216" t="str">
        <f ca="1">_xlfn.CONCAT(B5768,A5786)</f>
        <v>63A0AB0-Q</v>
      </c>
      <c r="C5786" s="17"/>
      <c r="D5786" s="184"/>
      <c r="E5786" s="197"/>
      <c r="F5786" s="19"/>
      <c r="G5786" s="20"/>
    </row>
    <row r="5787" spans="1:7">
      <c r="A5787" s="211" t="s">
        <v>501</v>
      </c>
      <c r="B5787" s="216" t="str">
        <f ca="1">_xlfn.CONCAT(B5768,A5787)</f>
        <v>63A0AB0-R</v>
      </c>
      <c r="C5787" s="17"/>
      <c r="D5787" s="184"/>
      <c r="E5787" s="197"/>
      <c r="F5787" s="19"/>
      <c r="G5787" s="20"/>
    </row>
    <row r="5788" spans="1:7">
      <c r="A5788" s="211" t="s">
        <v>502</v>
      </c>
      <c r="B5788" s="216" t="str">
        <f ca="1">_xlfn.CONCAT(B5768,A5788)</f>
        <v>63A0AB0-S</v>
      </c>
      <c r="C5788" s="17"/>
      <c r="D5788" s="184"/>
      <c r="E5788" s="197"/>
      <c r="F5788" s="19"/>
      <c r="G5788" s="20"/>
    </row>
    <row r="5789" spans="1:7">
      <c r="A5789" s="211" t="s">
        <v>503</v>
      </c>
      <c r="B5789" s="216" t="str">
        <f ca="1">_xlfn.CONCAT(B5768,A5789)</f>
        <v>63A0AB0-T</v>
      </c>
      <c r="C5789" s="17"/>
      <c r="D5789" s="184"/>
      <c r="E5789" s="197"/>
      <c r="F5789" s="19"/>
      <c r="G5789" s="20"/>
    </row>
    <row r="5790" spans="1:7" ht="14.25" thickBot="1">
      <c r="A5790" s="211" t="s">
        <v>504</v>
      </c>
      <c r="B5790" s="216" t="str">
        <f ca="1">_xlfn.CONCAT(B5768,A5790)</f>
        <v>63A0AB0-U</v>
      </c>
      <c r="C5790" s="17"/>
      <c r="D5790" s="184"/>
      <c r="E5790" s="197"/>
      <c r="F5790" s="19"/>
      <c r="G5790" s="20"/>
    </row>
    <row r="5791" spans="1:7" ht="14.25" thickBot="1">
      <c r="A5791" s="211" t="s">
        <v>505</v>
      </c>
      <c r="B5791" s="216" t="str">
        <f ca="1">_xlfn.CONCAT(B5768,A5791)</f>
        <v>63A0AB0-V</v>
      </c>
      <c r="C5791" s="17" t="s">
        <v>17</v>
      </c>
      <c r="D5791" s="192" t="s">
        <v>17</v>
      </c>
      <c r="E5791" s="18"/>
      <c r="F5791" s="22" t="s">
        <v>18</v>
      </c>
      <c r="G5791" s="23">
        <f>SUM(G5770:G5790)</f>
        <v>24566</v>
      </c>
    </row>
    <row r="5792" spans="1:7" ht="15.75" thickBot="1">
      <c r="A5792" s="211" t="s">
        <v>506</v>
      </c>
      <c r="B5792" s="216" t="str">
        <f ca="1">_xlfn.CONCAT(B5768,A5792)</f>
        <v>63A0AB0-W</v>
      </c>
      <c r="C5792" s="10" t="s">
        <v>19</v>
      </c>
      <c r="D5792" s="190"/>
      <c r="E5792" s="11"/>
      <c r="F5792" s="12"/>
      <c r="G5792" s="13"/>
    </row>
    <row r="5793" spans="1:8" ht="14.25" thickBot="1">
      <c r="A5793" s="211" t="s">
        <v>507</v>
      </c>
      <c r="B5793" s="216" t="str">
        <f ca="1">_xlfn.CONCAT(B5768,A5793)</f>
        <v>63A0AB0-X</v>
      </c>
      <c r="C5793" s="14" t="s">
        <v>1</v>
      </c>
      <c r="D5793" s="15"/>
      <c r="E5793" s="15" t="s">
        <v>20</v>
      </c>
      <c r="F5793" s="16" t="s">
        <v>21</v>
      </c>
      <c r="G5793" s="15" t="s">
        <v>5</v>
      </c>
      <c r="H5793" s="215"/>
    </row>
    <row r="5794" spans="1:8">
      <c r="A5794" s="211" t="s">
        <v>508</v>
      </c>
      <c r="B5794" s="216" t="str">
        <f ca="1">_xlfn.CONCAT(B5768,A5794)</f>
        <v>63A0AB0-Y</v>
      </c>
      <c r="C5794" s="24" t="s">
        <v>22</v>
      </c>
      <c r="D5794" s="184"/>
      <c r="E5794" s="25">
        <f>_xlfn.XLOOKUP(C5794,'H-MO'!B$7:B$30,'H-MO'!D$7:D$30,,0,1)</f>
        <v>2436.5624999999995</v>
      </c>
      <c r="F5794" s="19">
        <v>0.3</v>
      </c>
      <c r="G5794" s="33">
        <f t="shared" ref="G5794:G5799" si="165">+E5794*F5794</f>
        <v>730.96874999999989</v>
      </c>
    </row>
    <row r="5795" spans="1:8">
      <c r="A5795" s="211" t="s">
        <v>509</v>
      </c>
      <c r="B5795" s="216" t="str">
        <f ca="1">_xlfn.CONCAT(B5768,A5795)</f>
        <v>63A0AB0-Z</v>
      </c>
      <c r="C5795" s="24" t="s">
        <v>23</v>
      </c>
      <c r="D5795" s="184"/>
      <c r="E5795" s="25">
        <f>_xlfn.XLOOKUP(C5795,'H-MO'!B$7:B$30,'H-MO'!D$7:D$30,,0,1)</f>
        <v>1461.9374999999998</v>
      </c>
      <c r="F5795" s="19">
        <v>0.6</v>
      </c>
      <c r="G5795" s="33">
        <f t="shared" si="165"/>
        <v>877.1624999999998</v>
      </c>
    </row>
    <row r="5796" spans="1:8">
      <c r="A5796" s="211" t="s">
        <v>510</v>
      </c>
      <c r="B5796" s="216" t="str">
        <f ca="1">_xlfn.CONCAT(B5768,A5796)</f>
        <v>63A0AB0-aa</v>
      </c>
      <c r="C5796" s="24" t="s">
        <v>24</v>
      </c>
      <c r="D5796" s="185"/>
      <c r="E5796" s="25">
        <f>_xlfn.XLOOKUP(C5796,'H-MO'!B$7:B$30,'H-MO'!D$7:D$30,,0,1)</f>
        <v>29238.749999999996</v>
      </c>
      <c r="F5796" s="28">
        <v>0.1</v>
      </c>
      <c r="G5796" s="33">
        <f t="shared" si="165"/>
        <v>2923.875</v>
      </c>
    </row>
    <row r="5797" spans="1:8">
      <c r="A5797" s="211" t="s">
        <v>511</v>
      </c>
      <c r="B5797" s="216" t="str">
        <f ca="1">_xlfn.CONCAT(B5768,A5797)</f>
        <v>63A0AB0-ab</v>
      </c>
      <c r="C5797" s="24" t="s">
        <v>25</v>
      </c>
      <c r="D5797" s="185"/>
      <c r="E5797" s="25">
        <f>_xlfn.XLOOKUP(C5797,'H-MO'!B$7:B$30,'H-MO'!D$7:D$30,,0,1)</f>
        <v>2761.4374999999995</v>
      </c>
      <c r="F5797" s="28">
        <v>0.3</v>
      </c>
      <c r="G5797" s="33">
        <f t="shared" si="165"/>
        <v>828.43124999999986</v>
      </c>
    </row>
    <row r="5798" spans="1:8">
      <c r="A5798" s="211" t="s">
        <v>512</v>
      </c>
      <c r="B5798" s="216" t="str">
        <f ca="1">_xlfn.CONCAT(B5768,A5798)</f>
        <v>63A0AB0-ac</v>
      </c>
      <c r="C5798" s="24"/>
      <c r="D5798" s="185"/>
      <c r="E5798" s="29"/>
      <c r="F5798" s="28">
        <v>0</v>
      </c>
      <c r="G5798" s="33">
        <f t="shared" si="165"/>
        <v>0</v>
      </c>
    </row>
    <row r="5799" spans="1:8" ht="14.25" thickBot="1">
      <c r="A5799" s="211" t="s">
        <v>513</v>
      </c>
      <c r="B5799" s="216" t="str">
        <f ca="1">_xlfn.CONCAT(B5768,A5799)</f>
        <v>63A0AB0-ad</v>
      </c>
      <c r="C5799" s="24"/>
      <c r="D5799" s="185"/>
      <c r="E5799" s="29"/>
      <c r="F5799" s="28">
        <v>0</v>
      </c>
      <c r="G5799" s="33">
        <f t="shared" si="165"/>
        <v>0</v>
      </c>
    </row>
    <row r="5800" spans="1:8" ht="14.25" thickBot="1">
      <c r="A5800" s="211" t="s">
        <v>514</v>
      </c>
      <c r="B5800" s="216" t="str">
        <f ca="1">_xlfn.CONCAT(B5768,A5800)</f>
        <v>63A0AB0-ae</v>
      </c>
      <c r="C5800" s="17"/>
      <c r="D5800" s="192"/>
      <c r="E5800" s="18"/>
      <c r="F5800" s="22" t="s">
        <v>26</v>
      </c>
      <c r="G5800" s="23">
        <f>SUM(G5794:G5799)</f>
        <v>5360.4374999999991</v>
      </c>
    </row>
    <row r="5801" spans="1:8" ht="15.75" thickBot="1">
      <c r="A5801" s="211" t="s">
        <v>515</v>
      </c>
      <c r="B5801" s="216" t="str">
        <f ca="1">_xlfn.CONCAT(B5768,A5801)</f>
        <v>63A0AB0-af</v>
      </c>
      <c r="C5801" s="10" t="s">
        <v>27</v>
      </c>
      <c r="D5801" s="190"/>
      <c r="E5801" s="11"/>
      <c r="F5801" s="12"/>
      <c r="G5801" s="13"/>
    </row>
    <row r="5802" spans="1:8" ht="14.25" thickBot="1">
      <c r="A5802" s="211" t="s">
        <v>516</v>
      </c>
      <c r="B5802" s="216" t="str">
        <f ca="1">_xlfn.CONCAT(B5768,A5802)</f>
        <v>63A0AB0-ag</v>
      </c>
      <c r="C5802" s="14" t="s">
        <v>1</v>
      </c>
      <c r="D5802" s="15" t="s">
        <v>28</v>
      </c>
      <c r="E5802" s="15" t="s">
        <v>20</v>
      </c>
      <c r="F5802" s="16" t="s">
        <v>21</v>
      </c>
      <c r="G5802" s="15" t="s">
        <v>5</v>
      </c>
      <c r="H5802" s="215"/>
    </row>
    <row r="5803" spans="1:8">
      <c r="A5803" s="211" t="s">
        <v>517</v>
      </c>
      <c r="B5803" s="216" t="str">
        <f ca="1">_xlfn.CONCAT(B5768,A5803)</f>
        <v>63A0AB0-ah</v>
      </c>
      <c r="C5803" s="30" t="s">
        <v>29</v>
      </c>
      <c r="D5803" s="186">
        <f>'H-MO'!$N$77</f>
        <v>725918.52892505517</v>
      </c>
      <c r="E5803" s="31">
        <f>+D5803/8</f>
        <v>90739.816115631897</v>
      </c>
      <c r="F5803" s="32">
        <v>0.03</v>
      </c>
      <c r="G5803" s="33">
        <f>+E5803*F5803</f>
        <v>2722.1944834689566</v>
      </c>
    </row>
    <row r="5804" spans="1:8">
      <c r="A5804" s="211" t="s">
        <v>518</v>
      </c>
      <c r="B5804" s="216" t="str">
        <f ca="1">_xlfn.CONCAT(B5768,A5804)</f>
        <v>63A0AB0-ai</v>
      </c>
      <c r="C5804" s="34" t="s">
        <v>30</v>
      </c>
      <c r="D5804" s="187">
        <f>'H-MO'!$N$86</f>
        <v>685561.39085756091</v>
      </c>
      <c r="E5804" s="29">
        <f>+D5804/8</f>
        <v>85695.173857195114</v>
      </c>
      <c r="F5804" s="28">
        <v>0.06</v>
      </c>
      <c r="G5804" s="33">
        <f>+E5804*F5804</f>
        <v>5141.7104314317066</v>
      </c>
    </row>
    <row r="5805" spans="1:8" ht="14.25" thickBot="1">
      <c r="A5805" s="211" t="s">
        <v>519</v>
      </c>
      <c r="B5805" s="216" t="str">
        <f ca="1">_xlfn.CONCAT(B5768,A5805)</f>
        <v>63A0AB0-aj</v>
      </c>
      <c r="C5805" s="34"/>
      <c r="D5805" s="187"/>
      <c r="E5805" s="29"/>
      <c r="F5805" s="28">
        <v>0</v>
      </c>
      <c r="G5805" s="33">
        <f>+E5805*F5805</f>
        <v>0</v>
      </c>
    </row>
    <row r="5806" spans="1:8" ht="14.25" thickBot="1">
      <c r="A5806" s="211" t="s">
        <v>520</v>
      </c>
      <c r="B5806" s="216" t="str">
        <f ca="1">_xlfn.CONCAT(B5768,A5806)</f>
        <v>63A0AB0-ak</v>
      </c>
      <c r="C5806" s="34"/>
      <c r="D5806" s="185"/>
      <c r="E5806" s="26"/>
      <c r="F5806" s="36" t="s">
        <v>31</v>
      </c>
      <c r="G5806" s="23">
        <f>SUM(G5803:G5805)</f>
        <v>7863.9049149006632</v>
      </c>
    </row>
    <row r="5807" spans="1:8" ht="14.25" thickBot="1">
      <c r="A5807" s="211" t="s">
        <v>521</v>
      </c>
      <c r="B5807" s="216" t="str">
        <f ca="1">_xlfn.CONCAT(B5768,A5807)</f>
        <v>63A0AB0-al</v>
      </c>
      <c r="C5807" s="37"/>
      <c r="E5807" s="38"/>
      <c r="F5807" s="22"/>
      <c r="G5807" s="39"/>
    </row>
    <row r="5808" spans="1:8" ht="16.5" thickBot="1">
      <c r="A5808" s="211" t="s">
        <v>522</v>
      </c>
      <c r="B5808" s="216" t="str">
        <f ca="1">_xlfn.CONCAT(B5768,A5808)</f>
        <v>63A0AB0-am</v>
      </c>
      <c r="C5808" s="40"/>
      <c r="D5808" s="193"/>
      <c r="E5808" s="41"/>
      <c r="F5808" s="42"/>
      <c r="G5808" s="43">
        <f>+G5791+G5800+G5806</f>
        <v>37790.342414900661</v>
      </c>
    </row>
    <row r="5809" spans="1:8" ht="21.75" thickBot="1">
      <c r="B5809" s="212" t="s">
        <v>550</v>
      </c>
      <c r="C5809" s="2"/>
      <c r="D5809" s="183"/>
      <c r="F5809" s="4"/>
      <c r="G5809" s="5"/>
    </row>
    <row r="5810" spans="1:8" ht="18.75">
      <c r="A5810" s="213"/>
      <c r="B5810" s="214">
        <v>133</v>
      </c>
      <c r="C5810" s="242" t="str">
        <f ca="1">_xlfn.XLOOKUP(B5810,Cantidades!$A$10:$A$314,Cantidades!$C$10:$C$314,,0,1)</f>
        <v>Suministro e instalación de Acometida 2x(3#350+4/0) Al</v>
      </c>
      <c r="D5810" s="243"/>
      <c r="E5810" s="243"/>
      <c r="F5810" s="243"/>
      <c r="G5810" s="244"/>
    </row>
    <row r="5811" spans="1:8" ht="19.5" thickBot="1">
      <c r="A5811" s="215"/>
      <c r="B5811" s="216" t="s">
        <v>550</v>
      </c>
      <c r="C5811" s="177"/>
      <c r="D5811" s="189"/>
      <c r="E5811" s="178"/>
      <c r="F5811" s="179" t="s">
        <v>636</v>
      </c>
      <c r="G5811" s="209" t="str">
        <f ca="1">B5812</f>
        <v>27632337-</v>
      </c>
    </row>
    <row r="5812" spans="1:8" ht="15.75" thickBot="1">
      <c r="B5812" s="212" t="str">
        <f ca="1">_xlfn.XLOOKUP(C5810,Cantidades!$C$1:$C$314,Cantidades!$B$1:$B$314,"",0,1)</f>
        <v>27632337-</v>
      </c>
      <c r="C5812" s="10" t="s">
        <v>0</v>
      </c>
      <c r="D5812" s="190"/>
      <c r="E5812" s="11"/>
      <c r="F5812" s="12"/>
      <c r="G5812" s="13"/>
    </row>
    <row r="5813" spans="1:8" ht="14.25" thickBot="1">
      <c r="A5813" s="215"/>
      <c r="B5813" s="216" t="s">
        <v>550</v>
      </c>
      <c r="C5813" s="14" t="s">
        <v>1</v>
      </c>
      <c r="D5813" s="15" t="s">
        <v>2</v>
      </c>
      <c r="E5813" s="15" t="s">
        <v>3</v>
      </c>
      <c r="F5813" s="16" t="s">
        <v>4</v>
      </c>
      <c r="G5813" s="15" t="s">
        <v>5</v>
      </c>
    </row>
    <row r="5814" spans="1:8">
      <c r="A5814" s="211" t="s">
        <v>484</v>
      </c>
      <c r="B5814" s="216" t="str">
        <f ca="1">_xlfn.CONCAT(B5812,A5814)</f>
        <v>27632337-A</v>
      </c>
      <c r="C5814" s="17" t="str">
        <f>_xlfn.XLOOKUP(H5814,'Materiales unitario'!$A$1:$A$2500,'Materiales unitario'!B$1:B$2500,,0,1)</f>
        <v>Cable de Aluminio aislado #350 mcm - THHN/THWN</v>
      </c>
      <c r="D5814" s="184" t="str">
        <f>_xlfn.XLOOKUP(H5814,'Materiales unitario'!A$1:A$2500,'Materiales unitario'!C$1:C$2500,,0,1)</f>
        <v>ml</v>
      </c>
      <c r="E5814" s="197">
        <f>_xlfn.XLOOKUP(H5814,'Materiales unitario'!$A$1:$A$2500,'Materiales unitario'!D$1:D$2500,,0,1)</f>
        <v>25942</v>
      </c>
      <c r="F5814" s="19">
        <v>7.3</v>
      </c>
      <c r="G5814" s="20">
        <f>+E5814*F5814</f>
        <v>189376.6</v>
      </c>
      <c r="H5814" s="211" t="s">
        <v>259</v>
      </c>
    </row>
    <row r="5815" spans="1:8">
      <c r="A5815" s="211" t="s">
        <v>485</v>
      </c>
      <c r="B5815" s="216" t="str">
        <f ca="1">_xlfn.CONCAT(B5812,A5815)</f>
        <v>27632337-B</v>
      </c>
      <c r="C5815" s="17" t="str">
        <f>_xlfn.XLOOKUP(H5815,'Materiales unitario'!$A$1:$A$2500,'Materiales unitario'!B$1:B$2500,,0,1)</f>
        <v>Cable de Aluminio aislado #4/0 AWG - THHN/THWN</v>
      </c>
      <c r="D5815" s="184" t="str">
        <f>_xlfn.XLOOKUP(H5815,'Materiales unitario'!A$1:A$2500,'Materiales unitario'!C$1:C$2500,,0,1)</f>
        <v>ml</v>
      </c>
      <c r="E5815" s="197">
        <f>_xlfn.XLOOKUP(H5815,'Materiales unitario'!$A$1:$A$2500,'Materiales unitario'!D$1:D$2500,,0,1)</f>
        <v>15589</v>
      </c>
      <c r="F5815" s="19">
        <v>2.1</v>
      </c>
      <c r="G5815" s="20">
        <f>+E5815*F5815</f>
        <v>32736.9</v>
      </c>
      <c r="H5815" s="211" t="s">
        <v>261</v>
      </c>
    </row>
    <row r="5816" spans="1:8">
      <c r="A5816" s="211" t="s">
        <v>486</v>
      </c>
      <c r="B5816" s="216" t="str">
        <f ca="1">_xlfn.CONCAT(B5812,A5816)</f>
        <v>27632337-C</v>
      </c>
      <c r="C5816" s="17" t="str">
        <f>_xlfn.XLOOKUP(H5816,'Materiales unitario'!$A$1:$A$2500,'Materiales unitario'!B$1:B$2500,,0,1)</f>
        <v>Borna bimetálica de ojo tipo pala #4/0 AWG</v>
      </c>
      <c r="D5816" s="184" t="str">
        <f>_xlfn.XLOOKUP(H5816,'Materiales unitario'!A$1:A$2500,'Materiales unitario'!C$1:C$2500,,0,1)</f>
        <v>un</v>
      </c>
      <c r="E5816" s="197">
        <f>_xlfn.XLOOKUP(H5816,'Materiales unitario'!$A$1:$A$2500,'Materiales unitario'!D$1:D$2500,,0,1)</f>
        <v>13804</v>
      </c>
      <c r="F5816" s="19">
        <v>0.2</v>
      </c>
      <c r="G5816" s="20">
        <f>+E5816*F5816</f>
        <v>2760.8</v>
      </c>
      <c r="H5816" s="211" t="s">
        <v>246</v>
      </c>
    </row>
    <row r="5817" spans="1:8">
      <c r="A5817" s="211" t="s">
        <v>487</v>
      </c>
      <c r="B5817" s="216" t="str">
        <f ca="1">_xlfn.CONCAT(B5812,A5817)</f>
        <v>27632337-D</v>
      </c>
      <c r="C5817" s="17" t="str">
        <f>_xlfn.XLOOKUP(H5817,'Materiales unitario'!$A$1:$A$2500,'Materiales unitario'!B$1:B$2500,,0,1)</f>
        <v>Borna bimetálica de ojo tipo pala #350 MCM</v>
      </c>
      <c r="D5817" s="184" t="str">
        <f>_xlfn.XLOOKUP(H5817,'Materiales unitario'!A$1:A$2500,'Materiales unitario'!C$1:C$2500,,0,1)</f>
        <v>un</v>
      </c>
      <c r="E5817" s="197">
        <f>_xlfn.XLOOKUP(H5817,'Materiales unitario'!$A$1:$A$2500,'Materiales unitario'!D$1:D$2500,,0,1)</f>
        <v>24871</v>
      </c>
      <c r="F5817" s="19">
        <v>0.6</v>
      </c>
      <c r="G5817" s="20">
        <f>+E5817*F5817</f>
        <v>14922.599999999999</v>
      </c>
      <c r="H5817" s="211" t="s">
        <v>244</v>
      </c>
    </row>
    <row r="5818" spans="1:8">
      <c r="A5818" s="211" t="s">
        <v>488</v>
      </c>
      <c r="B5818" s="216" t="str">
        <f ca="1">_xlfn.CONCAT(B5812,A5818)</f>
        <v>27632337-E</v>
      </c>
      <c r="C5818" s="17" t="str">
        <f>_xlfn.XLOOKUP(H5818,'Materiales unitario'!$A$1:$A$2500,'Materiales unitario'!B$1:B$2500,,0,1)</f>
        <v>Termoencogible</v>
      </c>
      <c r="D5818" s="184" t="str">
        <f>_xlfn.XLOOKUP(H5818,'Materiales unitario'!A$1:A$2500,'Materiales unitario'!C$1:C$2500,,0,1)</f>
        <v>un</v>
      </c>
      <c r="E5818" s="197">
        <f>_xlfn.XLOOKUP(H5818,'Materiales unitario'!$A$1:$A$2500,'Materiales unitario'!D$1:D$2500,,0,1)</f>
        <v>5000</v>
      </c>
      <c r="F5818" s="19">
        <v>0.2</v>
      </c>
      <c r="G5818" s="20">
        <f>+E5818*F5818</f>
        <v>1000</v>
      </c>
      <c r="H5818" s="211" t="s">
        <v>373</v>
      </c>
    </row>
    <row r="5819" spans="1:8">
      <c r="A5819" s="211" t="s">
        <v>489</v>
      </c>
      <c r="B5819" s="216" t="str">
        <f ca="1">_xlfn.CONCAT(B5812,A5819)</f>
        <v>27632337-F</v>
      </c>
      <c r="C5819" s="17"/>
      <c r="D5819" s="184"/>
      <c r="E5819" s="197"/>
      <c r="F5819" s="19"/>
      <c r="G5819" s="20"/>
    </row>
    <row r="5820" spans="1:8">
      <c r="A5820" s="211" t="s">
        <v>490</v>
      </c>
      <c r="B5820" s="216" t="str">
        <f ca="1">_xlfn.CONCAT(B5812,A5820)</f>
        <v>27632337-G</v>
      </c>
      <c r="C5820" s="17"/>
      <c r="D5820" s="184"/>
      <c r="E5820" s="197"/>
      <c r="F5820" s="19"/>
      <c r="G5820" s="20"/>
    </row>
    <row r="5821" spans="1:8">
      <c r="A5821" s="211" t="s">
        <v>491</v>
      </c>
      <c r="B5821" s="216" t="str">
        <f ca="1">_xlfn.CONCAT(B5812,A5821)</f>
        <v>27632337-H</v>
      </c>
      <c r="C5821" s="17"/>
      <c r="D5821" s="184"/>
      <c r="E5821" s="197"/>
      <c r="F5821" s="19"/>
      <c r="G5821" s="20"/>
    </row>
    <row r="5822" spans="1:8">
      <c r="A5822" s="211" t="s">
        <v>492</v>
      </c>
      <c r="B5822" s="216" t="str">
        <f ca="1">_xlfn.CONCAT(B5812,A5822)</f>
        <v>27632337-I</v>
      </c>
      <c r="C5822" s="17"/>
      <c r="D5822" s="184"/>
      <c r="E5822" s="197"/>
      <c r="F5822" s="19"/>
      <c r="G5822" s="20"/>
    </row>
    <row r="5823" spans="1:8">
      <c r="A5823" s="211" t="s">
        <v>493</v>
      </c>
      <c r="B5823" s="216" t="str">
        <f ca="1">_xlfn.CONCAT(B5812,A5823)</f>
        <v>27632337-J</v>
      </c>
      <c r="C5823" s="17"/>
      <c r="D5823" s="184"/>
      <c r="E5823" s="197"/>
      <c r="F5823" s="19"/>
      <c r="G5823" s="20"/>
    </row>
    <row r="5824" spans="1:8">
      <c r="A5824" s="211" t="s">
        <v>494</v>
      </c>
      <c r="B5824" s="216" t="str">
        <f ca="1">_xlfn.CONCAT(B5812,A5824)</f>
        <v>27632337-K</v>
      </c>
      <c r="C5824" s="17"/>
      <c r="D5824" s="184"/>
      <c r="E5824" s="197"/>
      <c r="F5824" s="19"/>
      <c r="G5824" s="20"/>
    </row>
    <row r="5825" spans="1:7">
      <c r="A5825" s="211" t="s">
        <v>495</v>
      </c>
      <c r="B5825" s="216" t="str">
        <f ca="1">_xlfn.CONCAT(B5812,A5825)</f>
        <v>27632337-L</v>
      </c>
      <c r="C5825" s="17"/>
      <c r="D5825" s="184"/>
      <c r="E5825" s="197"/>
      <c r="F5825" s="19"/>
      <c r="G5825" s="20"/>
    </row>
    <row r="5826" spans="1:7">
      <c r="A5826" s="211" t="s">
        <v>496</v>
      </c>
      <c r="B5826" s="216" t="str">
        <f ca="1">_xlfn.CONCAT(B5812,A5826)</f>
        <v>27632337-M</v>
      </c>
      <c r="C5826" s="17"/>
      <c r="D5826" s="184"/>
      <c r="E5826" s="197"/>
      <c r="F5826" s="19"/>
      <c r="G5826" s="20"/>
    </row>
    <row r="5827" spans="1:7">
      <c r="A5827" s="211" t="s">
        <v>497</v>
      </c>
      <c r="B5827" s="216" t="str">
        <f ca="1">_xlfn.CONCAT(B5812,A5827)</f>
        <v>27632337-N</v>
      </c>
      <c r="C5827" s="17"/>
      <c r="D5827" s="184"/>
      <c r="E5827" s="197"/>
      <c r="F5827" s="19"/>
      <c r="G5827" s="20"/>
    </row>
    <row r="5828" spans="1:7">
      <c r="A5828" s="211" t="s">
        <v>498</v>
      </c>
      <c r="B5828" s="216" t="str">
        <f ca="1">_xlfn.CONCAT(B5812,A5828)</f>
        <v>27632337-O</v>
      </c>
      <c r="C5828" s="17"/>
      <c r="D5828" s="184"/>
      <c r="E5828" s="197"/>
      <c r="F5828" s="19"/>
      <c r="G5828" s="20"/>
    </row>
    <row r="5829" spans="1:7">
      <c r="A5829" s="211" t="s">
        <v>499</v>
      </c>
      <c r="B5829" s="216" t="str">
        <f ca="1">_xlfn.CONCAT(B5812,A5829)</f>
        <v>27632337-P</v>
      </c>
      <c r="C5829" s="17"/>
      <c r="D5829" s="184"/>
      <c r="E5829" s="197"/>
      <c r="F5829" s="19"/>
      <c r="G5829" s="20"/>
    </row>
    <row r="5830" spans="1:7">
      <c r="A5830" s="211" t="s">
        <v>500</v>
      </c>
      <c r="B5830" s="216" t="str">
        <f ca="1">_xlfn.CONCAT(B5812,A5830)</f>
        <v>27632337-Q</v>
      </c>
      <c r="C5830" s="17"/>
      <c r="D5830" s="184"/>
      <c r="E5830" s="197"/>
      <c r="F5830" s="19"/>
      <c r="G5830" s="20"/>
    </row>
    <row r="5831" spans="1:7">
      <c r="A5831" s="211" t="s">
        <v>501</v>
      </c>
      <c r="B5831" s="216" t="str">
        <f ca="1">_xlfn.CONCAT(B5812,A5831)</f>
        <v>27632337-R</v>
      </c>
      <c r="C5831" s="17"/>
      <c r="D5831" s="184"/>
      <c r="E5831" s="197"/>
      <c r="F5831" s="19"/>
      <c r="G5831" s="20"/>
    </row>
    <row r="5832" spans="1:7">
      <c r="A5832" s="211" t="s">
        <v>502</v>
      </c>
      <c r="B5832" s="216" t="str">
        <f ca="1">_xlfn.CONCAT(B5812,A5832)</f>
        <v>27632337-S</v>
      </c>
      <c r="C5832" s="17"/>
      <c r="D5832" s="184"/>
      <c r="E5832" s="197"/>
      <c r="F5832" s="19"/>
      <c r="G5832" s="20"/>
    </row>
    <row r="5833" spans="1:7">
      <c r="A5833" s="211" t="s">
        <v>503</v>
      </c>
      <c r="B5833" s="216" t="str">
        <f ca="1">_xlfn.CONCAT(B5812,A5833)</f>
        <v>27632337-T</v>
      </c>
      <c r="C5833" s="17"/>
      <c r="D5833" s="184"/>
      <c r="E5833" s="197"/>
      <c r="F5833" s="19"/>
      <c r="G5833" s="20"/>
    </row>
    <row r="5834" spans="1:7" ht="14.25" thickBot="1">
      <c r="A5834" s="211" t="s">
        <v>504</v>
      </c>
      <c r="B5834" s="216" t="str">
        <f ca="1">_xlfn.CONCAT(B5812,A5834)</f>
        <v>27632337-U</v>
      </c>
      <c r="C5834" s="17"/>
      <c r="D5834" s="184"/>
      <c r="E5834" s="197"/>
      <c r="F5834" s="19"/>
      <c r="G5834" s="20"/>
    </row>
    <row r="5835" spans="1:7" ht="14.25" thickBot="1">
      <c r="A5835" s="211" t="s">
        <v>505</v>
      </c>
      <c r="B5835" s="216" t="str">
        <f ca="1">_xlfn.CONCAT(B5812,A5835)</f>
        <v>27632337-V</v>
      </c>
      <c r="C5835" s="17" t="s">
        <v>17</v>
      </c>
      <c r="D5835" s="192" t="s">
        <v>17</v>
      </c>
      <c r="E5835" s="18"/>
      <c r="F5835" s="22" t="s">
        <v>18</v>
      </c>
      <c r="G5835" s="23">
        <f>SUM(G5814:G5834)</f>
        <v>240796.9</v>
      </c>
    </row>
    <row r="5836" spans="1:7" ht="15.75" thickBot="1">
      <c r="A5836" s="211" t="s">
        <v>506</v>
      </c>
      <c r="B5836" s="216" t="str">
        <f ca="1">_xlfn.CONCAT(B5812,A5836)</f>
        <v>27632337-W</v>
      </c>
      <c r="C5836" s="10" t="s">
        <v>19</v>
      </c>
      <c r="D5836" s="190"/>
      <c r="E5836" s="11"/>
      <c r="F5836" s="12"/>
      <c r="G5836" s="13"/>
    </row>
    <row r="5837" spans="1:7" ht="14.25" thickBot="1">
      <c r="A5837" s="211" t="s">
        <v>507</v>
      </c>
      <c r="B5837" s="216" t="str">
        <f ca="1">_xlfn.CONCAT(B5812,A5837)</f>
        <v>27632337-X</v>
      </c>
      <c r="C5837" s="14" t="s">
        <v>1</v>
      </c>
      <c r="D5837" s="15"/>
      <c r="E5837" s="15" t="s">
        <v>20</v>
      </c>
      <c r="F5837" s="16" t="s">
        <v>21</v>
      </c>
      <c r="G5837" s="15" t="s">
        <v>5</v>
      </c>
    </row>
    <row r="5838" spans="1:7">
      <c r="A5838" s="211" t="s">
        <v>508</v>
      </c>
      <c r="B5838" s="216" t="str">
        <f ca="1">_xlfn.CONCAT(B5812,A5838)</f>
        <v>27632337-Y</v>
      </c>
      <c r="C5838" s="24" t="s">
        <v>22</v>
      </c>
      <c r="D5838" s="184"/>
      <c r="E5838" s="25">
        <f>_xlfn.XLOOKUP(C5838,'H-MO'!B$7:B$30,'H-MO'!D$7:D$30,,0,1)</f>
        <v>2436.5624999999995</v>
      </c>
      <c r="F5838" s="19">
        <v>1</v>
      </c>
      <c r="G5838" s="33">
        <f t="shared" ref="G5838:G5843" si="166">+E5838*F5838</f>
        <v>2436.5624999999995</v>
      </c>
    </row>
    <row r="5839" spans="1:7">
      <c r="A5839" s="211" t="s">
        <v>509</v>
      </c>
      <c r="B5839" s="216" t="str">
        <f ca="1">_xlfn.CONCAT(B5812,A5839)</f>
        <v>27632337-Z</v>
      </c>
      <c r="C5839" s="24" t="s">
        <v>23</v>
      </c>
      <c r="D5839" s="184"/>
      <c r="E5839" s="25">
        <f>_xlfn.XLOOKUP(C5839,'H-MO'!B$7:B$30,'H-MO'!D$7:D$30,,0,1)</f>
        <v>1461.9374999999998</v>
      </c>
      <c r="F5839" s="19">
        <v>0.08</v>
      </c>
      <c r="G5839" s="33">
        <f t="shared" si="166"/>
        <v>116.95499999999998</v>
      </c>
    </row>
    <row r="5840" spans="1:7">
      <c r="A5840" s="211" t="s">
        <v>510</v>
      </c>
      <c r="B5840" s="216" t="str">
        <f ca="1">_xlfn.CONCAT(B5812,A5840)</f>
        <v>27632337-aa</v>
      </c>
      <c r="C5840" s="24" t="s">
        <v>24</v>
      </c>
      <c r="D5840" s="185"/>
      <c r="E5840" s="25">
        <f>_xlfn.XLOOKUP(C5840,'H-MO'!B$7:B$30,'H-MO'!D$7:D$30,,0,1)</f>
        <v>29238.749999999996</v>
      </c>
      <c r="F5840" s="28">
        <v>0.2</v>
      </c>
      <c r="G5840" s="33">
        <f t="shared" si="166"/>
        <v>5847.75</v>
      </c>
    </row>
    <row r="5841" spans="1:7">
      <c r="A5841" s="211" t="s">
        <v>511</v>
      </c>
      <c r="B5841" s="216" t="str">
        <f ca="1">_xlfn.CONCAT(B5812,A5841)</f>
        <v>27632337-ab</v>
      </c>
      <c r="C5841" s="24" t="s">
        <v>25</v>
      </c>
      <c r="D5841" s="185"/>
      <c r="E5841" s="25">
        <f>_xlfn.XLOOKUP(C5841,'H-MO'!B$7:B$30,'H-MO'!D$7:D$30,,0,1)</f>
        <v>2761.4374999999995</v>
      </c>
      <c r="F5841" s="28">
        <v>1</v>
      </c>
      <c r="G5841" s="33">
        <f t="shared" si="166"/>
        <v>2761.4374999999995</v>
      </c>
    </row>
    <row r="5842" spans="1:7">
      <c r="A5842" s="211" t="s">
        <v>512</v>
      </c>
      <c r="B5842" s="216" t="str">
        <f ca="1">_xlfn.CONCAT(B5812,A5842)</f>
        <v>27632337-ac</v>
      </c>
      <c r="C5842" s="24"/>
      <c r="D5842" s="185"/>
      <c r="E5842" s="29"/>
      <c r="F5842" s="28">
        <v>0</v>
      </c>
      <c r="G5842" s="33">
        <f t="shared" si="166"/>
        <v>0</v>
      </c>
    </row>
    <row r="5843" spans="1:7" ht="14.25" thickBot="1">
      <c r="A5843" s="211" t="s">
        <v>513</v>
      </c>
      <c r="B5843" s="216" t="str">
        <f ca="1">_xlfn.CONCAT(B5812,A5843)</f>
        <v>27632337-ad</v>
      </c>
      <c r="C5843" s="24"/>
      <c r="D5843" s="185"/>
      <c r="E5843" s="29"/>
      <c r="F5843" s="28">
        <v>0</v>
      </c>
      <c r="G5843" s="33">
        <f t="shared" si="166"/>
        <v>0</v>
      </c>
    </row>
    <row r="5844" spans="1:7" ht="14.25" thickBot="1">
      <c r="A5844" s="211" t="s">
        <v>514</v>
      </c>
      <c r="B5844" s="216" t="str">
        <f ca="1">_xlfn.CONCAT(B5812,A5844)</f>
        <v>27632337-ae</v>
      </c>
      <c r="C5844" s="17"/>
      <c r="D5844" s="192"/>
      <c r="E5844" s="18"/>
      <c r="F5844" s="22" t="s">
        <v>26</v>
      </c>
      <c r="G5844" s="23">
        <f>SUM(G5838:G5843)</f>
        <v>11162.705</v>
      </c>
    </row>
    <row r="5845" spans="1:7" ht="15.75" thickBot="1">
      <c r="A5845" s="211" t="s">
        <v>515</v>
      </c>
      <c r="B5845" s="216" t="str">
        <f ca="1">_xlfn.CONCAT(B5812,A5845)</f>
        <v>27632337-af</v>
      </c>
      <c r="C5845" s="10" t="s">
        <v>27</v>
      </c>
      <c r="D5845" s="190"/>
      <c r="E5845" s="11"/>
      <c r="F5845" s="12"/>
      <c r="G5845" s="13"/>
    </row>
    <row r="5846" spans="1:7" ht="14.25" thickBot="1">
      <c r="A5846" s="211" t="s">
        <v>516</v>
      </c>
      <c r="B5846" s="216" t="str">
        <f ca="1">_xlfn.CONCAT(B5812,A5846)</f>
        <v>27632337-ag</v>
      </c>
      <c r="C5846" s="14" t="s">
        <v>1</v>
      </c>
      <c r="D5846" s="15" t="s">
        <v>28</v>
      </c>
      <c r="E5846" s="15" t="s">
        <v>20</v>
      </c>
      <c r="F5846" s="16" t="s">
        <v>21</v>
      </c>
      <c r="G5846" s="15" t="s">
        <v>5</v>
      </c>
    </row>
    <row r="5847" spans="1:7">
      <c r="A5847" s="211" t="s">
        <v>517</v>
      </c>
      <c r="B5847" s="216" t="str">
        <f ca="1">_xlfn.CONCAT(B5812,A5847)</f>
        <v>27632337-ah</v>
      </c>
      <c r="C5847" s="30" t="s">
        <v>29</v>
      </c>
      <c r="D5847" s="186">
        <f>'H-MO'!$N$77</f>
        <v>725918.52892505517</v>
      </c>
      <c r="E5847" s="31">
        <f>+D5847/8</f>
        <v>90739.816115631897</v>
      </c>
      <c r="F5847" s="32">
        <v>1.46</v>
      </c>
      <c r="G5847" s="33">
        <f>+E5847*F5847</f>
        <v>132480.13152882256</v>
      </c>
    </row>
    <row r="5848" spans="1:7">
      <c r="A5848" s="211" t="s">
        <v>518</v>
      </c>
      <c r="B5848" s="216" t="str">
        <f ca="1">_xlfn.CONCAT(B5812,A5848)</f>
        <v>27632337-ai</v>
      </c>
      <c r="C5848" s="34" t="s">
        <v>30</v>
      </c>
      <c r="D5848" s="187">
        <f>'H-MO'!$N$86</f>
        <v>685561.39085756091</v>
      </c>
      <c r="E5848" s="29">
        <f>+D5848/8</f>
        <v>85695.173857195114</v>
      </c>
      <c r="F5848" s="28">
        <v>0</v>
      </c>
      <c r="G5848" s="33">
        <f>+E5848*F5848</f>
        <v>0</v>
      </c>
    </row>
    <row r="5849" spans="1:7" ht="14.25" thickBot="1">
      <c r="A5849" s="211" t="s">
        <v>519</v>
      </c>
      <c r="B5849" s="216" t="str">
        <f ca="1">_xlfn.CONCAT(B5812,A5849)</f>
        <v>27632337-aj</v>
      </c>
      <c r="C5849" s="34"/>
      <c r="D5849" s="187"/>
      <c r="E5849" s="29"/>
      <c r="F5849" s="28"/>
      <c r="G5849" s="33">
        <f>+E5849*F5849</f>
        <v>0</v>
      </c>
    </row>
    <row r="5850" spans="1:7" ht="14.25" thickBot="1">
      <c r="A5850" s="211" t="s">
        <v>520</v>
      </c>
      <c r="B5850" s="216" t="str">
        <f ca="1">_xlfn.CONCAT(B5812,A5850)</f>
        <v>27632337-ak</v>
      </c>
      <c r="C5850" s="34"/>
      <c r="D5850" s="185"/>
      <c r="E5850" s="26"/>
      <c r="F5850" s="36" t="s">
        <v>31</v>
      </c>
      <c r="G5850" s="23">
        <f>SUM(G5847:G5849)</f>
        <v>132480.13152882256</v>
      </c>
    </row>
    <row r="5851" spans="1:7" ht="14.25" thickBot="1">
      <c r="A5851" s="211" t="s">
        <v>521</v>
      </c>
      <c r="B5851" s="216" t="str">
        <f ca="1">_xlfn.CONCAT(B5812,A5851)</f>
        <v>27632337-al</v>
      </c>
      <c r="C5851" s="37"/>
      <c r="E5851" s="38"/>
      <c r="F5851" s="22"/>
      <c r="G5851" s="39"/>
    </row>
    <row r="5852" spans="1:7" ht="16.5" thickBot="1">
      <c r="A5852" s="211" t="s">
        <v>522</v>
      </c>
      <c r="B5852" s="216" t="str">
        <f ca="1">_xlfn.CONCAT(B5812,A5852)</f>
        <v>27632337-am</v>
      </c>
      <c r="C5852" s="40"/>
      <c r="D5852" s="193"/>
      <c r="E5852" s="41"/>
      <c r="F5852" s="42"/>
      <c r="G5852" s="43">
        <f>+G5835+G5844+G5850</f>
        <v>384439.73652882257</v>
      </c>
    </row>
    <row r="5853" spans="1:7" ht="21.75" thickBot="1">
      <c r="B5853" s="212" t="s">
        <v>550</v>
      </c>
      <c r="C5853" s="2"/>
      <c r="D5853" s="183"/>
      <c r="F5853" s="4"/>
      <c r="G5853" s="5"/>
    </row>
    <row r="5854" spans="1:7" ht="18.75">
      <c r="A5854" s="213"/>
      <c r="B5854" s="214">
        <v>134</v>
      </c>
      <c r="C5854" s="242" t="str">
        <f ca="1">_xlfn.XLOOKUP(B5854,Cantidades!$A$10:$A$314,Cantidades!$C$10:$C$314,,0,1)</f>
        <v>Suministro e instalación de Acometida 2x(3#1/0+1#2+1#6T), Al</v>
      </c>
      <c r="D5854" s="243"/>
      <c r="E5854" s="243"/>
      <c r="F5854" s="243"/>
      <c r="G5854" s="244"/>
    </row>
    <row r="5855" spans="1:7" ht="19.5" thickBot="1">
      <c r="A5855" s="215"/>
      <c r="B5855" s="216" t="s">
        <v>550</v>
      </c>
      <c r="C5855" s="177"/>
      <c r="D5855" s="189"/>
      <c r="E5855" s="178"/>
      <c r="F5855" s="179" t="s">
        <v>636</v>
      </c>
      <c r="G5855" s="209" t="str">
        <f ca="1">B5856</f>
        <v>27FA8783-</v>
      </c>
    </row>
    <row r="5856" spans="1:7" ht="15.75" thickBot="1">
      <c r="B5856" s="212" t="str">
        <f ca="1">_xlfn.XLOOKUP(C5854,Cantidades!$C$1:$C$314,Cantidades!$B$1:$B$314,"",0,1)</f>
        <v>27FA8783-</v>
      </c>
      <c r="C5856" s="10" t="s">
        <v>0</v>
      </c>
      <c r="D5856" s="190"/>
      <c r="E5856" s="11"/>
      <c r="F5856" s="12"/>
      <c r="G5856" s="13"/>
    </row>
    <row r="5857" spans="1:8" ht="14.25" thickBot="1">
      <c r="A5857" s="215"/>
      <c r="B5857" s="216" t="s">
        <v>550</v>
      </c>
      <c r="C5857" s="14" t="s">
        <v>1</v>
      </c>
      <c r="D5857" s="15" t="s">
        <v>2</v>
      </c>
      <c r="E5857" s="15" t="s">
        <v>3</v>
      </c>
      <c r="F5857" s="16" t="s">
        <v>4</v>
      </c>
      <c r="G5857" s="15" t="s">
        <v>5</v>
      </c>
    </row>
    <row r="5858" spans="1:8">
      <c r="A5858" s="211" t="s">
        <v>484</v>
      </c>
      <c r="B5858" s="216" t="str">
        <f ca="1">_xlfn.CONCAT(B5856,A5858)</f>
        <v>27FA8783-A</v>
      </c>
      <c r="C5858" s="17" t="str">
        <f>_xlfn.XLOOKUP(H5858,'Materiales unitario'!$A$1:$A$2500,'Materiales unitario'!B$1:B$2500,,0,1)</f>
        <v>Cable de Aluminio aislado #1/0 AWG - THHN/THWN</v>
      </c>
      <c r="D5858" s="184" t="str">
        <f>_xlfn.XLOOKUP(H5858,'Materiales unitario'!A$1:A$2500,'Materiales unitario'!C$1:C$2500,,0,1)</f>
        <v>ml</v>
      </c>
      <c r="E5858" s="197">
        <f>_xlfn.XLOOKUP(H5858,'Materiales unitario'!$A$1:$A$2500,'Materiales unitario'!D$1:D$2500,,0,1)</f>
        <v>9758</v>
      </c>
      <c r="F5858" s="19">
        <v>7.3</v>
      </c>
      <c r="G5858" s="20">
        <f>+E5858*F5858</f>
        <v>71233.399999999994</v>
      </c>
      <c r="H5858" s="211" t="s">
        <v>257</v>
      </c>
    </row>
    <row r="5859" spans="1:8">
      <c r="A5859" s="211" t="s">
        <v>485</v>
      </c>
      <c r="B5859" s="216" t="str">
        <f ca="1">_xlfn.CONCAT(B5856,A5859)</f>
        <v>27FA8783-B</v>
      </c>
      <c r="C5859" s="17" t="str">
        <f>_xlfn.XLOOKUP(H5859,'Materiales unitario'!$A$1:$A$2500,'Materiales unitario'!B$1:B$2500,,0,1)</f>
        <v>Cable de Aluminio aislado #2 AWG - THHN/THWN</v>
      </c>
      <c r="D5859" s="184" t="str">
        <f>_xlfn.XLOOKUP(H5859,'Materiales unitario'!A$1:A$2500,'Materiales unitario'!C$1:C$2500,,0,1)</f>
        <v>ml</v>
      </c>
      <c r="E5859" s="197">
        <f>_xlfn.XLOOKUP(H5859,'Materiales unitario'!$A$1:$A$2500,'Materiales unitario'!D$1:D$2500,,0,1)</f>
        <v>6188</v>
      </c>
      <c r="F5859" s="19">
        <v>2.1</v>
      </c>
      <c r="G5859" s="20">
        <f t="shared" ref="G5859:G5864" si="167">+E5859*F5859</f>
        <v>12994.800000000001</v>
      </c>
      <c r="H5859" s="211" t="s">
        <v>258</v>
      </c>
    </row>
    <row r="5860" spans="1:8">
      <c r="A5860" s="211" t="s">
        <v>486</v>
      </c>
      <c r="B5860" s="216" t="str">
        <f ca="1">_xlfn.CONCAT(B5856,A5860)</f>
        <v>27FA8783-C</v>
      </c>
      <c r="C5860" s="17" t="str">
        <f>_xlfn.XLOOKUP(H5860,'Materiales unitario'!$A$1:$A$2500,'Materiales unitario'!B$1:B$2500,,0,1)</f>
        <v>Cable de Aluminio aislado #6 AWG - THHN/THWN</v>
      </c>
      <c r="D5860" s="184" t="str">
        <f>_xlfn.XLOOKUP(H5860,'Materiales unitario'!A$1:A$2500,'Materiales unitario'!C$1:C$2500,,0,1)</f>
        <v>ml</v>
      </c>
      <c r="E5860" s="197">
        <f>_xlfn.XLOOKUP(H5860,'Materiales unitario'!$A$1:$A$2500,'Materiales unitario'!D$1:D$2500,,0,1)</f>
        <v>3213</v>
      </c>
      <c r="F5860" s="19">
        <v>2.1</v>
      </c>
      <c r="G5860" s="20">
        <f t="shared" si="167"/>
        <v>6747.3</v>
      </c>
      <c r="H5860" s="211" t="s">
        <v>262</v>
      </c>
    </row>
    <row r="5861" spans="1:8">
      <c r="A5861" s="211" t="s">
        <v>487</v>
      </c>
      <c r="B5861" s="216" t="str">
        <f ca="1">_xlfn.CONCAT(B5856,A5861)</f>
        <v>27FA8783-D</v>
      </c>
      <c r="C5861" s="17" t="str">
        <f>_xlfn.XLOOKUP(H5861,'Materiales unitario'!$A$1:$A$2500,'Materiales unitario'!B$1:B$2500,,0,1)</f>
        <v>Borna bimetálica de ojo tipo pala #1/0 AWG</v>
      </c>
      <c r="D5861" s="184" t="str">
        <f>_xlfn.XLOOKUP(H5861,'Materiales unitario'!A$1:A$2500,'Materiales unitario'!C$1:C$2500,,0,1)</f>
        <v>un</v>
      </c>
      <c r="E5861" s="197">
        <f>_xlfn.XLOOKUP(H5861,'Materiales unitario'!$A$1:$A$2500,'Materiales unitario'!D$1:D$2500,,0,1)</f>
        <v>8925</v>
      </c>
      <c r="F5861" s="19">
        <v>0.6</v>
      </c>
      <c r="G5861" s="20">
        <f t="shared" si="167"/>
        <v>5355</v>
      </c>
      <c r="H5861" s="211" t="s">
        <v>242</v>
      </c>
    </row>
    <row r="5862" spans="1:8">
      <c r="A5862" s="211" t="s">
        <v>488</v>
      </c>
      <c r="B5862" s="216" t="str">
        <f ca="1">_xlfn.CONCAT(B5856,A5862)</f>
        <v>27FA8783-E</v>
      </c>
      <c r="C5862" s="17" t="str">
        <f>_xlfn.XLOOKUP(H5862,'Materiales unitario'!$A$1:$A$2500,'Materiales unitario'!B$1:B$2500,,0,1)</f>
        <v>Borna bimetálica de ojo tipo pala #2 AWG</v>
      </c>
      <c r="D5862" s="184" t="str">
        <f>_xlfn.XLOOKUP(H5862,'Materiales unitario'!A$1:A$2500,'Materiales unitario'!C$1:C$2500,,0,1)</f>
        <v>un</v>
      </c>
      <c r="E5862" s="197">
        <f>_xlfn.XLOOKUP(H5862,'Materiales unitario'!$A$1:$A$2500,'Materiales unitario'!D$1:D$2500,,0,1)</f>
        <v>8806</v>
      </c>
      <c r="F5862" s="19">
        <v>0.2</v>
      </c>
      <c r="G5862" s="20">
        <f t="shared" si="167"/>
        <v>1761.2</v>
      </c>
      <c r="H5862" s="211" t="s">
        <v>243</v>
      </c>
    </row>
    <row r="5863" spans="1:8">
      <c r="A5863" s="211" t="s">
        <v>489</v>
      </c>
      <c r="B5863" s="216" t="str">
        <f ca="1">_xlfn.CONCAT(B5856,A5863)</f>
        <v>27FA8783-F</v>
      </c>
      <c r="C5863" s="17" t="str">
        <f>_xlfn.XLOOKUP(H5863,'Materiales unitario'!$A$1:$A$2500,'Materiales unitario'!B$1:B$2500,,0,1)</f>
        <v>Borna bimetálica de ojo tipo pala #6 AWG</v>
      </c>
      <c r="D5863" s="184" t="str">
        <f>_xlfn.XLOOKUP(H5863,'Materiales unitario'!A$1:A$2500,'Materiales unitario'!C$1:C$2500,,0,1)</f>
        <v>un</v>
      </c>
      <c r="E5863" s="197">
        <f>_xlfn.XLOOKUP(H5863,'Materiales unitario'!$A$1:$A$2500,'Materiales unitario'!D$1:D$2500,,0,1)</f>
        <v>3094</v>
      </c>
      <c r="F5863" s="19">
        <v>0.2</v>
      </c>
      <c r="G5863" s="20">
        <f t="shared" si="167"/>
        <v>618.80000000000007</v>
      </c>
      <c r="H5863" s="211" t="s">
        <v>247</v>
      </c>
    </row>
    <row r="5864" spans="1:8">
      <c r="A5864" s="211" t="s">
        <v>490</v>
      </c>
      <c r="B5864" s="216" t="str">
        <f ca="1">_xlfn.CONCAT(B5856,A5864)</f>
        <v>27FA8783-G</v>
      </c>
      <c r="C5864" s="17" t="str">
        <f>_xlfn.XLOOKUP(H5864,'Materiales unitario'!$A$1:$A$2500,'Materiales unitario'!B$1:B$2500,,0,1)</f>
        <v>Termoencogible</v>
      </c>
      <c r="D5864" s="184" t="str">
        <f>_xlfn.XLOOKUP(H5864,'Materiales unitario'!A$1:A$2500,'Materiales unitario'!C$1:C$2500,,0,1)</f>
        <v>un</v>
      </c>
      <c r="E5864" s="197">
        <f>_xlfn.XLOOKUP(H5864,'Materiales unitario'!$A$1:$A$2500,'Materiales unitario'!D$1:D$2500,,0,1)</f>
        <v>5000</v>
      </c>
      <c r="F5864" s="19">
        <v>0.2</v>
      </c>
      <c r="G5864" s="20">
        <f t="shared" si="167"/>
        <v>1000</v>
      </c>
      <c r="H5864" s="211" t="s">
        <v>373</v>
      </c>
    </row>
    <row r="5865" spans="1:8">
      <c r="A5865" s="211" t="s">
        <v>491</v>
      </c>
      <c r="B5865" s="216" t="str">
        <f ca="1">_xlfn.CONCAT(B5856,A5865)</f>
        <v>27FA8783-H</v>
      </c>
      <c r="C5865" s="17"/>
      <c r="D5865" s="184"/>
      <c r="E5865" s="197"/>
      <c r="F5865" s="19"/>
      <c r="G5865" s="20"/>
    </row>
    <row r="5866" spans="1:8">
      <c r="A5866" s="211" t="s">
        <v>492</v>
      </c>
      <c r="B5866" s="216" t="str">
        <f ca="1">_xlfn.CONCAT(B5856,A5866)</f>
        <v>27FA8783-I</v>
      </c>
      <c r="C5866" s="17"/>
      <c r="D5866" s="184"/>
      <c r="E5866" s="197"/>
      <c r="F5866" s="19"/>
      <c r="G5866" s="20"/>
    </row>
    <row r="5867" spans="1:8">
      <c r="A5867" s="211" t="s">
        <v>493</v>
      </c>
      <c r="B5867" s="216" t="str">
        <f ca="1">_xlfn.CONCAT(B5856,A5867)</f>
        <v>27FA8783-J</v>
      </c>
      <c r="C5867" s="17"/>
      <c r="D5867" s="184"/>
      <c r="E5867" s="197"/>
      <c r="F5867" s="19"/>
      <c r="G5867" s="20"/>
    </row>
    <row r="5868" spans="1:8">
      <c r="A5868" s="211" t="s">
        <v>494</v>
      </c>
      <c r="B5868" s="216" t="str">
        <f ca="1">_xlfn.CONCAT(B5856,A5868)</f>
        <v>27FA8783-K</v>
      </c>
      <c r="C5868" s="17"/>
      <c r="D5868" s="184"/>
      <c r="E5868" s="197"/>
      <c r="F5868" s="19"/>
      <c r="G5868" s="20"/>
    </row>
    <row r="5869" spans="1:8">
      <c r="A5869" s="211" t="s">
        <v>495</v>
      </c>
      <c r="B5869" s="216" t="str">
        <f ca="1">_xlfn.CONCAT(B5856,A5869)</f>
        <v>27FA8783-L</v>
      </c>
      <c r="C5869" s="17"/>
      <c r="D5869" s="184"/>
      <c r="E5869" s="197"/>
      <c r="F5869" s="19"/>
      <c r="G5869" s="20"/>
    </row>
    <row r="5870" spans="1:8">
      <c r="A5870" s="211" t="s">
        <v>496</v>
      </c>
      <c r="B5870" s="216" t="str">
        <f ca="1">_xlfn.CONCAT(B5856,A5870)</f>
        <v>27FA8783-M</v>
      </c>
      <c r="C5870" s="17"/>
      <c r="D5870" s="184"/>
      <c r="E5870" s="197"/>
      <c r="F5870" s="19"/>
      <c r="G5870" s="20"/>
    </row>
    <row r="5871" spans="1:8">
      <c r="A5871" s="211" t="s">
        <v>497</v>
      </c>
      <c r="B5871" s="216" t="str">
        <f ca="1">_xlfn.CONCAT(B5856,A5871)</f>
        <v>27FA8783-N</v>
      </c>
      <c r="C5871" s="17"/>
      <c r="D5871" s="184"/>
      <c r="E5871" s="197"/>
      <c r="F5871" s="19"/>
      <c r="G5871" s="20"/>
    </row>
    <row r="5872" spans="1:8">
      <c r="A5872" s="211" t="s">
        <v>498</v>
      </c>
      <c r="B5872" s="216" t="str">
        <f ca="1">_xlfn.CONCAT(B5856,A5872)</f>
        <v>27FA8783-O</v>
      </c>
      <c r="C5872" s="17"/>
      <c r="D5872" s="184"/>
      <c r="E5872" s="197"/>
      <c r="F5872" s="19"/>
      <c r="G5872" s="20"/>
    </row>
    <row r="5873" spans="1:7">
      <c r="A5873" s="211" t="s">
        <v>499</v>
      </c>
      <c r="B5873" s="216" t="str">
        <f ca="1">_xlfn.CONCAT(B5856,A5873)</f>
        <v>27FA8783-P</v>
      </c>
      <c r="C5873" s="17"/>
      <c r="D5873" s="184"/>
      <c r="E5873" s="197"/>
      <c r="F5873" s="19"/>
      <c r="G5873" s="20"/>
    </row>
    <row r="5874" spans="1:7">
      <c r="A5874" s="211" t="s">
        <v>500</v>
      </c>
      <c r="B5874" s="216" t="str">
        <f ca="1">_xlfn.CONCAT(B5856,A5874)</f>
        <v>27FA8783-Q</v>
      </c>
      <c r="C5874" s="17"/>
      <c r="D5874" s="184"/>
      <c r="E5874" s="197"/>
      <c r="F5874" s="19"/>
      <c r="G5874" s="20"/>
    </row>
    <row r="5875" spans="1:7">
      <c r="A5875" s="211" t="s">
        <v>501</v>
      </c>
      <c r="B5875" s="216" t="str">
        <f ca="1">_xlfn.CONCAT(B5856,A5875)</f>
        <v>27FA8783-R</v>
      </c>
      <c r="C5875" s="17"/>
      <c r="D5875" s="184"/>
      <c r="E5875" s="197"/>
      <c r="F5875" s="19"/>
      <c r="G5875" s="20"/>
    </row>
    <row r="5876" spans="1:7">
      <c r="A5876" s="211" t="s">
        <v>502</v>
      </c>
      <c r="B5876" s="216" t="str">
        <f ca="1">_xlfn.CONCAT(B5856,A5876)</f>
        <v>27FA8783-S</v>
      </c>
      <c r="C5876" s="17"/>
      <c r="D5876" s="184"/>
      <c r="E5876" s="197"/>
      <c r="F5876" s="19"/>
      <c r="G5876" s="20"/>
    </row>
    <row r="5877" spans="1:7">
      <c r="A5877" s="211" t="s">
        <v>503</v>
      </c>
      <c r="B5877" s="216" t="str">
        <f ca="1">_xlfn.CONCAT(B5856,A5877)</f>
        <v>27FA8783-T</v>
      </c>
      <c r="C5877" s="17"/>
      <c r="D5877" s="184"/>
      <c r="E5877" s="197"/>
      <c r="F5877" s="19"/>
      <c r="G5877" s="20"/>
    </row>
    <row r="5878" spans="1:7" ht="14.25" thickBot="1">
      <c r="A5878" s="211" t="s">
        <v>504</v>
      </c>
      <c r="B5878" s="216" t="str">
        <f ca="1">_xlfn.CONCAT(B5856,A5878)</f>
        <v>27FA8783-U</v>
      </c>
      <c r="C5878" s="17"/>
      <c r="D5878" s="184"/>
      <c r="E5878" s="197"/>
      <c r="F5878" s="19"/>
      <c r="G5878" s="20"/>
    </row>
    <row r="5879" spans="1:7" ht="14.25" thickBot="1">
      <c r="A5879" s="211" t="s">
        <v>505</v>
      </c>
      <c r="B5879" s="216" t="str">
        <f ca="1">_xlfn.CONCAT(B5856,A5879)</f>
        <v>27FA8783-V</v>
      </c>
      <c r="C5879" s="17" t="s">
        <v>17</v>
      </c>
      <c r="D5879" s="192" t="s">
        <v>17</v>
      </c>
      <c r="E5879" s="18"/>
      <c r="F5879" s="22" t="s">
        <v>18</v>
      </c>
      <c r="G5879" s="23">
        <f>SUM(G5858:G5878)</f>
        <v>99710.5</v>
      </c>
    </row>
    <row r="5880" spans="1:7" ht="15.75" thickBot="1">
      <c r="A5880" s="211" t="s">
        <v>506</v>
      </c>
      <c r="B5880" s="216" t="str">
        <f ca="1">_xlfn.CONCAT(B5856,A5880)</f>
        <v>27FA8783-W</v>
      </c>
      <c r="C5880" s="10" t="s">
        <v>19</v>
      </c>
      <c r="D5880" s="190"/>
      <c r="E5880" s="11"/>
      <c r="F5880" s="12"/>
      <c r="G5880" s="13"/>
    </row>
    <row r="5881" spans="1:7" ht="14.25" thickBot="1">
      <c r="A5881" s="211" t="s">
        <v>507</v>
      </c>
      <c r="B5881" s="216" t="str">
        <f ca="1">_xlfn.CONCAT(B5856,A5881)</f>
        <v>27FA8783-X</v>
      </c>
      <c r="C5881" s="14" t="s">
        <v>1</v>
      </c>
      <c r="D5881" s="15"/>
      <c r="E5881" s="15" t="s">
        <v>20</v>
      </c>
      <c r="F5881" s="16" t="s">
        <v>21</v>
      </c>
      <c r="G5881" s="15" t="s">
        <v>5</v>
      </c>
    </row>
    <row r="5882" spans="1:7">
      <c r="A5882" s="211" t="s">
        <v>508</v>
      </c>
      <c r="B5882" s="216" t="str">
        <f ca="1">_xlfn.CONCAT(B5856,A5882)</f>
        <v>27FA8783-Y</v>
      </c>
      <c r="C5882" s="24" t="s">
        <v>22</v>
      </c>
      <c r="D5882" s="184"/>
      <c r="E5882" s="25">
        <f>_xlfn.XLOOKUP(C5882,'H-MO'!B$7:B$30,'H-MO'!D$7:D$30,,0,1)</f>
        <v>2436.5624999999995</v>
      </c>
      <c r="F5882" s="19">
        <v>1</v>
      </c>
      <c r="G5882" s="33">
        <f t="shared" ref="G5882:G5887" si="168">+E5882*F5882</f>
        <v>2436.5624999999995</v>
      </c>
    </row>
    <row r="5883" spans="1:7">
      <c r="A5883" s="211" t="s">
        <v>509</v>
      </c>
      <c r="B5883" s="216" t="str">
        <f ca="1">_xlfn.CONCAT(B5856,A5883)</f>
        <v>27FA8783-Z</v>
      </c>
      <c r="C5883" s="24" t="s">
        <v>23</v>
      </c>
      <c r="D5883" s="184"/>
      <c r="E5883" s="25">
        <f>_xlfn.XLOOKUP(C5883,'H-MO'!B$7:B$30,'H-MO'!D$7:D$30,,0,1)</f>
        <v>1461.9374999999998</v>
      </c>
      <c r="F5883" s="19">
        <v>0.08</v>
      </c>
      <c r="G5883" s="33">
        <f t="shared" si="168"/>
        <v>116.95499999999998</v>
      </c>
    </row>
    <row r="5884" spans="1:7">
      <c r="A5884" s="211" t="s">
        <v>510</v>
      </c>
      <c r="B5884" s="216" t="str">
        <f ca="1">_xlfn.CONCAT(B5856,A5884)</f>
        <v>27FA8783-aa</v>
      </c>
      <c r="C5884" s="24" t="s">
        <v>24</v>
      </c>
      <c r="D5884" s="185"/>
      <c r="E5884" s="25">
        <f>_xlfn.XLOOKUP(C5884,'H-MO'!B$7:B$30,'H-MO'!D$7:D$30,,0,1)</f>
        <v>29238.749999999996</v>
      </c>
      <c r="F5884" s="28">
        <v>0.2</v>
      </c>
      <c r="G5884" s="33">
        <f t="shared" si="168"/>
        <v>5847.75</v>
      </c>
    </row>
    <row r="5885" spans="1:7">
      <c r="A5885" s="211" t="s">
        <v>511</v>
      </c>
      <c r="B5885" s="216" t="str">
        <f ca="1">_xlfn.CONCAT(B5856,A5885)</f>
        <v>27FA8783-ab</v>
      </c>
      <c r="C5885" s="24" t="s">
        <v>25</v>
      </c>
      <c r="D5885" s="185"/>
      <c r="E5885" s="25">
        <f>_xlfn.XLOOKUP(C5885,'H-MO'!B$7:B$30,'H-MO'!D$7:D$30,,0,1)</f>
        <v>2761.4374999999995</v>
      </c>
      <c r="F5885" s="28">
        <v>1</v>
      </c>
      <c r="G5885" s="33">
        <f t="shared" si="168"/>
        <v>2761.4374999999995</v>
      </c>
    </row>
    <row r="5886" spans="1:7">
      <c r="A5886" s="211" t="s">
        <v>512</v>
      </c>
      <c r="B5886" s="216" t="str">
        <f ca="1">_xlfn.CONCAT(B5856,A5886)</f>
        <v>27FA8783-ac</v>
      </c>
      <c r="C5886" s="24"/>
      <c r="D5886" s="185"/>
      <c r="E5886" s="29"/>
      <c r="F5886" s="28"/>
      <c r="G5886" s="33">
        <f t="shared" si="168"/>
        <v>0</v>
      </c>
    </row>
    <row r="5887" spans="1:7" ht="14.25" thickBot="1">
      <c r="A5887" s="211" t="s">
        <v>513</v>
      </c>
      <c r="B5887" s="216" t="str">
        <f ca="1">_xlfn.CONCAT(B5856,A5887)</f>
        <v>27FA8783-ad</v>
      </c>
      <c r="C5887" s="24"/>
      <c r="D5887" s="185"/>
      <c r="E5887" s="29"/>
      <c r="F5887" s="28"/>
      <c r="G5887" s="33">
        <f t="shared" si="168"/>
        <v>0</v>
      </c>
    </row>
    <row r="5888" spans="1:7" ht="14.25" thickBot="1">
      <c r="A5888" s="211" t="s">
        <v>514</v>
      </c>
      <c r="B5888" s="216" t="str">
        <f ca="1">_xlfn.CONCAT(B5856,A5888)</f>
        <v>27FA8783-ae</v>
      </c>
      <c r="C5888" s="17"/>
      <c r="D5888" s="192"/>
      <c r="E5888" s="18"/>
      <c r="F5888" s="22" t="s">
        <v>26</v>
      </c>
      <c r="G5888" s="23">
        <f>SUM(G5882:G5887)</f>
        <v>11162.705</v>
      </c>
    </row>
    <row r="5889" spans="1:8" ht="15.75" thickBot="1">
      <c r="A5889" s="211" t="s">
        <v>515</v>
      </c>
      <c r="B5889" s="216" t="str">
        <f ca="1">_xlfn.CONCAT(B5856,A5889)</f>
        <v>27FA8783-af</v>
      </c>
      <c r="C5889" s="10" t="s">
        <v>27</v>
      </c>
      <c r="D5889" s="190"/>
      <c r="E5889" s="11"/>
      <c r="F5889" s="12"/>
      <c r="G5889" s="13"/>
    </row>
    <row r="5890" spans="1:8" ht="14.25" thickBot="1">
      <c r="A5890" s="211" t="s">
        <v>516</v>
      </c>
      <c r="B5890" s="216" t="str">
        <f ca="1">_xlfn.CONCAT(B5856,A5890)</f>
        <v>27FA8783-ag</v>
      </c>
      <c r="C5890" s="14" t="s">
        <v>1</v>
      </c>
      <c r="D5890" s="15" t="s">
        <v>28</v>
      </c>
      <c r="E5890" s="15" t="s">
        <v>20</v>
      </c>
      <c r="F5890" s="16" t="s">
        <v>21</v>
      </c>
      <c r="G5890" s="15" t="s">
        <v>5</v>
      </c>
    </row>
    <row r="5891" spans="1:8">
      <c r="A5891" s="211" t="s">
        <v>517</v>
      </c>
      <c r="B5891" s="216" t="str">
        <f ca="1">_xlfn.CONCAT(B5856,A5891)</f>
        <v>27FA8783-ah</v>
      </c>
      <c r="C5891" s="30" t="s">
        <v>29</v>
      </c>
      <c r="D5891" s="186">
        <f>'H-MO'!$N$77</f>
        <v>725918.52892505517</v>
      </c>
      <c r="E5891" s="31">
        <f>+D5891/8</f>
        <v>90739.816115631897</v>
      </c>
      <c r="F5891" s="32">
        <v>0.96</v>
      </c>
      <c r="G5891" s="33">
        <f>+E5891*F5891</f>
        <v>87110.223471006611</v>
      </c>
    </row>
    <row r="5892" spans="1:8">
      <c r="A5892" s="211" t="s">
        <v>518</v>
      </c>
      <c r="B5892" s="216" t="str">
        <f ca="1">_xlfn.CONCAT(B5856,A5892)</f>
        <v>27FA8783-ai</v>
      </c>
      <c r="C5892" s="34" t="s">
        <v>30</v>
      </c>
      <c r="D5892" s="187">
        <f>'H-MO'!$N$86</f>
        <v>685561.39085756091</v>
      </c>
      <c r="E5892" s="29">
        <f>+D5892/8</f>
        <v>85695.173857195114</v>
      </c>
      <c r="F5892" s="28">
        <v>0</v>
      </c>
      <c r="G5892" s="33">
        <f>+E5892*F5892</f>
        <v>0</v>
      </c>
    </row>
    <row r="5893" spans="1:8" ht="14.25" thickBot="1">
      <c r="A5893" s="211" t="s">
        <v>519</v>
      </c>
      <c r="B5893" s="216" t="str">
        <f ca="1">_xlfn.CONCAT(B5856,A5893)</f>
        <v>27FA8783-aj</v>
      </c>
      <c r="C5893" s="34"/>
      <c r="D5893" s="187"/>
      <c r="E5893" s="29"/>
      <c r="F5893" s="28"/>
      <c r="G5893" s="33">
        <f>+E5893*F5893</f>
        <v>0</v>
      </c>
    </row>
    <row r="5894" spans="1:8" ht="14.25" thickBot="1">
      <c r="A5894" s="211" t="s">
        <v>520</v>
      </c>
      <c r="B5894" s="216" t="str">
        <f ca="1">_xlfn.CONCAT(B5856,A5894)</f>
        <v>27FA8783-ak</v>
      </c>
      <c r="C5894" s="34"/>
      <c r="D5894" s="185"/>
      <c r="E5894" s="26"/>
      <c r="F5894" s="36" t="s">
        <v>31</v>
      </c>
      <c r="G5894" s="23">
        <f>SUM(G5891:G5893)</f>
        <v>87110.223471006611</v>
      </c>
    </row>
    <row r="5895" spans="1:8" ht="14.25" thickBot="1">
      <c r="A5895" s="211" t="s">
        <v>521</v>
      </c>
      <c r="B5895" s="216" t="str">
        <f ca="1">_xlfn.CONCAT(B5856,A5895)</f>
        <v>27FA8783-al</v>
      </c>
      <c r="C5895" s="37"/>
      <c r="E5895" s="38"/>
      <c r="F5895" s="22"/>
      <c r="G5895" s="39"/>
    </row>
    <row r="5896" spans="1:8" ht="16.5" thickBot="1">
      <c r="A5896" s="211" t="s">
        <v>522</v>
      </c>
      <c r="B5896" s="216" t="str">
        <f ca="1">_xlfn.CONCAT(B5856,A5896)</f>
        <v>27FA8783-am</v>
      </c>
      <c r="C5896" s="40"/>
      <c r="D5896" s="193"/>
      <c r="E5896" s="41"/>
      <c r="F5896" s="42"/>
      <c r="G5896" s="43">
        <f>+G5879+G5888+G5894</f>
        <v>197983.42847100663</v>
      </c>
    </row>
    <row r="5897" spans="1:8" ht="21.75" thickBot="1">
      <c r="B5897" s="212" t="s">
        <v>550</v>
      </c>
      <c r="C5897" s="2"/>
      <c r="D5897" s="183"/>
      <c r="F5897" s="4"/>
      <c r="G5897" s="5"/>
    </row>
    <row r="5898" spans="1:8" ht="18.75">
      <c r="A5898" s="213"/>
      <c r="B5898" s="214">
        <v>135</v>
      </c>
      <c r="C5898" s="242" t="str">
        <f ca="1">_xlfn.XLOOKUP(B5898,Cantidades!$A$10:$A$314,Cantidades!$C$10:$C$314,,0,1)</f>
        <v>Suministro e Instalación de Punta captadora de 60cm x 5/8" en acero inoxidable, Incluye: base para fijación, conectores y demás accesorios para su correcta instalación y funcionamiento.</v>
      </c>
      <c r="D5898" s="243"/>
      <c r="E5898" s="243"/>
      <c r="F5898" s="243"/>
      <c r="G5898" s="244"/>
    </row>
    <row r="5899" spans="1:8" ht="19.5" thickBot="1">
      <c r="A5899" s="215"/>
      <c r="B5899" s="216" t="s">
        <v>550</v>
      </c>
      <c r="C5899" s="177"/>
      <c r="D5899" s="189"/>
      <c r="E5899" s="178"/>
      <c r="F5899" s="179" t="s">
        <v>636</v>
      </c>
      <c r="G5899" s="209" t="str">
        <f ca="1">B5900</f>
        <v>217E0A6B-</v>
      </c>
    </row>
    <row r="5900" spans="1:8" ht="15.75" thickBot="1">
      <c r="B5900" s="212" t="str">
        <f ca="1">_xlfn.XLOOKUP(C5898,Cantidades!$C$1:$C$314,Cantidades!$B$1:$B$314,"",0,1)</f>
        <v>217E0A6B-</v>
      </c>
      <c r="C5900" s="10" t="s">
        <v>0</v>
      </c>
      <c r="D5900" s="190"/>
      <c r="E5900" s="11"/>
      <c r="F5900" s="12"/>
      <c r="G5900" s="13"/>
    </row>
    <row r="5901" spans="1:8" ht="14.25" thickBot="1">
      <c r="A5901" s="215"/>
      <c r="B5901" s="216" t="s">
        <v>550</v>
      </c>
      <c r="C5901" s="14" t="s">
        <v>1</v>
      </c>
      <c r="D5901" s="15" t="s">
        <v>2</v>
      </c>
      <c r="E5901" s="15" t="s">
        <v>3</v>
      </c>
      <c r="F5901" s="16" t="s">
        <v>4</v>
      </c>
      <c r="G5901" s="15" t="s">
        <v>5</v>
      </c>
    </row>
    <row r="5902" spans="1:8">
      <c r="A5902" s="211" t="s">
        <v>484</v>
      </c>
      <c r="B5902" s="216" t="str">
        <f ca="1">_xlfn.CONCAT(B5900,A5902)</f>
        <v>217E0A6B-A</v>
      </c>
      <c r="C5902" s="17" t="str">
        <f>_xlfn.XLOOKUP(H5902,'Materiales unitario'!$A$1:$A$2500,'Materiales unitario'!B$1:B$2500,,0,1)</f>
        <v>Kit de punta captadora de rayo ø5/8" 0,60m + base</v>
      </c>
      <c r="D5902" s="184" t="str">
        <f>_xlfn.XLOOKUP(H5902,'Materiales unitario'!A$1:A$2500,'Materiales unitario'!C$1:C$2500,,0,1)</f>
        <v>un</v>
      </c>
      <c r="E5902" s="197">
        <f>_xlfn.XLOOKUP(H5902,'Materiales unitario'!$A$1:$A$2500,'Materiales unitario'!D$1:D$2500,,0,1)</f>
        <v>139440</v>
      </c>
      <c r="F5902" s="19">
        <v>1</v>
      </c>
      <c r="G5902" s="20">
        <f>+E5902*F5902</f>
        <v>139440</v>
      </c>
      <c r="H5902" s="211" t="s">
        <v>329</v>
      </c>
    </row>
    <row r="5903" spans="1:8">
      <c r="A5903" s="211" t="s">
        <v>485</v>
      </c>
      <c r="B5903" s="216" t="str">
        <f ca="1">_xlfn.CONCAT(B5900,A5903)</f>
        <v>217E0A6B-B</v>
      </c>
      <c r="C5903" s="17" t="str">
        <f>_xlfn.XLOOKUP(H5903,'Materiales unitario'!$A$1:$A$2500,'Materiales unitario'!B$1:B$2500,,0,1)</f>
        <v>Accesorios de anclaje y fijacion.</v>
      </c>
      <c r="D5903" s="184" t="str">
        <f>_xlfn.XLOOKUP(H5903,'Materiales unitario'!A$1:A$2500,'Materiales unitario'!C$1:C$2500,,0,1)</f>
        <v>un</v>
      </c>
      <c r="E5903" s="197">
        <f>_xlfn.XLOOKUP(H5903,'Materiales unitario'!$A$1:$A$2500,'Materiales unitario'!D$1:D$2500,,0,1)</f>
        <v>10000</v>
      </c>
      <c r="F5903" s="19">
        <v>1</v>
      </c>
      <c r="G5903" s="20">
        <f>+E5903*F5903</f>
        <v>10000</v>
      </c>
      <c r="H5903" s="211" t="s">
        <v>222</v>
      </c>
    </row>
    <row r="5904" spans="1:8">
      <c r="A5904" s="211" t="s">
        <v>486</v>
      </c>
      <c r="B5904" s="216" t="str">
        <f ca="1">_xlfn.CONCAT(B5900,A5904)</f>
        <v>217E0A6B-C</v>
      </c>
      <c r="C5904" s="17"/>
      <c r="D5904" s="184"/>
      <c r="E5904" s="197"/>
      <c r="F5904" s="19"/>
      <c r="G5904" s="20"/>
    </row>
    <row r="5905" spans="1:7">
      <c r="A5905" s="211" t="s">
        <v>487</v>
      </c>
      <c r="B5905" s="216" t="str">
        <f ca="1">_xlfn.CONCAT(B5900,A5905)</f>
        <v>217E0A6B-D</v>
      </c>
      <c r="C5905" s="17"/>
      <c r="D5905" s="184"/>
      <c r="E5905" s="197"/>
      <c r="F5905" s="19"/>
      <c r="G5905" s="20"/>
    </row>
    <row r="5906" spans="1:7">
      <c r="A5906" s="211" t="s">
        <v>488</v>
      </c>
      <c r="B5906" s="216" t="str">
        <f ca="1">_xlfn.CONCAT(B5900,A5906)</f>
        <v>217E0A6B-E</v>
      </c>
      <c r="C5906" s="17"/>
      <c r="D5906" s="184"/>
      <c r="E5906" s="197"/>
      <c r="F5906" s="19"/>
      <c r="G5906" s="20"/>
    </row>
    <row r="5907" spans="1:7">
      <c r="A5907" s="211" t="s">
        <v>489</v>
      </c>
      <c r="B5907" s="216" t="str">
        <f ca="1">_xlfn.CONCAT(B5900,A5907)</f>
        <v>217E0A6B-F</v>
      </c>
      <c r="C5907" s="17"/>
      <c r="D5907" s="184"/>
      <c r="E5907" s="197"/>
      <c r="F5907" s="19"/>
      <c r="G5907" s="20"/>
    </row>
    <row r="5908" spans="1:7">
      <c r="A5908" s="211" t="s">
        <v>490</v>
      </c>
      <c r="B5908" s="216" t="str">
        <f ca="1">_xlfn.CONCAT(B5900,A5908)</f>
        <v>217E0A6B-G</v>
      </c>
      <c r="C5908" s="17"/>
      <c r="D5908" s="184"/>
      <c r="E5908" s="197"/>
      <c r="F5908" s="19"/>
      <c r="G5908" s="20"/>
    </row>
    <row r="5909" spans="1:7">
      <c r="A5909" s="211" t="s">
        <v>491</v>
      </c>
      <c r="B5909" s="216" t="str">
        <f ca="1">_xlfn.CONCAT(B5900,A5909)</f>
        <v>217E0A6B-H</v>
      </c>
      <c r="C5909" s="17"/>
      <c r="D5909" s="184"/>
      <c r="E5909" s="197"/>
      <c r="F5909" s="19"/>
      <c r="G5909" s="20"/>
    </row>
    <row r="5910" spans="1:7">
      <c r="A5910" s="211" t="s">
        <v>492</v>
      </c>
      <c r="B5910" s="216" t="str">
        <f ca="1">_xlfn.CONCAT(B5900,A5910)</f>
        <v>217E0A6B-I</v>
      </c>
      <c r="C5910" s="17"/>
      <c r="D5910" s="184"/>
      <c r="E5910" s="197"/>
      <c r="F5910" s="19"/>
      <c r="G5910" s="20"/>
    </row>
    <row r="5911" spans="1:7">
      <c r="A5911" s="211" t="s">
        <v>493</v>
      </c>
      <c r="B5911" s="216" t="str">
        <f ca="1">_xlfn.CONCAT(B5900,A5911)</f>
        <v>217E0A6B-J</v>
      </c>
      <c r="C5911" s="17"/>
      <c r="D5911" s="184"/>
      <c r="E5911" s="197"/>
      <c r="F5911" s="19"/>
      <c r="G5911" s="20"/>
    </row>
    <row r="5912" spans="1:7">
      <c r="A5912" s="211" t="s">
        <v>494</v>
      </c>
      <c r="B5912" s="216" t="str">
        <f ca="1">_xlfn.CONCAT(B5900,A5912)</f>
        <v>217E0A6B-K</v>
      </c>
      <c r="C5912" s="17"/>
      <c r="D5912" s="184"/>
      <c r="E5912" s="197"/>
      <c r="F5912" s="19"/>
      <c r="G5912" s="20"/>
    </row>
    <row r="5913" spans="1:7">
      <c r="A5913" s="211" t="s">
        <v>495</v>
      </c>
      <c r="B5913" s="216" t="str">
        <f ca="1">_xlfn.CONCAT(B5900,A5913)</f>
        <v>217E0A6B-L</v>
      </c>
      <c r="C5913" s="17"/>
      <c r="D5913" s="184"/>
      <c r="E5913" s="197"/>
      <c r="F5913" s="19"/>
      <c r="G5913" s="20"/>
    </row>
    <row r="5914" spans="1:7">
      <c r="A5914" s="211" t="s">
        <v>496</v>
      </c>
      <c r="B5914" s="216" t="str">
        <f ca="1">_xlfn.CONCAT(B5900,A5914)</f>
        <v>217E0A6B-M</v>
      </c>
      <c r="C5914" s="17"/>
      <c r="D5914" s="184"/>
      <c r="E5914" s="197"/>
      <c r="F5914" s="19"/>
      <c r="G5914" s="20"/>
    </row>
    <row r="5915" spans="1:7">
      <c r="A5915" s="211" t="s">
        <v>497</v>
      </c>
      <c r="B5915" s="216" t="str">
        <f ca="1">_xlfn.CONCAT(B5900,A5915)</f>
        <v>217E0A6B-N</v>
      </c>
      <c r="C5915" s="17"/>
      <c r="D5915" s="184"/>
      <c r="E5915" s="197"/>
      <c r="F5915" s="19"/>
      <c r="G5915" s="20"/>
    </row>
    <row r="5916" spans="1:7">
      <c r="A5916" s="211" t="s">
        <v>498</v>
      </c>
      <c r="B5916" s="216" t="str">
        <f ca="1">_xlfn.CONCAT(B5900,A5916)</f>
        <v>217E0A6B-O</v>
      </c>
      <c r="C5916" s="17"/>
      <c r="D5916" s="184"/>
      <c r="E5916" s="197"/>
      <c r="F5916" s="19"/>
      <c r="G5916" s="20"/>
    </row>
    <row r="5917" spans="1:7">
      <c r="A5917" s="211" t="s">
        <v>499</v>
      </c>
      <c r="B5917" s="216" t="str">
        <f ca="1">_xlfn.CONCAT(B5900,A5917)</f>
        <v>217E0A6B-P</v>
      </c>
      <c r="C5917" s="17"/>
      <c r="D5917" s="184"/>
      <c r="E5917" s="197"/>
      <c r="F5917" s="19"/>
      <c r="G5917" s="20"/>
    </row>
    <row r="5918" spans="1:7">
      <c r="A5918" s="211" t="s">
        <v>500</v>
      </c>
      <c r="B5918" s="216" t="str">
        <f ca="1">_xlfn.CONCAT(B5900,A5918)</f>
        <v>217E0A6B-Q</v>
      </c>
      <c r="C5918" s="17"/>
      <c r="D5918" s="184"/>
      <c r="E5918" s="197"/>
      <c r="F5918" s="19"/>
      <c r="G5918" s="20"/>
    </row>
    <row r="5919" spans="1:7">
      <c r="A5919" s="211" t="s">
        <v>501</v>
      </c>
      <c r="B5919" s="216" t="str">
        <f ca="1">_xlfn.CONCAT(B5900,A5919)</f>
        <v>217E0A6B-R</v>
      </c>
      <c r="C5919" s="17"/>
      <c r="D5919" s="184"/>
      <c r="E5919" s="197"/>
      <c r="F5919" s="19"/>
      <c r="G5919" s="20"/>
    </row>
    <row r="5920" spans="1:7">
      <c r="A5920" s="211" t="s">
        <v>502</v>
      </c>
      <c r="B5920" s="216" t="str">
        <f ca="1">_xlfn.CONCAT(B5900,A5920)</f>
        <v>217E0A6B-S</v>
      </c>
      <c r="C5920" s="17"/>
      <c r="D5920" s="184"/>
      <c r="E5920" s="197"/>
      <c r="F5920" s="19"/>
      <c r="G5920" s="20"/>
    </row>
    <row r="5921" spans="1:7">
      <c r="A5921" s="211" t="s">
        <v>503</v>
      </c>
      <c r="B5921" s="216" t="str">
        <f ca="1">_xlfn.CONCAT(B5900,A5921)</f>
        <v>217E0A6B-T</v>
      </c>
      <c r="C5921" s="17"/>
      <c r="D5921" s="184"/>
      <c r="E5921" s="197"/>
      <c r="F5921" s="19"/>
      <c r="G5921" s="20"/>
    </row>
    <row r="5922" spans="1:7" ht="14.25" thickBot="1">
      <c r="A5922" s="211" t="s">
        <v>504</v>
      </c>
      <c r="B5922" s="216" t="str">
        <f ca="1">_xlfn.CONCAT(B5900,A5922)</f>
        <v>217E0A6B-U</v>
      </c>
      <c r="C5922" s="17"/>
      <c r="D5922" s="184"/>
      <c r="E5922" s="197"/>
      <c r="F5922" s="19"/>
      <c r="G5922" s="20"/>
    </row>
    <row r="5923" spans="1:7" ht="14.25" thickBot="1">
      <c r="A5923" s="211" t="s">
        <v>505</v>
      </c>
      <c r="B5923" s="216" t="str">
        <f ca="1">_xlfn.CONCAT(B5900,A5923)</f>
        <v>217E0A6B-V</v>
      </c>
      <c r="C5923" s="17" t="s">
        <v>17</v>
      </c>
      <c r="D5923" s="192" t="s">
        <v>17</v>
      </c>
      <c r="E5923" s="18"/>
      <c r="F5923" s="22" t="s">
        <v>18</v>
      </c>
      <c r="G5923" s="23">
        <f>SUM(G5902:G5922)</f>
        <v>149440</v>
      </c>
    </row>
    <row r="5924" spans="1:7" ht="15.75" thickBot="1">
      <c r="A5924" s="211" t="s">
        <v>506</v>
      </c>
      <c r="B5924" s="216" t="str">
        <f ca="1">_xlfn.CONCAT(B5900,A5924)</f>
        <v>217E0A6B-W</v>
      </c>
      <c r="C5924" s="10" t="s">
        <v>19</v>
      </c>
      <c r="D5924" s="190"/>
      <c r="E5924" s="11"/>
      <c r="F5924" s="12"/>
      <c r="G5924" s="13"/>
    </row>
    <row r="5925" spans="1:7" ht="14.25" thickBot="1">
      <c r="A5925" s="211" t="s">
        <v>507</v>
      </c>
      <c r="B5925" s="216" t="str">
        <f ca="1">_xlfn.CONCAT(B5900,A5925)</f>
        <v>217E0A6B-X</v>
      </c>
      <c r="C5925" s="14" t="s">
        <v>1</v>
      </c>
      <c r="D5925" s="15"/>
      <c r="E5925" s="15" t="s">
        <v>20</v>
      </c>
      <c r="F5925" s="16" t="s">
        <v>21</v>
      </c>
      <c r="G5925" s="15" t="s">
        <v>5</v>
      </c>
    </row>
    <row r="5926" spans="1:7">
      <c r="A5926" s="211" t="s">
        <v>508</v>
      </c>
      <c r="B5926" s="216" t="str">
        <f ca="1">_xlfn.CONCAT(B5900,A5926)</f>
        <v>217E0A6B-Y</v>
      </c>
      <c r="C5926" s="24" t="s">
        <v>22</v>
      </c>
      <c r="D5926" s="184"/>
      <c r="E5926" s="25">
        <f>_xlfn.XLOOKUP(C5926,'H-MO'!B$7:B$30,'H-MO'!D$7:D$30,,0,1)</f>
        <v>2436.5624999999995</v>
      </c>
      <c r="F5926" s="19">
        <v>0.3</v>
      </c>
      <c r="G5926" s="33">
        <f t="shared" ref="G5926:G5931" si="169">+E5926*F5926</f>
        <v>730.96874999999989</v>
      </c>
    </row>
    <row r="5927" spans="1:7">
      <c r="A5927" s="211" t="s">
        <v>509</v>
      </c>
      <c r="B5927" s="216" t="str">
        <f ca="1">_xlfn.CONCAT(B5900,A5927)</f>
        <v>217E0A6B-Z</v>
      </c>
      <c r="C5927" s="24" t="s">
        <v>23</v>
      </c>
      <c r="D5927" s="184"/>
      <c r="E5927" s="25">
        <f>_xlfn.XLOOKUP(C5927,'H-MO'!B$7:B$30,'H-MO'!D$7:D$30,,0,1)</f>
        <v>1461.9374999999998</v>
      </c>
      <c r="F5927" s="19">
        <v>5.0000000000000001E-3</v>
      </c>
      <c r="G5927" s="33">
        <f t="shared" si="169"/>
        <v>7.309687499999999</v>
      </c>
    </row>
    <row r="5928" spans="1:7">
      <c r="A5928" s="211" t="s">
        <v>510</v>
      </c>
      <c r="B5928" s="216" t="str">
        <f ca="1">_xlfn.CONCAT(B5900,A5928)</f>
        <v>217E0A6B-aa</v>
      </c>
      <c r="C5928" s="24" t="s">
        <v>24</v>
      </c>
      <c r="D5928" s="185"/>
      <c r="E5928" s="25">
        <f>_xlfn.XLOOKUP(C5928,'H-MO'!B$7:B$30,'H-MO'!D$7:D$30,,0,1)</f>
        <v>29238.749999999996</v>
      </c>
      <c r="F5928" s="28">
        <v>0.02</v>
      </c>
      <c r="G5928" s="33">
        <f t="shared" si="169"/>
        <v>584.77499999999998</v>
      </c>
    </row>
    <row r="5929" spans="1:7">
      <c r="A5929" s="211" t="s">
        <v>511</v>
      </c>
      <c r="B5929" s="216" t="str">
        <f ca="1">_xlfn.CONCAT(B5900,A5929)</f>
        <v>217E0A6B-ab</v>
      </c>
      <c r="C5929" s="24" t="s">
        <v>25</v>
      </c>
      <c r="D5929" s="185"/>
      <c r="E5929" s="25">
        <f>_xlfn.XLOOKUP(C5929,'H-MO'!B$7:B$30,'H-MO'!D$7:D$30,,0,1)</f>
        <v>2761.4374999999995</v>
      </c>
      <c r="F5929" s="28">
        <v>1</v>
      </c>
      <c r="G5929" s="33">
        <f t="shared" si="169"/>
        <v>2761.4374999999995</v>
      </c>
    </row>
    <row r="5930" spans="1:7">
      <c r="A5930" s="211" t="s">
        <v>512</v>
      </c>
      <c r="B5930" s="216" t="str">
        <f ca="1">_xlfn.CONCAT(B5900,A5930)</f>
        <v>217E0A6B-ac</v>
      </c>
      <c r="C5930" s="24"/>
      <c r="D5930" s="185"/>
      <c r="E5930" s="29"/>
      <c r="F5930" s="28"/>
      <c r="G5930" s="33">
        <f t="shared" si="169"/>
        <v>0</v>
      </c>
    </row>
    <row r="5931" spans="1:7" ht="14.25" thickBot="1">
      <c r="A5931" s="211" t="s">
        <v>513</v>
      </c>
      <c r="B5931" s="216" t="str">
        <f ca="1">_xlfn.CONCAT(B5900,A5931)</f>
        <v>217E0A6B-ad</v>
      </c>
      <c r="C5931" s="24"/>
      <c r="D5931" s="185"/>
      <c r="E5931" s="29"/>
      <c r="F5931" s="28"/>
      <c r="G5931" s="33">
        <f t="shared" si="169"/>
        <v>0</v>
      </c>
    </row>
    <row r="5932" spans="1:7" ht="14.25" thickBot="1">
      <c r="A5932" s="211" t="s">
        <v>514</v>
      </c>
      <c r="B5932" s="216" t="str">
        <f ca="1">_xlfn.CONCAT(B5900,A5932)</f>
        <v>217E0A6B-ae</v>
      </c>
      <c r="C5932" s="17"/>
      <c r="D5932" s="192"/>
      <c r="E5932" s="18"/>
      <c r="F5932" s="22" t="s">
        <v>26</v>
      </c>
      <c r="G5932" s="23">
        <f>SUM(G5926:G5931)</f>
        <v>4084.4909374999993</v>
      </c>
    </row>
    <row r="5933" spans="1:7" ht="15.75" thickBot="1">
      <c r="A5933" s="211" t="s">
        <v>515</v>
      </c>
      <c r="B5933" s="216" t="str">
        <f ca="1">_xlfn.CONCAT(B5900,A5933)</f>
        <v>217E0A6B-af</v>
      </c>
      <c r="C5933" s="10" t="s">
        <v>27</v>
      </c>
      <c r="D5933" s="190"/>
      <c r="E5933" s="11"/>
      <c r="F5933" s="12"/>
      <c r="G5933" s="13"/>
    </row>
    <row r="5934" spans="1:7" ht="14.25" thickBot="1">
      <c r="A5934" s="211" t="s">
        <v>516</v>
      </c>
      <c r="B5934" s="216" t="str">
        <f ca="1">_xlfn.CONCAT(B5900,A5934)</f>
        <v>217E0A6B-ag</v>
      </c>
      <c r="C5934" s="14" t="s">
        <v>1</v>
      </c>
      <c r="D5934" s="15" t="s">
        <v>28</v>
      </c>
      <c r="E5934" s="15" t="s">
        <v>20</v>
      </c>
      <c r="F5934" s="16" t="s">
        <v>21</v>
      </c>
      <c r="G5934" s="15" t="s">
        <v>5</v>
      </c>
    </row>
    <row r="5935" spans="1:7">
      <c r="A5935" s="211" t="s">
        <v>517</v>
      </c>
      <c r="B5935" s="216" t="str">
        <f ca="1">_xlfn.CONCAT(B5900,A5935)</f>
        <v>217E0A6B-ah</v>
      </c>
      <c r="C5935" s="30" t="s">
        <v>29</v>
      </c>
      <c r="D5935" s="186">
        <f>'H-MO'!$N$77</f>
        <v>725918.52892505517</v>
      </c>
      <c r="E5935" s="31">
        <f>+D5935/8</f>
        <v>90739.816115631897</v>
      </c>
      <c r="F5935" s="32">
        <v>0.3</v>
      </c>
      <c r="G5935" s="33">
        <f>+E5935*F5935</f>
        <v>27221.94483468957</v>
      </c>
    </row>
    <row r="5936" spans="1:7">
      <c r="A5936" s="211" t="s">
        <v>518</v>
      </c>
      <c r="B5936" s="216" t="str">
        <f ca="1">_xlfn.CONCAT(B5900,A5936)</f>
        <v>217E0A6B-ai</v>
      </c>
      <c r="C5936" s="34" t="s">
        <v>30</v>
      </c>
      <c r="D5936" s="187">
        <f>'H-MO'!$N$86</f>
        <v>685561.39085756091</v>
      </c>
      <c r="E5936" s="29">
        <f>+D5936/8</f>
        <v>85695.173857195114</v>
      </c>
      <c r="F5936" s="28">
        <v>0</v>
      </c>
      <c r="G5936" s="33">
        <f>+E5936*F5936</f>
        <v>0</v>
      </c>
    </row>
    <row r="5937" spans="1:8" ht="14.25" thickBot="1">
      <c r="A5937" s="211" t="s">
        <v>519</v>
      </c>
      <c r="B5937" s="216" t="str">
        <f ca="1">_xlfn.CONCAT(B5900,A5937)</f>
        <v>217E0A6B-aj</v>
      </c>
      <c r="C5937" s="34"/>
      <c r="D5937" s="187"/>
      <c r="E5937" s="29"/>
      <c r="F5937" s="28"/>
      <c r="G5937" s="33">
        <f>+E5937*F5937</f>
        <v>0</v>
      </c>
    </row>
    <row r="5938" spans="1:8" ht="14.25" thickBot="1">
      <c r="A5938" s="211" t="s">
        <v>520</v>
      </c>
      <c r="B5938" s="216" t="str">
        <f ca="1">_xlfn.CONCAT(B5900,A5938)</f>
        <v>217E0A6B-ak</v>
      </c>
      <c r="C5938" s="34"/>
      <c r="D5938" s="185"/>
      <c r="E5938" s="26"/>
      <c r="F5938" s="36" t="s">
        <v>31</v>
      </c>
      <c r="G5938" s="23">
        <f>SUM(G5935:G5937)</f>
        <v>27221.94483468957</v>
      </c>
    </row>
    <row r="5939" spans="1:8" ht="14.25" thickBot="1">
      <c r="A5939" s="211" t="s">
        <v>521</v>
      </c>
      <c r="B5939" s="216" t="str">
        <f ca="1">_xlfn.CONCAT(B5900,A5939)</f>
        <v>217E0A6B-al</v>
      </c>
      <c r="C5939" s="37"/>
      <c r="E5939" s="38"/>
      <c r="F5939" s="22"/>
      <c r="G5939" s="39"/>
    </row>
    <row r="5940" spans="1:8" ht="16.5" thickBot="1">
      <c r="A5940" s="211" t="s">
        <v>522</v>
      </c>
      <c r="B5940" s="216" t="str">
        <f ca="1">_xlfn.CONCAT(B5900,A5940)</f>
        <v>217E0A6B-am</v>
      </c>
      <c r="C5940" s="40"/>
      <c r="D5940" s="193"/>
      <c r="E5940" s="41"/>
      <c r="F5940" s="42"/>
      <c r="G5940" s="43">
        <f>+G5923+G5932+G5938</f>
        <v>180746.43577218958</v>
      </c>
    </row>
    <row r="5941" spans="1:8" ht="21.75" thickBot="1">
      <c r="B5941" s="212" t="s">
        <v>550</v>
      </c>
      <c r="C5941" s="2"/>
      <c r="D5941" s="183"/>
      <c r="F5941" s="4"/>
      <c r="G5941" s="5"/>
    </row>
    <row r="5942" spans="1:8" ht="18.75">
      <c r="A5942" s="213"/>
      <c r="B5942" s="214">
        <v>136</v>
      </c>
      <c r="C5942" s="242" t="str">
        <f ca="1">_xlfn.XLOOKUP(B5942,Cantidades!$A$10:$A$314,Cantidades!$C$10:$C$314,,0,1)</f>
        <v>Suministro e instalación de kit de puesta a tierra en acero inoxidable</v>
      </c>
      <c r="D5942" s="243"/>
      <c r="E5942" s="243"/>
      <c r="F5942" s="243"/>
      <c r="G5942" s="244"/>
    </row>
    <row r="5943" spans="1:8" ht="19.5" thickBot="1">
      <c r="A5943" s="215"/>
      <c r="B5943" s="216" t="s">
        <v>550</v>
      </c>
      <c r="C5943" s="177"/>
      <c r="D5943" s="189"/>
      <c r="E5943" s="178"/>
      <c r="F5943" s="179" t="s">
        <v>636</v>
      </c>
      <c r="G5943" s="209" t="str">
        <f ca="1">B5944</f>
        <v>2BB0FCC2-</v>
      </c>
    </row>
    <row r="5944" spans="1:8" ht="15.75" thickBot="1">
      <c r="B5944" s="212" t="str">
        <f ca="1">_xlfn.XLOOKUP(C5942,Cantidades!$C$1:$C$314,Cantidades!$B$1:$B$314,"",0,1)</f>
        <v>2BB0FCC2-</v>
      </c>
      <c r="C5944" s="10" t="s">
        <v>0</v>
      </c>
      <c r="D5944" s="190"/>
      <c r="E5944" s="11"/>
      <c r="F5944" s="12"/>
      <c r="G5944" s="13"/>
    </row>
    <row r="5945" spans="1:8" ht="14.25" thickBot="1">
      <c r="A5945" s="215"/>
      <c r="B5945" s="216" t="s">
        <v>550</v>
      </c>
      <c r="C5945" s="14" t="s">
        <v>1</v>
      </c>
      <c r="D5945" s="15" t="s">
        <v>2</v>
      </c>
      <c r="E5945" s="15" t="s">
        <v>3</v>
      </c>
      <c r="F5945" s="16" t="s">
        <v>4</v>
      </c>
      <c r="G5945" s="15" t="s">
        <v>5</v>
      </c>
    </row>
    <row r="5946" spans="1:8">
      <c r="A5946" s="211" t="s">
        <v>484</v>
      </c>
      <c r="B5946" s="216" t="str">
        <f ca="1">_xlfn.CONCAT(B5944,A5946)</f>
        <v>2BB0FCC2-A</v>
      </c>
      <c r="C5946" s="17" t="str">
        <f>_xlfn.XLOOKUP(H5946,'Materiales unitario'!$A$1:$A$2500,'Materiales unitario'!B$1:B$2500,,0,1)</f>
        <v>Grapa bimetalica Cobre Aluminio</v>
      </c>
      <c r="D5946" s="184" t="str">
        <f>_xlfn.XLOOKUP(H5946,'Materiales unitario'!A$1:A$2500,'Materiales unitario'!C$1:C$2500,,0,1)</f>
        <v>un</v>
      </c>
      <c r="E5946" s="197">
        <f>_xlfn.XLOOKUP(H5946,'Materiales unitario'!$A$1:$A$2500,'Materiales unitario'!D$1:D$2500,,0,1)</f>
        <v>26965.200000000001</v>
      </c>
      <c r="F5946" s="19">
        <v>1</v>
      </c>
      <c r="G5946" s="20">
        <f>+E5946*F5946</f>
        <v>26965.200000000001</v>
      </c>
      <c r="H5946" s="211" t="s">
        <v>1225</v>
      </c>
    </row>
    <row r="5947" spans="1:8">
      <c r="A5947" s="211" t="s">
        <v>485</v>
      </c>
      <c r="B5947" s="216" t="str">
        <f ca="1">_xlfn.CONCAT(B5944,A5947)</f>
        <v>2BB0FCC2-B</v>
      </c>
      <c r="C5947" s="17" t="str">
        <f>_xlfn.XLOOKUP(H5947,'Materiales unitario'!$A$1:$A$2500,'Materiales unitario'!B$1:B$2500,,0,1)</f>
        <v>Accesorios de anclaje y fijacion.</v>
      </c>
      <c r="D5947" s="184" t="str">
        <f>_xlfn.XLOOKUP(H5947,'Materiales unitario'!A$1:A$2500,'Materiales unitario'!C$1:C$2500,,0,1)</f>
        <v>un</v>
      </c>
      <c r="E5947" s="197">
        <f>_xlfn.XLOOKUP(H5947,'Materiales unitario'!$A$1:$A$2500,'Materiales unitario'!D$1:D$2500,,0,1)</f>
        <v>10000</v>
      </c>
      <c r="F5947" s="19">
        <v>1</v>
      </c>
      <c r="G5947" s="20">
        <f>+E5947*F5947</f>
        <v>10000</v>
      </c>
      <c r="H5947" s="211" t="s">
        <v>222</v>
      </c>
    </row>
    <row r="5948" spans="1:8">
      <c r="A5948" s="211" t="s">
        <v>486</v>
      </c>
      <c r="B5948" s="216" t="str">
        <f ca="1">_xlfn.CONCAT(B5944,A5948)</f>
        <v>2BB0FCC2-C</v>
      </c>
      <c r="C5948" s="17" t="str">
        <f>_xlfn.XLOOKUP(H5948,'Materiales unitario'!$A$1:$A$2500,'Materiales unitario'!B$1:B$2500,,0,1)</f>
        <v xml:space="preserve">Cable de cobre desnudo #2/0 AWG </v>
      </c>
      <c r="D5948" s="184" t="str">
        <f>_xlfn.XLOOKUP(H5948,'Materiales unitario'!A$1:A$2500,'Materiales unitario'!C$1:C$2500,,0,1)</f>
        <v>ml</v>
      </c>
      <c r="E5948" s="197">
        <f>_xlfn.XLOOKUP(H5948,'Materiales unitario'!$A$1:$A$2500,'Materiales unitario'!D$1:D$2500,,0,1)</f>
        <v>46870</v>
      </c>
      <c r="F5948" s="19">
        <v>1.7</v>
      </c>
      <c r="G5948" s="20">
        <f>+E5948*F5948</f>
        <v>79679</v>
      </c>
      <c r="H5948" s="211" t="s">
        <v>275</v>
      </c>
    </row>
    <row r="5949" spans="1:8">
      <c r="A5949" s="211" t="s">
        <v>487</v>
      </c>
      <c r="B5949" s="216" t="str">
        <f ca="1">_xlfn.CONCAT(B5944,A5949)</f>
        <v>2BB0FCC2-D</v>
      </c>
      <c r="C5949" s="17"/>
      <c r="D5949" s="184"/>
      <c r="E5949" s="197"/>
      <c r="F5949" s="19"/>
      <c r="G5949" s="20"/>
    </row>
    <row r="5950" spans="1:8">
      <c r="A5950" s="211" t="s">
        <v>488</v>
      </c>
      <c r="B5950" s="216" t="str">
        <f ca="1">_xlfn.CONCAT(B5944,A5950)</f>
        <v>2BB0FCC2-E</v>
      </c>
      <c r="C5950" s="17"/>
      <c r="D5950" s="184"/>
      <c r="E5950" s="197"/>
      <c r="F5950" s="19"/>
      <c r="G5950" s="20"/>
    </row>
    <row r="5951" spans="1:8">
      <c r="A5951" s="211" t="s">
        <v>489</v>
      </c>
      <c r="B5951" s="216" t="str">
        <f ca="1">_xlfn.CONCAT(B5944,A5951)</f>
        <v>2BB0FCC2-F</v>
      </c>
      <c r="C5951" s="17"/>
      <c r="D5951" s="184"/>
      <c r="E5951" s="197"/>
      <c r="F5951" s="19"/>
      <c r="G5951" s="20"/>
    </row>
    <row r="5952" spans="1:8">
      <c r="A5952" s="211" t="s">
        <v>490</v>
      </c>
      <c r="B5952" s="216" t="str">
        <f ca="1">_xlfn.CONCAT(B5944,A5952)</f>
        <v>2BB0FCC2-G</v>
      </c>
      <c r="C5952" s="17"/>
      <c r="D5952" s="184"/>
      <c r="E5952" s="197"/>
      <c r="F5952" s="19"/>
      <c r="G5952" s="20"/>
    </row>
    <row r="5953" spans="1:7">
      <c r="A5953" s="211" t="s">
        <v>491</v>
      </c>
      <c r="B5953" s="216" t="str">
        <f ca="1">_xlfn.CONCAT(B5944,A5953)</f>
        <v>2BB0FCC2-H</v>
      </c>
      <c r="C5953" s="17"/>
      <c r="D5953" s="184"/>
      <c r="E5953" s="197"/>
      <c r="F5953" s="19"/>
      <c r="G5953" s="20"/>
    </row>
    <row r="5954" spans="1:7">
      <c r="A5954" s="211" t="s">
        <v>492</v>
      </c>
      <c r="B5954" s="216" t="str">
        <f ca="1">_xlfn.CONCAT(B5944,A5954)</f>
        <v>2BB0FCC2-I</v>
      </c>
      <c r="C5954" s="17"/>
      <c r="D5954" s="184"/>
      <c r="E5954" s="197"/>
      <c r="F5954" s="19"/>
      <c r="G5954" s="20"/>
    </row>
    <row r="5955" spans="1:7">
      <c r="A5955" s="211" t="s">
        <v>493</v>
      </c>
      <c r="B5955" s="216" t="str">
        <f ca="1">_xlfn.CONCAT(B5944,A5955)</f>
        <v>2BB0FCC2-J</v>
      </c>
      <c r="C5955" s="17"/>
      <c r="D5955" s="184"/>
      <c r="E5955" s="197"/>
      <c r="F5955" s="19"/>
      <c r="G5955" s="20"/>
    </row>
    <row r="5956" spans="1:7">
      <c r="A5956" s="211" t="s">
        <v>494</v>
      </c>
      <c r="B5956" s="216" t="str">
        <f ca="1">_xlfn.CONCAT(B5944,A5956)</f>
        <v>2BB0FCC2-K</v>
      </c>
      <c r="C5956" s="17"/>
      <c r="D5956" s="184"/>
      <c r="E5956" s="197"/>
      <c r="F5956" s="19"/>
      <c r="G5956" s="20"/>
    </row>
    <row r="5957" spans="1:7">
      <c r="A5957" s="211" t="s">
        <v>495</v>
      </c>
      <c r="B5957" s="216" t="str">
        <f ca="1">_xlfn.CONCAT(B5944,A5957)</f>
        <v>2BB0FCC2-L</v>
      </c>
      <c r="C5957" s="17"/>
      <c r="D5957" s="184"/>
      <c r="E5957" s="197"/>
      <c r="F5957" s="19"/>
      <c r="G5957" s="20"/>
    </row>
    <row r="5958" spans="1:7">
      <c r="A5958" s="211" t="s">
        <v>496</v>
      </c>
      <c r="B5958" s="216" t="str">
        <f ca="1">_xlfn.CONCAT(B5944,A5958)</f>
        <v>2BB0FCC2-M</v>
      </c>
      <c r="C5958" s="17"/>
      <c r="D5958" s="184"/>
      <c r="E5958" s="197"/>
      <c r="F5958" s="19"/>
      <c r="G5958" s="20"/>
    </row>
    <row r="5959" spans="1:7">
      <c r="A5959" s="211" t="s">
        <v>497</v>
      </c>
      <c r="B5959" s="216" t="str">
        <f ca="1">_xlfn.CONCAT(B5944,A5959)</f>
        <v>2BB0FCC2-N</v>
      </c>
      <c r="C5959" s="17"/>
      <c r="D5959" s="184"/>
      <c r="E5959" s="197"/>
      <c r="F5959" s="19"/>
      <c r="G5959" s="20"/>
    </row>
    <row r="5960" spans="1:7">
      <c r="A5960" s="211" t="s">
        <v>498</v>
      </c>
      <c r="B5960" s="216" t="str">
        <f ca="1">_xlfn.CONCAT(B5944,A5960)</f>
        <v>2BB0FCC2-O</v>
      </c>
      <c r="C5960" s="17"/>
      <c r="D5960" s="184"/>
      <c r="E5960" s="197"/>
      <c r="F5960" s="19"/>
      <c r="G5960" s="20"/>
    </row>
    <row r="5961" spans="1:7">
      <c r="A5961" s="211" t="s">
        <v>499</v>
      </c>
      <c r="B5961" s="216" t="str">
        <f ca="1">_xlfn.CONCAT(B5944,A5961)</f>
        <v>2BB0FCC2-P</v>
      </c>
      <c r="C5961" s="17"/>
      <c r="D5961" s="184"/>
      <c r="E5961" s="197"/>
      <c r="F5961" s="19"/>
      <c r="G5961" s="20"/>
    </row>
    <row r="5962" spans="1:7">
      <c r="A5962" s="211" t="s">
        <v>500</v>
      </c>
      <c r="B5962" s="216" t="str">
        <f ca="1">_xlfn.CONCAT(B5944,A5962)</f>
        <v>2BB0FCC2-Q</v>
      </c>
      <c r="C5962" s="17"/>
      <c r="D5962" s="184"/>
      <c r="E5962" s="197"/>
      <c r="F5962" s="19"/>
      <c r="G5962" s="20"/>
    </row>
    <row r="5963" spans="1:7">
      <c r="A5963" s="211" t="s">
        <v>501</v>
      </c>
      <c r="B5963" s="216" t="str">
        <f ca="1">_xlfn.CONCAT(B5944,A5963)</f>
        <v>2BB0FCC2-R</v>
      </c>
      <c r="C5963" s="17"/>
      <c r="D5963" s="184"/>
      <c r="E5963" s="197"/>
      <c r="F5963" s="19"/>
      <c r="G5963" s="20"/>
    </row>
    <row r="5964" spans="1:7">
      <c r="A5964" s="211" t="s">
        <v>502</v>
      </c>
      <c r="B5964" s="216" t="str">
        <f ca="1">_xlfn.CONCAT(B5944,A5964)</f>
        <v>2BB0FCC2-S</v>
      </c>
      <c r="C5964" s="17"/>
      <c r="D5964" s="184"/>
      <c r="E5964" s="197"/>
      <c r="F5964" s="19"/>
      <c r="G5964" s="20"/>
    </row>
    <row r="5965" spans="1:7">
      <c r="A5965" s="211" t="s">
        <v>503</v>
      </c>
      <c r="B5965" s="216" t="str">
        <f ca="1">_xlfn.CONCAT(B5944,A5965)</f>
        <v>2BB0FCC2-T</v>
      </c>
      <c r="C5965" s="17"/>
      <c r="D5965" s="184"/>
      <c r="E5965" s="197"/>
      <c r="F5965" s="19"/>
      <c r="G5965" s="20"/>
    </row>
    <row r="5966" spans="1:7" ht="14.25" thickBot="1">
      <c r="A5966" s="211" t="s">
        <v>504</v>
      </c>
      <c r="B5966" s="216" t="str">
        <f ca="1">_xlfn.CONCAT(B5944,A5966)</f>
        <v>2BB0FCC2-U</v>
      </c>
      <c r="C5966" s="17"/>
      <c r="D5966" s="184"/>
      <c r="E5966" s="197"/>
      <c r="F5966" s="19"/>
      <c r="G5966" s="20"/>
    </row>
    <row r="5967" spans="1:7" ht="14.25" thickBot="1">
      <c r="A5967" s="211" t="s">
        <v>505</v>
      </c>
      <c r="B5967" s="216" t="str">
        <f ca="1">_xlfn.CONCAT(B5944,A5967)</f>
        <v>2BB0FCC2-V</v>
      </c>
      <c r="C5967" s="17" t="s">
        <v>17</v>
      </c>
      <c r="D5967" s="192" t="s">
        <v>17</v>
      </c>
      <c r="E5967" s="18"/>
      <c r="F5967" s="22" t="s">
        <v>18</v>
      </c>
      <c r="G5967" s="23">
        <f>SUM(G5946:G5966)</f>
        <v>116644.2</v>
      </c>
    </row>
    <row r="5968" spans="1:7" ht="15.75" thickBot="1">
      <c r="A5968" s="211" t="s">
        <v>506</v>
      </c>
      <c r="B5968" s="216" t="str">
        <f ca="1">_xlfn.CONCAT(B5944,A5968)</f>
        <v>2BB0FCC2-W</v>
      </c>
      <c r="C5968" s="10" t="s">
        <v>19</v>
      </c>
      <c r="D5968" s="190"/>
      <c r="E5968" s="11"/>
      <c r="F5968" s="12"/>
      <c r="G5968" s="13"/>
    </row>
    <row r="5969" spans="1:7" ht="14.25" thickBot="1">
      <c r="A5969" s="211" t="s">
        <v>507</v>
      </c>
      <c r="B5969" s="216" t="str">
        <f ca="1">_xlfn.CONCAT(B5944,A5969)</f>
        <v>2BB0FCC2-X</v>
      </c>
      <c r="C5969" s="14" t="s">
        <v>1</v>
      </c>
      <c r="D5969" s="15"/>
      <c r="E5969" s="15" t="s">
        <v>20</v>
      </c>
      <c r="F5969" s="16" t="s">
        <v>21</v>
      </c>
      <c r="G5969" s="15" t="s">
        <v>5</v>
      </c>
    </row>
    <row r="5970" spans="1:7">
      <c r="A5970" s="211" t="s">
        <v>508</v>
      </c>
      <c r="B5970" s="216" t="str">
        <f ca="1">_xlfn.CONCAT(B5944,A5970)</f>
        <v>2BB0FCC2-Y</v>
      </c>
      <c r="C5970" s="24" t="s">
        <v>22</v>
      </c>
      <c r="D5970" s="184"/>
      <c r="E5970" s="25">
        <f>_xlfn.XLOOKUP(C5970,'H-MO'!B$7:B$30,'H-MO'!D$7:D$30,,0,1)</f>
        <v>2436.5624999999995</v>
      </c>
      <c r="F5970" s="19">
        <v>0.3</v>
      </c>
      <c r="G5970" s="33">
        <f t="shared" ref="G5970:G5975" si="170">+E5970*F5970</f>
        <v>730.96874999999989</v>
      </c>
    </row>
    <row r="5971" spans="1:7">
      <c r="A5971" s="211" t="s">
        <v>509</v>
      </c>
      <c r="B5971" s="216" t="str">
        <f ca="1">_xlfn.CONCAT(B5944,A5971)</f>
        <v>2BB0FCC2-Z</v>
      </c>
      <c r="C5971" s="24" t="s">
        <v>23</v>
      </c>
      <c r="D5971" s="184"/>
      <c r="E5971" s="25">
        <f>_xlfn.XLOOKUP(C5971,'H-MO'!B$7:B$30,'H-MO'!D$7:D$30,,0,1)</f>
        <v>1461.9374999999998</v>
      </c>
      <c r="F5971" s="19">
        <v>5.0000000000000001E-3</v>
      </c>
      <c r="G5971" s="33">
        <f t="shared" si="170"/>
        <v>7.309687499999999</v>
      </c>
    </row>
    <row r="5972" spans="1:7">
      <c r="A5972" s="211" t="s">
        <v>510</v>
      </c>
      <c r="B5972" s="216" t="str">
        <f ca="1">_xlfn.CONCAT(B5944,A5972)</f>
        <v>2BB0FCC2-aa</v>
      </c>
      <c r="C5972" s="24" t="s">
        <v>24</v>
      </c>
      <c r="D5972" s="185"/>
      <c r="E5972" s="25">
        <f>_xlfn.XLOOKUP(C5972,'H-MO'!B$7:B$30,'H-MO'!D$7:D$30,,0,1)</f>
        <v>29238.749999999996</v>
      </c>
      <c r="F5972" s="28">
        <v>0.02</v>
      </c>
      <c r="G5972" s="33">
        <f t="shared" si="170"/>
        <v>584.77499999999998</v>
      </c>
    </row>
    <row r="5973" spans="1:7">
      <c r="A5973" s="211" t="s">
        <v>511</v>
      </c>
      <c r="B5973" s="216" t="str">
        <f ca="1">_xlfn.CONCAT(B5944,A5973)</f>
        <v>2BB0FCC2-ab</v>
      </c>
      <c r="C5973" s="24" t="s">
        <v>25</v>
      </c>
      <c r="D5973" s="185"/>
      <c r="E5973" s="25">
        <f>_xlfn.XLOOKUP(C5973,'H-MO'!B$7:B$30,'H-MO'!D$7:D$30,,0,1)</f>
        <v>2761.4374999999995</v>
      </c>
      <c r="F5973" s="28">
        <v>1</v>
      </c>
      <c r="G5973" s="33">
        <f t="shared" si="170"/>
        <v>2761.4374999999995</v>
      </c>
    </row>
    <row r="5974" spans="1:7">
      <c r="A5974" s="211" t="s">
        <v>512</v>
      </c>
      <c r="B5974" s="216" t="str">
        <f ca="1">_xlfn.CONCAT(B5944,A5974)</f>
        <v>2BB0FCC2-ac</v>
      </c>
      <c r="C5974" s="24"/>
      <c r="D5974" s="185"/>
      <c r="E5974" s="29"/>
      <c r="F5974" s="28"/>
      <c r="G5974" s="33">
        <f t="shared" si="170"/>
        <v>0</v>
      </c>
    </row>
    <row r="5975" spans="1:7" ht="14.25" thickBot="1">
      <c r="A5975" s="211" t="s">
        <v>513</v>
      </c>
      <c r="B5975" s="216" t="str">
        <f ca="1">_xlfn.CONCAT(B5944,A5975)</f>
        <v>2BB0FCC2-ad</v>
      </c>
      <c r="C5975" s="24"/>
      <c r="D5975" s="185"/>
      <c r="E5975" s="29"/>
      <c r="F5975" s="28"/>
      <c r="G5975" s="33">
        <f t="shared" si="170"/>
        <v>0</v>
      </c>
    </row>
    <row r="5976" spans="1:7" ht="14.25" thickBot="1">
      <c r="A5976" s="211" t="s">
        <v>514</v>
      </c>
      <c r="B5976" s="216" t="str">
        <f ca="1">_xlfn.CONCAT(B5944,A5976)</f>
        <v>2BB0FCC2-ae</v>
      </c>
      <c r="C5976" s="17"/>
      <c r="D5976" s="192"/>
      <c r="E5976" s="18"/>
      <c r="F5976" s="22" t="s">
        <v>26</v>
      </c>
      <c r="G5976" s="23">
        <f>SUM(G5970:G5975)</f>
        <v>4084.4909374999993</v>
      </c>
    </row>
    <row r="5977" spans="1:7" ht="15.75" thickBot="1">
      <c r="A5977" s="211" t="s">
        <v>515</v>
      </c>
      <c r="B5977" s="216" t="str">
        <f ca="1">_xlfn.CONCAT(B5944,A5977)</f>
        <v>2BB0FCC2-af</v>
      </c>
      <c r="C5977" s="10" t="s">
        <v>27</v>
      </c>
      <c r="D5977" s="190"/>
      <c r="E5977" s="11"/>
      <c r="F5977" s="12"/>
      <c r="G5977" s="13"/>
    </row>
    <row r="5978" spans="1:7" ht="14.25" thickBot="1">
      <c r="A5978" s="211" t="s">
        <v>516</v>
      </c>
      <c r="B5978" s="216" t="str">
        <f ca="1">_xlfn.CONCAT(B5944,A5978)</f>
        <v>2BB0FCC2-ag</v>
      </c>
      <c r="C5978" s="14" t="s">
        <v>1</v>
      </c>
      <c r="D5978" s="15" t="s">
        <v>28</v>
      </c>
      <c r="E5978" s="15" t="s">
        <v>20</v>
      </c>
      <c r="F5978" s="16" t="s">
        <v>21</v>
      </c>
      <c r="G5978" s="15" t="s">
        <v>5</v>
      </c>
    </row>
    <row r="5979" spans="1:7">
      <c r="A5979" s="211" t="s">
        <v>517</v>
      </c>
      <c r="B5979" s="216" t="str">
        <f ca="1">_xlfn.CONCAT(B5944,A5979)</f>
        <v>2BB0FCC2-ah</v>
      </c>
      <c r="C5979" s="30" t="s">
        <v>29</v>
      </c>
      <c r="D5979" s="186">
        <f>'H-MO'!$N$77</f>
        <v>725918.52892505517</v>
      </c>
      <c r="E5979" s="31">
        <f>+D5979/8</f>
        <v>90739.816115631897</v>
      </c>
      <c r="F5979" s="32">
        <v>0.45</v>
      </c>
      <c r="G5979" s="33">
        <f>+E5979*F5979</f>
        <v>40832.917252034356</v>
      </c>
    </row>
    <row r="5980" spans="1:7">
      <c r="A5980" s="211" t="s">
        <v>518</v>
      </c>
      <c r="B5980" s="216" t="str">
        <f ca="1">_xlfn.CONCAT(B5944,A5980)</f>
        <v>2BB0FCC2-ai</v>
      </c>
      <c r="C5980" s="34" t="s">
        <v>30</v>
      </c>
      <c r="D5980" s="187">
        <f>'H-MO'!$N$86</f>
        <v>685561.39085756091</v>
      </c>
      <c r="E5980" s="29">
        <f>+D5980/8</f>
        <v>85695.173857195114</v>
      </c>
      <c r="F5980" s="28">
        <v>0</v>
      </c>
      <c r="G5980" s="33">
        <f>+E5980*F5980</f>
        <v>0</v>
      </c>
    </row>
    <row r="5981" spans="1:7" ht="14.25" thickBot="1">
      <c r="A5981" s="211" t="s">
        <v>519</v>
      </c>
      <c r="B5981" s="216" t="str">
        <f ca="1">_xlfn.CONCAT(B5944,A5981)</f>
        <v>2BB0FCC2-aj</v>
      </c>
      <c r="C5981" s="34"/>
      <c r="D5981" s="187"/>
      <c r="E5981" s="29"/>
      <c r="F5981" s="28"/>
      <c r="G5981" s="33">
        <f>+E5981*F5981</f>
        <v>0</v>
      </c>
    </row>
    <row r="5982" spans="1:7" ht="14.25" thickBot="1">
      <c r="A5982" s="211" t="s">
        <v>520</v>
      </c>
      <c r="B5982" s="216" t="str">
        <f ca="1">_xlfn.CONCAT(B5944,A5982)</f>
        <v>2BB0FCC2-ak</v>
      </c>
      <c r="C5982" s="34"/>
      <c r="D5982" s="185"/>
      <c r="E5982" s="26"/>
      <c r="F5982" s="36" t="s">
        <v>31</v>
      </c>
      <c r="G5982" s="23">
        <f>SUM(G5979:G5981)</f>
        <v>40832.917252034356</v>
      </c>
    </row>
    <row r="5983" spans="1:7" ht="14.25" thickBot="1">
      <c r="A5983" s="211" t="s">
        <v>521</v>
      </c>
      <c r="B5983" s="216" t="str">
        <f ca="1">_xlfn.CONCAT(B5944,A5983)</f>
        <v>2BB0FCC2-al</v>
      </c>
      <c r="C5983" s="37"/>
      <c r="E5983" s="38"/>
      <c r="F5983" s="22"/>
      <c r="G5983" s="39"/>
    </row>
    <row r="5984" spans="1:7" ht="16.5" thickBot="1">
      <c r="A5984" s="211" t="s">
        <v>522</v>
      </c>
      <c r="B5984" s="216" t="str">
        <f ca="1">_xlfn.CONCAT(B5944,A5984)</f>
        <v>2BB0FCC2-am</v>
      </c>
      <c r="C5984" s="40"/>
      <c r="D5984" s="193"/>
      <c r="E5984" s="41"/>
      <c r="F5984" s="42"/>
      <c r="G5984" s="43">
        <f>+G5967+G5976+G5982</f>
        <v>161561.60818953434</v>
      </c>
    </row>
    <row r="5985" spans="1:8" ht="21.75" thickBot="1">
      <c r="B5985" s="212" t="s">
        <v>550</v>
      </c>
      <c r="C5985" s="2"/>
      <c r="D5985" s="183"/>
      <c r="F5985" s="4"/>
      <c r="G5985" s="5"/>
    </row>
    <row r="5986" spans="1:8" ht="18.75">
      <c r="A5986" s="213"/>
      <c r="B5986" s="214">
        <v>137</v>
      </c>
      <c r="C5986" s="242" t="str">
        <f ca="1">_xlfn.XLOOKUP(B5986,Cantidades!$A$10:$A$314,Cantidades!$C$10:$C$314,,0,1)</f>
        <v>Suministro e instalación de alambron de cobre 1/0 AWG</v>
      </c>
      <c r="D5986" s="243"/>
      <c r="E5986" s="243"/>
      <c r="F5986" s="243"/>
      <c r="G5986" s="244"/>
    </row>
    <row r="5987" spans="1:8" ht="19.5" thickBot="1">
      <c r="A5987" s="215"/>
      <c r="B5987" s="216" t="s">
        <v>550</v>
      </c>
      <c r="C5987" s="177"/>
      <c r="D5987" s="189"/>
      <c r="E5987" s="178"/>
      <c r="F5987" s="179" t="s">
        <v>636</v>
      </c>
      <c r="G5987" s="209" t="str">
        <f ca="1">B5988</f>
        <v>62C4797-</v>
      </c>
    </row>
    <row r="5988" spans="1:8" ht="15.75" thickBot="1">
      <c r="B5988" s="212" t="str">
        <f ca="1">_xlfn.XLOOKUP(C5986,Cantidades!$C$1:$C$314,Cantidades!$B$1:$B$314,"",0,1)</f>
        <v>62C4797-</v>
      </c>
      <c r="C5988" s="10" t="s">
        <v>0</v>
      </c>
      <c r="D5988" s="190"/>
      <c r="E5988" s="11"/>
      <c r="F5988" s="12"/>
      <c r="G5988" s="13"/>
    </row>
    <row r="5989" spans="1:8" ht="14.25" thickBot="1">
      <c r="A5989" s="215"/>
      <c r="B5989" s="216" t="s">
        <v>550</v>
      </c>
      <c r="C5989" s="14" t="s">
        <v>1</v>
      </c>
      <c r="D5989" s="15" t="s">
        <v>2</v>
      </c>
      <c r="E5989" s="15" t="s">
        <v>3</v>
      </c>
      <c r="F5989" s="16" t="s">
        <v>4</v>
      </c>
      <c r="G5989" s="15" t="s">
        <v>5</v>
      </c>
    </row>
    <row r="5990" spans="1:8">
      <c r="A5990" s="211" t="s">
        <v>484</v>
      </c>
      <c r="B5990" s="216" t="str">
        <f ca="1">_xlfn.CONCAT(B5988,A5990)</f>
        <v>62C4797-A</v>
      </c>
      <c r="C5990" s="17" t="str">
        <f>_xlfn.XLOOKUP(H5990,'Materiales unitario'!$A$1:$A$2500,'Materiales unitario'!B$1:B$2500,,0,1)</f>
        <v>alambron de cobre 1/0 AWG</v>
      </c>
      <c r="D5990" s="184" t="str">
        <f>_xlfn.XLOOKUP(H5990,'Materiales unitario'!A$1:A$2500,'Materiales unitario'!C$1:C$2500,,0,1)</f>
        <v>ml</v>
      </c>
      <c r="E5990" s="197">
        <f>_xlfn.XLOOKUP(H5990,'Materiales unitario'!$A$1:$A$2500,'Materiales unitario'!D$1:D$2500,,0,1)</f>
        <v>46520</v>
      </c>
      <c r="F5990" s="19">
        <v>1</v>
      </c>
      <c r="G5990" s="20">
        <f>+E5990*F5990</f>
        <v>46520</v>
      </c>
      <c r="H5990" s="211" t="s">
        <v>1229</v>
      </c>
    </row>
    <row r="5991" spans="1:8">
      <c r="A5991" s="211" t="s">
        <v>485</v>
      </c>
      <c r="B5991" s="216" t="str">
        <f ca="1">_xlfn.CONCAT(B5988,A5991)</f>
        <v>62C4797-B</v>
      </c>
      <c r="C5991" s="17" t="str">
        <f>_xlfn.XLOOKUP(H5991,'Materiales unitario'!$A$1:$A$2500,'Materiales unitario'!B$1:B$2500,,0,1)</f>
        <v>Accesorios de anclaje y fijacion.</v>
      </c>
      <c r="D5991" s="184" t="str">
        <f>_xlfn.XLOOKUP(H5991,'Materiales unitario'!A$1:A$2500,'Materiales unitario'!C$1:C$2500,,0,1)</f>
        <v>un</v>
      </c>
      <c r="E5991" s="197">
        <f>_xlfn.XLOOKUP(H5991,'Materiales unitario'!$A$1:$A$2500,'Materiales unitario'!D$1:D$2500,,0,1)</f>
        <v>10000</v>
      </c>
      <c r="F5991" s="19">
        <v>0.3</v>
      </c>
      <c r="G5991" s="20">
        <f>+E5991*F5991</f>
        <v>3000</v>
      </c>
      <c r="H5991" s="211" t="s">
        <v>222</v>
      </c>
    </row>
    <row r="5992" spans="1:8">
      <c r="A5992" s="211" t="s">
        <v>486</v>
      </c>
      <c r="B5992" s="216" t="str">
        <f ca="1">_xlfn.CONCAT(B5988,A5992)</f>
        <v>62C4797-C</v>
      </c>
      <c r="C5992" s="17" t="str">
        <f>_xlfn.XLOOKUP(H5992,'Materiales unitario'!$A$1:$A$2500,'Materiales unitario'!B$1:B$2500,,0,1)</f>
        <v>Soporte Anillo Plastico 55mm RD 8 - 10 M8</v>
      </c>
      <c r="D5992" s="184" t="str">
        <f>_xlfn.XLOOKUP(H5992,'Materiales unitario'!A$1:A$2500,'Materiales unitario'!C$1:C$2500,,0,1)</f>
        <v>un</v>
      </c>
      <c r="E5992" s="197">
        <f>_xlfn.XLOOKUP(H5992,'Materiales unitario'!$A$1:$A$2500,'Materiales unitario'!D$1:D$2500,,0,1)</f>
        <v>12900</v>
      </c>
      <c r="F5992" s="19">
        <v>1</v>
      </c>
      <c r="G5992" s="20">
        <f>+E5992*F5992</f>
        <v>12900</v>
      </c>
      <c r="H5992" s="211" t="s">
        <v>1231</v>
      </c>
    </row>
    <row r="5993" spans="1:8">
      <c r="A5993" s="211" t="s">
        <v>487</v>
      </c>
      <c r="B5993" s="216" t="str">
        <f ca="1">_xlfn.CONCAT(B5988,A5993)</f>
        <v>62C4797-D</v>
      </c>
      <c r="C5993" s="17"/>
      <c r="D5993" s="184"/>
      <c r="E5993" s="197"/>
      <c r="F5993" s="19"/>
      <c r="G5993" s="20"/>
    </row>
    <row r="5994" spans="1:8">
      <c r="A5994" s="211" t="s">
        <v>488</v>
      </c>
      <c r="B5994" s="216" t="str">
        <f ca="1">_xlfn.CONCAT(B5988,A5994)</f>
        <v>62C4797-E</v>
      </c>
      <c r="C5994" s="17"/>
      <c r="D5994" s="184"/>
      <c r="E5994" s="197"/>
      <c r="F5994" s="19"/>
      <c r="G5994" s="20"/>
    </row>
    <row r="5995" spans="1:8">
      <c r="A5995" s="211" t="s">
        <v>489</v>
      </c>
      <c r="B5995" s="216" t="str">
        <f ca="1">_xlfn.CONCAT(B5988,A5995)</f>
        <v>62C4797-F</v>
      </c>
      <c r="C5995" s="17"/>
      <c r="D5995" s="184"/>
      <c r="E5995" s="197"/>
      <c r="F5995" s="19"/>
      <c r="G5995" s="20"/>
    </row>
    <row r="5996" spans="1:8">
      <c r="A5996" s="211" t="s">
        <v>490</v>
      </c>
      <c r="B5996" s="216" t="str">
        <f ca="1">_xlfn.CONCAT(B5988,A5996)</f>
        <v>62C4797-G</v>
      </c>
      <c r="C5996" s="17"/>
      <c r="D5996" s="184"/>
      <c r="E5996" s="197"/>
      <c r="F5996" s="19"/>
      <c r="G5996" s="20"/>
    </row>
    <row r="5997" spans="1:8">
      <c r="A5997" s="211" t="s">
        <v>491</v>
      </c>
      <c r="B5997" s="216" t="str">
        <f ca="1">_xlfn.CONCAT(B5988,A5997)</f>
        <v>62C4797-H</v>
      </c>
      <c r="C5997" s="17"/>
      <c r="D5997" s="184"/>
      <c r="E5997" s="197"/>
      <c r="F5997" s="19"/>
      <c r="G5997" s="20"/>
    </row>
    <row r="5998" spans="1:8">
      <c r="A5998" s="211" t="s">
        <v>492</v>
      </c>
      <c r="B5998" s="216" t="str">
        <f ca="1">_xlfn.CONCAT(B5988,A5998)</f>
        <v>62C4797-I</v>
      </c>
      <c r="C5998" s="17"/>
      <c r="D5998" s="184"/>
      <c r="E5998" s="197"/>
      <c r="F5998" s="19"/>
      <c r="G5998" s="20"/>
    </row>
    <row r="5999" spans="1:8">
      <c r="A5999" s="211" t="s">
        <v>493</v>
      </c>
      <c r="B5999" s="216" t="str">
        <f ca="1">_xlfn.CONCAT(B5988,A5999)</f>
        <v>62C4797-J</v>
      </c>
      <c r="C5999" s="17"/>
      <c r="D5999" s="184"/>
      <c r="E5999" s="197"/>
      <c r="F5999" s="19"/>
      <c r="G5999" s="20"/>
    </row>
    <row r="6000" spans="1:8">
      <c r="A6000" s="211" t="s">
        <v>494</v>
      </c>
      <c r="B6000" s="216" t="str">
        <f ca="1">_xlfn.CONCAT(B5988,A6000)</f>
        <v>62C4797-K</v>
      </c>
      <c r="C6000" s="17"/>
      <c r="D6000" s="184"/>
      <c r="E6000" s="197"/>
      <c r="F6000" s="19"/>
      <c r="G6000" s="20"/>
    </row>
    <row r="6001" spans="1:7">
      <c r="A6001" s="211" t="s">
        <v>495</v>
      </c>
      <c r="B6001" s="216" t="str">
        <f ca="1">_xlfn.CONCAT(B5988,A6001)</f>
        <v>62C4797-L</v>
      </c>
      <c r="C6001" s="17"/>
      <c r="D6001" s="184"/>
      <c r="E6001" s="197"/>
      <c r="F6001" s="19"/>
      <c r="G6001" s="20"/>
    </row>
    <row r="6002" spans="1:7">
      <c r="A6002" s="211" t="s">
        <v>496</v>
      </c>
      <c r="B6002" s="216" t="str">
        <f ca="1">_xlfn.CONCAT(B5988,A6002)</f>
        <v>62C4797-M</v>
      </c>
      <c r="C6002" s="17"/>
      <c r="D6002" s="184"/>
      <c r="E6002" s="197"/>
      <c r="F6002" s="19"/>
      <c r="G6002" s="20"/>
    </row>
    <row r="6003" spans="1:7">
      <c r="A6003" s="211" t="s">
        <v>497</v>
      </c>
      <c r="B6003" s="216" t="str">
        <f ca="1">_xlfn.CONCAT(B5988,A6003)</f>
        <v>62C4797-N</v>
      </c>
      <c r="C6003" s="17"/>
      <c r="D6003" s="184"/>
      <c r="E6003" s="197"/>
      <c r="F6003" s="19"/>
      <c r="G6003" s="20"/>
    </row>
    <row r="6004" spans="1:7">
      <c r="A6004" s="211" t="s">
        <v>498</v>
      </c>
      <c r="B6004" s="216" t="str">
        <f ca="1">_xlfn.CONCAT(B5988,A6004)</f>
        <v>62C4797-O</v>
      </c>
      <c r="C6004" s="17"/>
      <c r="D6004" s="184"/>
      <c r="E6004" s="197"/>
      <c r="F6004" s="19"/>
      <c r="G6004" s="20"/>
    </row>
    <row r="6005" spans="1:7">
      <c r="A6005" s="211" t="s">
        <v>499</v>
      </c>
      <c r="B6005" s="216" t="str">
        <f ca="1">_xlfn.CONCAT(B5988,A6005)</f>
        <v>62C4797-P</v>
      </c>
      <c r="C6005" s="17"/>
      <c r="D6005" s="184"/>
      <c r="E6005" s="197"/>
      <c r="F6005" s="19"/>
      <c r="G6005" s="20"/>
    </row>
    <row r="6006" spans="1:7">
      <c r="A6006" s="211" t="s">
        <v>500</v>
      </c>
      <c r="B6006" s="216" t="str">
        <f ca="1">_xlfn.CONCAT(B5988,A6006)</f>
        <v>62C4797-Q</v>
      </c>
      <c r="C6006" s="17"/>
      <c r="D6006" s="184"/>
      <c r="E6006" s="197"/>
      <c r="F6006" s="19"/>
      <c r="G6006" s="20"/>
    </row>
    <row r="6007" spans="1:7">
      <c r="A6007" s="211" t="s">
        <v>501</v>
      </c>
      <c r="B6007" s="216" t="str">
        <f ca="1">_xlfn.CONCAT(B5988,A6007)</f>
        <v>62C4797-R</v>
      </c>
      <c r="C6007" s="17"/>
      <c r="D6007" s="184"/>
      <c r="E6007" s="197"/>
      <c r="F6007" s="19"/>
      <c r="G6007" s="20"/>
    </row>
    <row r="6008" spans="1:7">
      <c r="A6008" s="211" t="s">
        <v>502</v>
      </c>
      <c r="B6008" s="216" t="str">
        <f ca="1">_xlfn.CONCAT(B5988,A6008)</f>
        <v>62C4797-S</v>
      </c>
      <c r="C6008" s="17"/>
      <c r="D6008" s="184"/>
      <c r="E6008" s="197"/>
      <c r="F6008" s="19"/>
      <c r="G6008" s="20"/>
    </row>
    <row r="6009" spans="1:7">
      <c r="A6009" s="211" t="s">
        <v>503</v>
      </c>
      <c r="B6009" s="216" t="str">
        <f ca="1">_xlfn.CONCAT(B5988,A6009)</f>
        <v>62C4797-T</v>
      </c>
      <c r="C6009" s="17"/>
      <c r="D6009" s="184"/>
      <c r="E6009" s="197"/>
      <c r="F6009" s="19"/>
      <c r="G6009" s="20"/>
    </row>
    <row r="6010" spans="1:7" ht="14.25" thickBot="1">
      <c r="A6010" s="211" t="s">
        <v>504</v>
      </c>
      <c r="B6010" s="216" t="str">
        <f ca="1">_xlfn.CONCAT(B5988,A6010)</f>
        <v>62C4797-U</v>
      </c>
      <c r="C6010" s="17"/>
      <c r="D6010" s="184"/>
      <c r="E6010" s="197"/>
      <c r="F6010" s="19"/>
      <c r="G6010" s="20"/>
    </row>
    <row r="6011" spans="1:7" ht="14.25" thickBot="1">
      <c r="A6011" s="211" t="s">
        <v>505</v>
      </c>
      <c r="B6011" s="216" t="str">
        <f ca="1">_xlfn.CONCAT(B5988,A6011)</f>
        <v>62C4797-V</v>
      </c>
      <c r="C6011" s="17" t="s">
        <v>17</v>
      </c>
      <c r="D6011" s="192" t="s">
        <v>17</v>
      </c>
      <c r="E6011" s="18"/>
      <c r="F6011" s="22" t="s">
        <v>18</v>
      </c>
      <c r="G6011" s="23">
        <f>SUM(G5990:G6010)</f>
        <v>62420</v>
      </c>
    </row>
    <row r="6012" spans="1:7" ht="15.75" thickBot="1">
      <c r="A6012" s="211" t="s">
        <v>506</v>
      </c>
      <c r="B6012" s="216" t="str">
        <f ca="1">_xlfn.CONCAT(B5988,A6012)</f>
        <v>62C4797-W</v>
      </c>
      <c r="C6012" s="10" t="s">
        <v>19</v>
      </c>
      <c r="D6012" s="190"/>
      <c r="E6012" s="11"/>
      <c r="F6012" s="12"/>
      <c r="G6012" s="13"/>
    </row>
    <row r="6013" spans="1:7" ht="14.25" thickBot="1">
      <c r="A6013" s="211" t="s">
        <v>507</v>
      </c>
      <c r="B6013" s="216" t="str">
        <f ca="1">_xlfn.CONCAT(B5988,A6013)</f>
        <v>62C4797-X</v>
      </c>
      <c r="C6013" s="14" t="s">
        <v>1</v>
      </c>
      <c r="D6013" s="15"/>
      <c r="E6013" s="15" t="s">
        <v>20</v>
      </c>
      <c r="F6013" s="16" t="s">
        <v>21</v>
      </c>
      <c r="G6013" s="15" t="s">
        <v>5</v>
      </c>
    </row>
    <row r="6014" spans="1:7">
      <c r="A6014" s="211" t="s">
        <v>508</v>
      </c>
      <c r="B6014" s="216" t="str">
        <f ca="1">_xlfn.CONCAT(B5988,A6014)</f>
        <v>62C4797-Y</v>
      </c>
      <c r="C6014" s="24" t="s">
        <v>22</v>
      </c>
      <c r="D6014" s="184"/>
      <c r="E6014" s="25">
        <f>_xlfn.XLOOKUP(C6014,'H-MO'!B$7:B$30,'H-MO'!D$7:D$30,,0,1)</f>
        <v>2436.5624999999995</v>
      </c>
      <c r="F6014" s="19">
        <v>0.2</v>
      </c>
      <c r="G6014" s="33">
        <f t="shared" ref="G6014:G6019" si="171">+E6014*F6014</f>
        <v>487.31249999999994</v>
      </c>
    </row>
    <row r="6015" spans="1:7">
      <c r="A6015" s="211" t="s">
        <v>509</v>
      </c>
      <c r="B6015" s="216" t="str">
        <f ca="1">_xlfn.CONCAT(B5988,A6015)</f>
        <v>62C4797-Z</v>
      </c>
      <c r="C6015" s="24" t="s">
        <v>23</v>
      </c>
      <c r="D6015" s="184"/>
      <c r="E6015" s="25">
        <f>_xlfn.XLOOKUP(C6015,'H-MO'!B$7:B$30,'H-MO'!D$7:D$30,,0,1)</f>
        <v>1461.9374999999998</v>
      </c>
      <c r="F6015" s="19">
        <v>5.0000000000000001E-3</v>
      </c>
      <c r="G6015" s="33">
        <f t="shared" si="171"/>
        <v>7.309687499999999</v>
      </c>
    </row>
    <row r="6016" spans="1:7">
      <c r="A6016" s="211" t="s">
        <v>510</v>
      </c>
      <c r="B6016" s="216" t="str">
        <f ca="1">_xlfn.CONCAT(B5988,A6016)</f>
        <v>62C4797-aa</v>
      </c>
      <c r="C6016" s="24" t="s">
        <v>24</v>
      </c>
      <c r="D6016" s="185"/>
      <c r="E6016" s="25">
        <f>_xlfn.XLOOKUP(C6016,'H-MO'!B$7:B$30,'H-MO'!D$7:D$30,,0,1)</f>
        <v>29238.749999999996</v>
      </c>
      <c r="F6016" s="28">
        <v>0.02</v>
      </c>
      <c r="G6016" s="33">
        <f t="shared" si="171"/>
        <v>584.77499999999998</v>
      </c>
    </row>
    <row r="6017" spans="1:7">
      <c r="A6017" s="211" t="s">
        <v>511</v>
      </c>
      <c r="B6017" s="216" t="str">
        <f ca="1">_xlfn.CONCAT(B5988,A6017)</f>
        <v>62C4797-ab</v>
      </c>
      <c r="C6017" s="24" t="s">
        <v>25</v>
      </c>
      <c r="D6017" s="185"/>
      <c r="E6017" s="25">
        <f>_xlfn.XLOOKUP(C6017,'H-MO'!B$7:B$30,'H-MO'!D$7:D$30,,0,1)</f>
        <v>2761.4374999999995</v>
      </c>
      <c r="F6017" s="28">
        <v>0.7</v>
      </c>
      <c r="G6017" s="33">
        <f t="shared" si="171"/>
        <v>1933.0062499999995</v>
      </c>
    </row>
    <row r="6018" spans="1:7">
      <c r="A6018" s="211" t="s">
        <v>512</v>
      </c>
      <c r="B6018" s="216" t="str">
        <f ca="1">_xlfn.CONCAT(B5988,A6018)</f>
        <v>62C4797-ac</v>
      </c>
      <c r="C6018" s="24"/>
      <c r="D6018" s="185"/>
      <c r="E6018" s="29"/>
      <c r="F6018" s="28"/>
      <c r="G6018" s="33">
        <f t="shared" si="171"/>
        <v>0</v>
      </c>
    </row>
    <row r="6019" spans="1:7" ht="14.25" thickBot="1">
      <c r="A6019" s="211" t="s">
        <v>513</v>
      </c>
      <c r="B6019" s="216" t="str">
        <f ca="1">_xlfn.CONCAT(B5988,A6019)</f>
        <v>62C4797-ad</v>
      </c>
      <c r="C6019" s="24"/>
      <c r="D6019" s="185"/>
      <c r="E6019" s="29"/>
      <c r="F6019" s="28"/>
      <c r="G6019" s="33">
        <f t="shared" si="171"/>
        <v>0</v>
      </c>
    </row>
    <row r="6020" spans="1:7" ht="14.25" thickBot="1">
      <c r="A6020" s="211" t="s">
        <v>514</v>
      </c>
      <c r="B6020" s="216" t="str">
        <f ca="1">_xlfn.CONCAT(B5988,A6020)</f>
        <v>62C4797-ae</v>
      </c>
      <c r="C6020" s="17"/>
      <c r="D6020" s="192"/>
      <c r="E6020" s="18"/>
      <c r="F6020" s="22" t="s">
        <v>26</v>
      </c>
      <c r="G6020" s="23">
        <f>SUM(G6014:G6019)</f>
        <v>3012.4034374999992</v>
      </c>
    </row>
    <row r="6021" spans="1:7" ht="15.75" thickBot="1">
      <c r="A6021" s="211" t="s">
        <v>515</v>
      </c>
      <c r="B6021" s="216" t="str">
        <f ca="1">_xlfn.CONCAT(B5988,A6021)</f>
        <v>62C4797-af</v>
      </c>
      <c r="C6021" s="10" t="s">
        <v>27</v>
      </c>
      <c r="D6021" s="190"/>
      <c r="E6021" s="11"/>
      <c r="F6021" s="12"/>
      <c r="G6021" s="13"/>
    </row>
    <row r="6022" spans="1:7" ht="14.25" thickBot="1">
      <c r="A6022" s="211" t="s">
        <v>516</v>
      </c>
      <c r="B6022" s="216" t="str">
        <f ca="1">_xlfn.CONCAT(B5988,A6022)</f>
        <v>62C4797-ag</v>
      </c>
      <c r="C6022" s="14" t="s">
        <v>1</v>
      </c>
      <c r="D6022" s="15" t="s">
        <v>28</v>
      </c>
      <c r="E6022" s="15" t="s">
        <v>20</v>
      </c>
      <c r="F6022" s="16" t="s">
        <v>21</v>
      </c>
      <c r="G6022" s="15" t="s">
        <v>5</v>
      </c>
    </row>
    <row r="6023" spans="1:7">
      <c r="A6023" s="211" t="s">
        <v>517</v>
      </c>
      <c r="B6023" s="216" t="str">
        <f ca="1">_xlfn.CONCAT(B5988,A6023)</f>
        <v>62C4797-ah</v>
      </c>
      <c r="C6023" s="30" t="s">
        <v>29</v>
      </c>
      <c r="D6023" s="186">
        <f>'H-MO'!$N$77</f>
        <v>725918.52892505517</v>
      </c>
      <c r="E6023" s="31">
        <f>+D6023/8</f>
        <v>90739.816115631897</v>
      </c>
      <c r="F6023" s="32">
        <v>0.18</v>
      </c>
      <c r="G6023" s="33">
        <f>+E6023*F6023</f>
        <v>16333.166900813741</v>
      </c>
    </row>
    <row r="6024" spans="1:7">
      <c r="A6024" s="211" t="s">
        <v>518</v>
      </c>
      <c r="B6024" s="216" t="str">
        <f ca="1">_xlfn.CONCAT(B5988,A6024)</f>
        <v>62C4797-ai</v>
      </c>
      <c r="C6024" s="34" t="s">
        <v>30</v>
      </c>
      <c r="D6024" s="187">
        <f>'H-MO'!$N$86</f>
        <v>685561.39085756091</v>
      </c>
      <c r="E6024" s="29">
        <f>+D6024/8</f>
        <v>85695.173857195114</v>
      </c>
      <c r="F6024" s="28">
        <v>0</v>
      </c>
      <c r="G6024" s="33">
        <f>+E6024*F6024</f>
        <v>0</v>
      </c>
    </row>
    <row r="6025" spans="1:7" ht="14.25" thickBot="1">
      <c r="A6025" s="211" t="s">
        <v>519</v>
      </c>
      <c r="B6025" s="216" t="str">
        <f ca="1">_xlfn.CONCAT(B5988,A6025)</f>
        <v>62C4797-aj</v>
      </c>
      <c r="C6025" s="34"/>
      <c r="D6025" s="187"/>
      <c r="E6025" s="29"/>
      <c r="F6025" s="28"/>
      <c r="G6025" s="33">
        <f>+E6025*F6025</f>
        <v>0</v>
      </c>
    </row>
    <row r="6026" spans="1:7" ht="14.25" thickBot="1">
      <c r="A6026" s="211" t="s">
        <v>520</v>
      </c>
      <c r="B6026" s="216" t="str">
        <f ca="1">_xlfn.CONCAT(B5988,A6026)</f>
        <v>62C4797-ak</v>
      </c>
      <c r="C6026" s="34"/>
      <c r="D6026" s="185"/>
      <c r="E6026" s="26"/>
      <c r="F6026" s="36" t="s">
        <v>31</v>
      </c>
      <c r="G6026" s="23">
        <f>SUM(G6023:G6025)</f>
        <v>16333.166900813741</v>
      </c>
    </row>
    <row r="6027" spans="1:7" ht="14.25" thickBot="1">
      <c r="A6027" s="211" t="s">
        <v>521</v>
      </c>
      <c r="B6027" s="216" t="str">
        <f ca="1">_xlfn.CONCAT(B5988,A6027)</f>
        <v>62C4797-al</v>
      </c>
      <c r="C6027" s="37"/>
      <c r="E6027" s="38"/>
      <c r="F6027" s="22"/>
      <c r="G6027" s="39"/>
    </row>
    <row r="6028" spans="1:7" ht="16.5" thickBot="1">
      <c r="A6028" s="211" t="s">
        <v>522</v>
      </c>
      <c r="B6028" s="216" t="str">
        <f ca="1">_xlfn.CONCAT(B5988,A6028)</f>
        <v>62C4797-am</v>
      </c>
      <c r="C6028" s="40"/>
      <c r="D6028" s="193"/>
      <c r="E6028" s="41"/>
      <c r="F6028" s="42"/>
      <c r="G6028" s="43">
        <f>+G6011+G6020+G6026</f>
        <v>81765.570338313744</v>
      </c>
    </row>
    <row r="6029" spans="1:7" ht="21.75" thickBot="1">
      <c r="B6029" s="212" t="s">
        <v>550</v>
      </c>
      <c r="C6029" s="2"/>
      <c r="D6029" s="183"/>
      <c r="F6029" s="4"/>
      <c r="G6029" s="5"/>
    </row>
    <row r="6030" spans="1:7" ht="18.75">
      <c r="A6030" s="213"/>
      <c r="B6030" s="214">
        <v>138</v>
      </c>
      <c r="C6030" s="242" t="str">
        <f ca="1">_xlfn.XLOOKUP(B6030,Cantidades!$A$10:$A$314,Cantidades!$C$10:$C$314,,0,1)</f>
        <v>Suministro e instalación de cable de cobre #4 AWG.</v>
      </c>
      <c r="D6030" s="243"/>
      <c r="E6030" s="243"/>
      <c r="F6030" s="243"/>
      <c r="G6030" s="244"/>
    </row>
    <row r="6031" spans="1:7" ht="19.5" thickBot="1">
      <c r="A6031" s="215"/>
      <c r="B6031" s="216" t="s">
        <v>550</v>
      </c>
      <c r="C6031" s="177"/>
      <c r="D6031" s="189"/>
      <c r="E6031" s="178"/>
      <c r="F6031" s="179" t="s">
        <v>636</v>
      </c>
      <c r="G6031" s="209" t="str">
        <f ca="1">B6032</f>
        <v>1FB19758-</v>
      </c>
    </row>
    <row r="6032" spans="1:7" ht="15.75" thickBot="1">
      <c r="B6032" s="212" t="str">
        <f ca="1">_xlfn.XLOOKUP(C6030,Cantidades!$C$1:$C$314,Cantidades!$B$1:$B$314,"",0,1)</f>
        <v>1FB19758-</v>
      </c>
      <c r="C6032" s="10" t="s">
        <v>0</v>
      </c>
      <c r="D6032" s="190"/>
      <c r="E6032" s="11"/>
      <c r="F6032" s="12"/>
      <c r="G6032" s="13"/>
    </row>
    <row r="6033" spans="1:8" ht="14.25" thickBot="1">
      <c r="A6033" s="215"/>
      <c r="B6033" s="216" t="s">
        <v>550</v>
      </c>
      <c r="C6033" s="14" t="s">
        <v>1</v>
      </c>
      <c r="D6033" s="15" t="s">
        <v>2</v>
      </c>
      <c r="E6033" s="15" t="s">
        <v>3</v>
      </c>
      <c r="F6033" s="16" t="s">
        <v>4</v>
      </c>
      <c r="G6033" s="15" t="s">
        <v>5</v>
      </c>
    </row>
    <row r="6034" spans="1:8">
      <c r="A6034" s="211" t="s">
        <v>484</v>
      </c>
      <c r="B6034" s="216" t="str">
        <f ca="1">_xlfn.CONCAT(B6032,A6034)</f>
        <v>1FB19758-A</v>
      </c>
      <c r="C6034" s="17" t="str">
        <f>_xlfn.XLOOKUP(H6034,'Materiales unitario'!$A$1:$A$2500,'Materiales unitario'!B$1:B$2500,,0,1)</f>
        <v>Cable de cobre aislado #4 AWG-THHN/THWN Color negro</v>
      </c>
      <c r="D6034" s="184" t="str">
        <f>_xlfn.XLOOKUP(H6034,'Materiales unitario'!A$1:A$2500,'Materiales unitario'!C$1:C$2500,,0,1)</f>
        <v>ml</v>
      </c>
      <c r="E6034" s="197">
        <f>_xlfn.XLOOKUP(H6034,'Materiales unitario'!$A$1:$A$2500,'Materiales unitario'!D$1:D$2500,,0,1)</f>
        <v>16320</v>
      </c>
      <c r="F6034" s="19">
        <v>1.1000000000000001</v>
      </c>
      <c r="G6034" s="20">
        <f>+E6034*F6034</f>
        <v>17952</v>
      </c>
      <c r="H6034" s="211" t="s">
        <v>271</v>
      </c>
    </row>
    <row r="6035" spans="1:8">
      <c r="A6035" s="211" t="s">
        <v>485</v>
      </c>
      <c r="B6035" s="216" t="str">
        <f ca="1">_xlfn.CONCAT(B6032,A6035)</f>
        <v>1FB19758-B</v>
      </c>
      <c r="C6035" s="17" t="str">
        <f>_xlfn.XLOOKUP(H6035,'Materiales unitario'!$A$1:$A$2500,'Materiales unitario'!B$1:B$2500,,0,1)</f>
        <v>Borna terminal estañada de ojo tipo pala #4 AWG</v>
      </c>
      <c r="D6035" s="184" t="str">
        <f>_xlfn.XLOOKUP(H6035,'Materiales unitario'!A$1:A$2500,'Materiales unitario'!C$1:C$2500,,0,1)</f>
        <v>un</v>
      </c>
      <c r="E6035" s="197">
        <f>_xlfn.XLOOKUP(H6035,'Materiales unitario'!$A$1:$A$2500,'Materiales unitario'!D$1:D$2500,,0,1)</f>
        <v>1860</v>
      </c>
      <c r="F6035" s="19">
        <v>0.6</v>
      </c>
      <c r="G6035" s="20">
        <f>+E6035*F6035</f>
        <v>1116</v>
      </c>
      <c r="H6035" s="211" t="s">
        <v>253</v>
      </c>
    </row>
    <row r="6036" spans="1:8">
      <c r="A6036" s="211" t="s">
        <v>486</v>
      </c>
      <c r="B6036" s="216" t="str">
        <f ca="1">_xlfn.CONCAT(B6032,A6036)</f>
        <v>1FB19758-C</v>
      </c>
      <c r="C6036" s="17" t="str">
        <f>_xlfn.XLOOKUP(H6036,'Materiales unitario'!$A$1:$A$2500,'Materiales unitario'!B$1:B$2500,,0,1)</f>
        <v>Termoencogible</v>
      </c>
      <c r="D6036" s="184" t="str">
        <f>_xlfn.XLOOKUP(H6036,'Materiales unitario'!A$1:A$2500,'Materiales unitario'!C$1:C$2500,,0,1)</f>
        <v>un</v>
      </c>
      <c r="E6036" s="197">
        <f>_xlfn.XLOOKUP(H6036,'Materiales unitario'!$A$1:$A$2500,'Materiales unitario'!D$1:D$2500,,0,1)</f>
        <v>5000</v>
      </c>
      <c r="F6036" s="19">
        <v>1</v>
      </c>
      <c r="G6036" s="20">
        <f>+E6036*F6036</f>
        <v>5000</v>
      </c>
      <c r="H6036" s="211" t="s">
        <v>373</v>
      </c>
    </row>
    <row r="6037" spans="1:8">
      <c r="A6037" s="211" t="s">
        <v>487</v>
      </c>
      <c r="B6037" s="216" t="str">
        <f ca="1">_xlfn.CONCAT(B6032,A6037)</f>
        <v>1FB19758-D</v>
      </c>
      <c r="C6037" s="17"/>
      <c r="D6037" s="184"/>
      <c r="E6037" s="197"/>
      <c r="F6037" s="19"/>
      <c r="G6037" s="20"/>
    </row>
    <row r="6038" spans="1:8">
      <c r="A6038" s="211" t="s">
        <v>488</v>
      </c>
      <c r="B6038" s="216" t="str">
        <f ca="1">_xlfn.CONCAT(B6032,A6038)</f>
        <v>1FB19758-E</v>
      </c>
      <c r="C6038" s="17"/>
      <c r="D6038" s="184"/>
      <c r="E6038" s="197"/>
      <c r="F6038" s="19"/>
      <c r="G6038" s="20"/>
    </row>
    <row r="6039" spans="1:8">
      <c r="A6039" s="211" t="s">
        <v>489</v>
      </c>
      <c r="B6039" s="216" t="str">
        <f ca="1">_xlfn.CONCAT(B6032,A6039)</f>
        <v>1FB19758-F</v>
      </c>
      <c r="C6039" s="17"/>
      <c r="D6039" s="184"/>
      <c r="E6039" s="197"/>
      <c r="F6039" s="19"/>
      <c r="G6039" s="20"/>
    </row>
    <row r="6040" spans="1:8">
      <c r="A6040" s="211" t="s">
        <v>490</v>
      </c>
      <c r="B6040" s="216" t="str">
        <f ca="1">_xlfn.CONCAT(B6032,A6040)</f>
        <v>1FB19758-G</v>
      </c>
      <c r="C6040" s="17"/>
      <c r="D6040" s="184"/>
      <c r="E6040" s="197"/>
      <c r="F6040" s="19"/>
      <c r="G6040" s="20"/>
    </row>
    <row r="6041" spans="1:8">
      <c r="A6041" s="211" t="s">
        <v>491</v>
      </c>
      <c r="B6041" s="216" t="str">
        <f ca="1">_xlfn.CONCAT(B6032,A6041)</f>
        <v>1FB19758-H</v>
      </c>
      <c r="C6041" s="17"/>
      <c r="D6041" s="184"/>
      <c r="E6041" s="197"/>
      <c r="F6041" s="19"/>
      <c r="G6041" s="20"/>
    </row>
    <row r="6042" spans="1:8">
      <c r="A6042" s="211" t="s">
        <v>492</v>
      </c>
      <c r="B6042" s="216" t="str">
        <f ca="1">_xlfn.CONCAT(B6032,A6042)</f>
        <v>1FB19758-I</v>
      </c>
      <c r="C6042" s="17"/>
      <c r="D6042" s="184"/>
      <c r="E6042" s="197"/>
      <c r="F6042" s="19"/>
      <c r="G6042" s="20"/>
    </row>
    <row r="6043" spans="1:8">
      <c r="A6043" s="211" t="s">
        <v>493</v>
      </c>
      <c r="B6043" s="216" t="str">
        <f ca="1">_xlfn.CONCAT(B6032,A6043)</f>
        <v>1FB19758-J</v>
      </c>
      <c r="C6043" s="17"/>
      <c r="D6043" s="184"/>
      <c r="E6043" s="197"/>
      <c r="F6043" s="19"/>
      <c r="G6043" s="20"/>
    </row>
    <row r="6044" spans="1:8">
      <c r="A6044" s="211" t="s">
        <v>494</v>
      </c>
      <c r="B6044" s="216" t="str">
        <f ca="1">_xlfn.CONCAT(B6032,A6044)</f>
        <v>1FB19758-K</v>
      </c>
      <c r="C6044" s="17"/>
      <c r="D6044" s="184"/>
      <c r="E6044" s="197"/>
      <c r="F6044" s="19"/>
      <c r="G6044" s="20"/>
    </row>
    <row r="6045" spans="1:8">
      <c r="A6045" s="211" t="s">
        <v>495</v>
      </c>
      <c r="B6045" s="216" t="str">
        <f ca="1">_xlfn.CONCAT(B6032,A6045)</f>
        <v>1FB19758-L</v>
      </c>
      <c r="C6045" s="17"/>
      <c r="D6045" s="184"/>
      <c r="E6045" s="197"/>
      <c r="F6045" s="19"/>
      <c r="G6045" s="20"/>
    </row>
    <row r="6046" spans="1:8">
      <c r="A6046" s="211" t="s">
        <v>496</v>
      </c>
      <c r="B6046" s="216" t="str">
        <f ca="1">_xlfn.CONCAT(B6032,A6046)</f>
        <v>1FB19758-M</v>
      </c>
      <c r="C6046" s="17"/>
      <c r="D6046" s="184"/>
      <c r="E6046" s="197"/>
      <c r="F6046" s="19"/>
      <c r="G6046" s="20"/>
    </row>
    <row r="6047" spans="1:8">
      <c r="A6047" s="211" t="s">
        <v>497</v>
      </c>
      <c r="B6047" s="216" t="str">
        <f ca="1">_xlfn.CONCAT(B6032,A6047)</f>
        <v>1FB19758-N</v>
      </c>
      <c r="C6047" s="17"/>
      <c r="D6047" s="184"/>
      <c r="E6047" s="197"/>
      <c r="F6047" s="19"/>
      <c r="G6047" s="20"/>
    </row>
    <row r="6048" spans="1:8">
      <c r="A6048" s="211" t="s">
        <v>498</v>
      </c>
      <c r="B6048" s="216" t="str">
        <f ca="1">_xlfn.CONCAT(B6032,A6048)</f>
        <v>1FB19758-O</v>
      </c>
      <c r="C6048" s="17"/>
      <c r="D6048" s="184"/>
      <c r="E6048" s="197"/>
      <c r="F6048" s="19"/>
      <c r="G6048" s="20"/>
    </row>
    <row r="6049" spans="1:7">
      <c r="A6049" s="211" t="s">
        <v>499</v>
      </c>
      <c r="B6049" s="216" t="str">
        <f ca="1">_xlfn.CONCAT(B6032,A6049)</f>
        <v>1FB19758-P</v>
      </c>
      <c r="C6049" s="17"/>
      <c r="D6049" s="184"/>
      <c r="E6049" s="197"/>
      <c r="F6049" s="19"/>
      <c r="G6049" s="20"/>
    </row>
    <row r="6050" spans="1:7">
      <c r="A6050" s="211" t="s">
        <v>500</v>
      </c>
      <c r="B6050" s="216" t="str">
        <f ca="1">_xlfn.CONCAT(B6032,A6050)</f>
        <v>1FB19758-Q</v>
      </c>
      <c r="C6050" s="17"/>
      <c r="D6050" s="184"/>
      <c r="E6050" s="197"/>
      <c r="F6050" s="19"/>
      <c r="G6050" s="20"/>
    </row>
    <row r="6051" spans="1:7">
      <c r="A6051" s="211" t="s">
        <v>501</v>
      </c>
      <c r="B6051" s="216" t="str">
        <f ca="1">_xlfn.CONCAT(B6032,A6051)</f>
        <v>1FB19758-R</v>
      </c>
      <c r="C6051" s="17"/>
      <c r="D6051" s="184"/>
      <c r="E6051" s="197"/>
      <c r="F6051" s="19"/>
      <c r="G6051" s="20"/>
    </row>
    <row r="6052" spans="1:7">
      <c r="A6052" s="211" t="s">
        <v>502</v>
      </c>
      <c r="B6052" s="216" t="str">
        <f ca="1">_xlfn.CONCAT(B6032,A6052)</f>
        <v>1FB19758-S</v>
      </c>
      <c r="C6052" s="17"/>
      <c r="D6052" s="184"/>
      <c r="E6052" s="197"/>
      <c r="F6052" s="19"/>
      <c r="G6052" s="20"/>
    </row>
    <row r="6053" spans="1:7">
      <c r="A6053" s="211" t="s">
        <v>503</v>
      </c>
      <c r="B6053" s="216" t="str">
        <f ca="1">_xlfn.CONCAT(B6032,A6053)</f>
        <v>1FB19758-T</v>
      </c>
      <c r="C6053" s="17"/>
      <c r="D6053" s="184"/>
      <c r="E6053" s="197"/>
      <c r="F6053" s="19"/>
      <c r="G6053" s="20"/>
    </row>
    <row r="6054" spans="1:7" ht="14.25" thickBot="1">
      <c r="A6054" s="211" t="s">
        <v>504</v>
      </c>
      <c r="B6054" s="216" t="str">
        <f ca="1">_xlfn.CONCAT(B6032,A6054)</f>
        <v>1FB19758-U</v>
      </c>
      <c r="C6054" s="17"/>
      <c r="D6054" s="184"/>
      <c r="E6054" s="197"/>
      <c r="F6054" s="19"/>
      <c r="G6054" s="20"/>
    </row>
    <row r="6055" spans="1:7" ht="14.25" thickBot="1">
      <c r="A6055" s="211" t="s">
        <v>505</v>
      </c>
      <c r="B6055" s="216" t="str">
        <f ca="1">_xlfn.CONCAT(B6032,A6055)</f>
        <v>1FB19758-V</v>
      </c>
      <c r="C6055" s="17" t="s">
        <v>17</v>
      </c>
      <c r="D6055" s="192" t="s">
        <v>17</v>
      </c>
      <c r="E6055" s="18"/>
      <c r="F6055" s="22" t="s">
        <v>18</v>
      </c>
      <c r="G6055" s="23">
        <f>SUM(G6034:G6054)</f>
        <v>24068</v>
      </c>
    </row>
    <row r="6056" spans="1:7" ht="15.75" thickBot="1">
      <c r="A6056" s="211" t="s">
        <v>506</v>
      </c>
      <c r="B6056" s="216" t="str">
        <f ca="1">_xlfn.CONCAT(B6032,A6056)</f>
        <v>1FB19758-W</v>
      </c>
      <c r="C6056" s="10" t="s">
        <v>19</v>
      </c>
      <c r="D6056" s="190"/>
      <c r="E6056" s="11"/>
      <c r="F6056" s="12"/>
      <c r="G6056" s="13"/>
    </row>
    <row r="6057" spans="1:7" ht="14.25" thickBot="1">
      <c r="A6057" s="211" t="s">
        <v>507</v>
      </c>
      <c r="B6057" s="216" t="str">
        <f ca="1">_xlfn.CONCAT(B6032,A6057)</f>
        <v>1FB19758-X</v>
      </c>
      <c r="C6057" s="14" t="s">
        <v>1</v>
      </c>
      <c r="D6057" s="15"/>
      <c r="E6057" s="15" t="s">
        <v>20</v>
      </c>
      <c r="F6057" s="16" t="s">
        <v>21</v>
      </c>
      <c r="G6057" s="15" t="s">
        <v>5</v>
      </c>
    </row>
    <row r="6058" spans="1:7">
      <c r="A6058" s="211" t="s">
        <v>508</v>
      </c>
      <c r="B6058" s="216" t="str">
        <f ca="1">_xlfn.CONCAT(B6032,A6058)</f>
        <v>1FB19758-Y</v>
      </c>
      <c r="C6058" s="24" t="s">
        <v>22</v>
      </c>
      <c r="D6058" s="184"/>
      <c r="E6058" s="25">
        <f>_xlfn.XLOOKUP(C6058,'H-MO'!B$7:B$30,'H-MO'!D$7:D$30,,0,1)</f>
        <v>2436.5624999999995</v>
      </c>
      <c r="F6058" s="19">
        <v>0.06</v>
      </c>
      <c r="G6058" s="33">
        <f t="shared" ref="G6058:G6063" si="172">+E6058*F6058</f>
        <v>146.19374999999997</v>
      </c>
    </row>
    <row r="6059" spans="1:7">
      <c r="A6059" s="211" t="s">
        <v>509</v>
      </c>
      <c r="B6059" s="216" t="str">
        <f ca="1">_xlfn.CONCAT(B6032,A6059)</f>
        <v>1FB19758-Z</v>
      </c>
      <c r="C6059" s="24" t="s">
        <v>23</v>
      </c>
      <c r="D6059" s="184"/>
      <c r="E6059" s="25">
        <f>_xlfn.XLOOKUP(C6059,'H-MO'!B$7:B$30,'H-MO'!D$7:D$30,,0,1)</f>
        <v>1461.9374999999998</v>
      </c>
      <c r="F6059" s="19">
        <v>5.0000000000000001E-3</v>
      </c>
      <c r="G6059" s="33">
        <f t="shared" si="172"/>
        <v>7.309687499999999</v>
      </c>
    </row>
    <row r="6060" spans="1:7">
      <c r="A6060" s="211" t="s">
        <v>510</v>
      </c>
      <c r="B6060" s="216" t="str">
        <f ca="1">_xlfn.CONCAT(B6032,A6060)</f>
        <v>1FB19758-aa</v>
      </c>
      <c r="C6060" s="24" t="s">
        <v>24</v>
      </c>
      <c r="D6060" s="185"/>
      <c r="E6060" s="25">
        <f>_xlfn.XLOOKUP(C6060,'H-MO'!B$7:B$30,'H-MO'!D$7:D$30,,0,1)</f>
        <v>29238.749999999996</v>
      </c>
      <c r="F6060" s="28">
        <v>0.02</v>
      </c>
      <c r="G6060" s="33">
        <f t="shared" si="172"/>
        <v>584.77499999999998</v>
      </c>
    </row>
    <row r="6061" spans="1:7">
      <c r="A6061" s="211" t="s">
        <v>511</v>
      </c>
      <c r="B6061" s="216" t="str">
        <f ca="1">_xlfn.CONCAT(B6032,A6061)</f>
        <v>1FB19758-ab</v>
      </c>
      <c r="C6061" s="24" t="s">
        <v>25</v>
      </c>
      <c r="D6061" s="185"/>
      <c r="E6061" s="25">
        <f>_xlfn.XLOOKUP(C6061,'H-MO'!B$7:B$30,'H-MO'!D$7:D$30,,0,1)</f>
        <v>2761.4374999999995</v>
      </c>
      <c r="F6061" s="28">
        <v>0.08</v>
      </c>
      <c r="G6061" s="33">
        <f t="shared" si="172"/>
        <v>220.91499999999996</v>
      </c>
    </row>
    <row r="6062" spans="1:7">
      <c r="A6062" s="211" t="s">
        <v>512</v>
      </c>
      <c r="B6062" s="216" t="str">
        <f ca="1">_xlfn.CONCAT(B6032,A6062)</f>
        <v>1FB19758-ac</v>
      </c>
      <c r="C6062" s="24"/>
      <c r="D6062" s="185"/>
      <c r="E6062" s="29"/>
      <c r="F6062" s="28"/>
      <c r="G6062" s="33">
        <f t="shared" si="172"/>
        <v>0</v>
      </c>
    </row>
    <row r="6063" spans="1:7" ht="14.25" thickBot="1">
      <c r="A6063" s="211" t="s">
        <v>513</v>
      </c>
      <c r="B6063" s="216" t="str">
        <f ca="1">_xlfn.CONCAT(B6032,A6063)</f>
        <v>1FB19758-ad</v>
      </c>
      <c r="C6063" s="24"/>
      <c r="D6063" s="185"/>
      <c r="E6063" s="29"/>
      <c r="F6063" s="28"/>
      <c r="G6063" s="33">
        <f t="shared" si="172"/>
        <v>0</v>
      </c>
    </row>
    <row r="6064" spans="1:7" ht="14.25" thickBot="1">
      <c r="A6064" s="211" t="s">
        <v>514</v>
      </c>
      <c r="B6064" s="216" t="str">
        <f ca="1">_xlfn.CONCAT(B6032,A6064)</f>
        <v>1FB19758-ae</v>
      </c>
      <c r="C6064" s="17"/>
      <c r="D6064" s="192"/>
      <c r="E6064" s="18"/>
      <c r="F6064" s="22" t="s">
        <v>26</v>
      </c>
      <c r="G6064" s="23">
        <f>SUM(G6058:G6063)</f>
        <v>959.19343749999985</v>
      </c>
    </row>
    <row r="6065" spans="1:8" ht="15.75" thickBot="1">
      <c r="A6065" s="211" t="s">
        <v>515</v>
      </c>
      <c r="B6065" s="216" t="str">
        <f ca="1">_xlfn.CONCAT(B6032,A6065)</f>
        <v>1FB19758-af</v>
      </c>
      <c r="C6065" s="10" t="s">
        <v>27</v>
      </c>
      <c r="D6065" s="190"/>
      <c r="E6065" s="11"/>
      <c r="F6065" s="12"/>
      <c r="G6065" s="13"/>
    </row>
    <row r="6066" spans="1:8" ht="14.25" thickBot="1">
      <c r="A6066" s="211" t="s">
        <v>516</v>
      </c>
      <c r="B6066" s="216" t="str">
        <f ca="1">_xlfn.CONCAT(B6032,A6066)</f>
        <v>1FB19758-ag</v>
      </c>
      <c r="C6066" s="14" t="s">
        <v>1</v>
      </c>
      <c r="D6066" s="15" t="s">
        <v>28</v>
      </c>
      <c r="E6066" s="15" t="s">
        <v>20</v>
      </c>
      <c r="F6066" s="16" t="s">
        <v>21</v>
      </c>
      <c r="G6066" s="15" t="s">
        <v>5</v>
      </c>
    </row>
    <row r="6067" spans="1:8">
      <c r="A6067" s="211" t="s">
        <v>517</v>
      </c>
      <c r="B6067" s="216" t="str">
        <f ca="1">_xlfn.CONCAT(B6032,A6067)</f>
        <v>1FB19758-ah</v>
      </c>
      <c r="C6067" s="30" t="s">
        <v>29</v>
      </c>
      <c r="D6067" s="186">
        <f>'H-MO'!$N$77</f>
        <v>725918.52892505517</v>
      </c>
      <c r="E6067" s="31">
        <f>+D6067/8</f>
        <v>90739.816115631897</v>
      </c>
      <c r="F6067" s="32">
        <v>0.09</v>
      </c>
      <c r="G6067" s="33">
        <f>+E6067*F6067</f>
        <v>8166.5834504068707</v>
      </c>
    </row>
    <row r="6068" spans="1:8">
      <c r="A6068" s="211" t="s">
        <v>518</v>
      </c>
      <c r="B6068" s="216" t="str">
        <f ca="1">_xlfn.CONCAT(B6032,A6068)</f>
        <v>1FB19758-ai</v>
      </c>
      <c r="C6068" s="34" t="s">
        <v>30</v>
      </c>
      <c r="D6068" s="187">
        <f>'H-MO'!$N$86</f>
        <v>685561.39085756091</v>
      </c>
      <c r="E6068" s="29">
        <f>+D6068/8</f>
        <v>85695.173857195114</v>
      </c>
      <c r="F6068" s="28">
        <v>0</v>
      </c>
      <c r="G6068" s="33">
        <f>+E6068*F6068</f>
        <v>0</v>
      </c>
    </row>
    <row r="6069" spans="1:8" ht="14.25" thickBot="1">
      <c r="A6069" s="211" t="s">
        <v>519</v>
      </c>
      <c r="B6069" s="216" t="str">
        <f ca="1">_xlfn.CONCAT(B6032,A6069)</f>
        <v>1FB19758-aj</v>
      </c>
      <c r="C6069" s="34"/>
      <c r="D6069" s="187"/>
      <c r="E6069" s="29"/>
      <c r="F6069" s="28"/>
      <c r="G6069" s="33">
        <f>+E6069*F6069</f>
        <v>0</v>
      </c>
    </row>
    <row r="6070" spans="1:8" ht="14.25" thickBot="1">
      <c r="A6070" s="211" t="s">
        <v>520</v>
      </c>
      <c r="B6070" s="216" t="str">
        <f ca="1">_xlfn.CONCAT(B6032,A6070)</f>
        <v>1FB19758-ak</v>
      </c>
      <c r="C6070" s="34"/>
      <c r="D6070" s="185"/>
      <c r="E6070" s="26"/>
      <c r="F6070" s="36" t="s">
        <v>31</v>
      </c>
      <c r="G6070" s="23">
        <f>SUM(G6067:G6069)</f>
        <v>8166.5834504068707</v>
      </c>
    </row>
    <row r="6071" spans="1:8" ht="14.25" thickBot="1">
      <c r="A6071" s="211" t="s">
        <v>521</v>
      </c>
      <c r="B6071" s="216" t="str">
        <f ca="1">_xlfn.CONCAT(B6032,A6071)</f>
        <v>1FB19758-al</v>
      </c>
      <c r="C6071" s="37"/>
      <c r="E6071" s="38"/>
      <c r="F6071" s="22"/>
      <c r="G6071" s="39"/>
    </row>
    <row r="6072" spans="1:8" ht="16.5" thickBot="1">
      <c r="A6072" s="211" t="s">
        <v>522</v>
      </c>
      <c r="B6072" s="216" t="str">
        <f ca="1">_xlfn.CONCAT(B6032,A6072)</f>
        <v>1FB19758-am</v>
      </c>
      <c r="C6072" s="40"/>
      <c r="D6072" s="193"/>
      <c r="E6072" s="41"/>
      <c r="F6072" s="42"/>
      <c r="G6072" s="43">
        <f>+G6055+G6064+G6070</f>
        <v>33193.776887906868</v>
      </c>
    </row>
    <row r="6073" spans="1:8" ht="21.75" thickBot="1">
      <c r="B6073" s="212" t="s">
        <v>550</v>
      </c>
      <c r="C6073" s="2"/>
      <c r="D6073" s="183"/>
      <c r="F6073" s="4"/>
      <c r="G6073" s="5"/>
    </row>
    <row r="6074" spans="1:8" ht="18.75">
      <c r="A6074" s="213"/>
      <c r="B6074" s="214">
        <v>139</v>
      </c>
      <c r="C6074" s="242" t="str">
        <f ca="1">_xlfn.XLOOKUP(B6074,Cantidades!$A$10:$A$314,Cantidades!$C$10:$C$314,,0,1)</f>
        <v>Suministro e instalación de cable de aluminio ACSR 2/0</v>
      </c>
      <c r="D6074" s="243"/>
      <c r="E6074" s="243"/>
      <c r="F6074" s="243"/>
      <c r="G6074" s="244"/>
    </row>
    <row r="6075" spans="1:8" ht="19.5" thickBot="1">
      <c r="A6075" s="215"/>
      <c r="B6075" s="216" t="s">
        <v>550</v>
      </c>
      <c r="C6075" s="177"/>
      <c r="D6075" s="189"/>
      <c r="E6075" s="178"/>
      <c r="F6075" s="179" t="s">
        <v>636</v>
      </c>
      <c r="G6075" s="209" t="str">
        <f ca="1">B6076</f>
        <v>241C39D4-</v>
      </c>
    </row>
    <row r="6076" spans="1:8" ht="15.75" thickBot="1">
      <c r="B6076" s="212" t="str">
        <f ca="1">_xlfn.XLOOKUP(C6074,Cantidades!$C$1:$C$314,Cantidades!$B$1:$B$314,"",0,1)</f>
        <v>241C39D4-</v>
      </c>
      <c r="C6076" s="10" t="s">
        <v>0</v>
      </c>
      <c r="D6076" s="190"/>
      <c r="E6076" s="11"/>
      <c r="F6076" s="12"/>
      <c r="G6076" s="13"/>
    </row>
    <row r="6077" spans="1:8" ht="14.25" thickBot="1">
      <c r="A6077" s="215"/>
      <c r="B6077" s="216" t="s">
        <v>550</v>
      </c>
      <c r="C6077" s="14" t="s">
        <v>1</v>
      </c>
      <c r="D6077" s="15" t="s">
        <v>2</v>
      </c>
      <c r="E6077" s="15" t="s">
        <v>3</v>
      </c>
      <c r="F6077" s="16" t="s">
        <v>4</v>
      </c>
      <c r="G6077" s="15" t="s">
        <v>5</v>
      </c>
    </row>
    <row r="6078" spans="1:8">
      <c r="A6078" s="211" t="s">
        <v>484</v>
      </c>
      <c r="B6078" s="216" t="str">
        <f ca="1">_xlfn.CONCAT(B6076,A6078)</f>
        <v>241C39D4-A</v>
      </c>
      <c r="C6078" s="17" t="str">
        <f>_xlfn.XLOOKUP(H6078,'Materiales unitario'!$A$1:$A$2500,'Materiales unitario'!B$1:B$2500,,0,1)</f>
        <v>Cable de aluminio ACSR 2/0</v>
      </c>
      <c r="D6078" s="184" t="str">
        <f>_xlfn.XLOOKUP(H6078,'Materiales unitario'!A$1:A$2500,'Materiales unitario'!C$1:C$2500,,0,1)</f>
        <v>ml</v>
      </c>
      <c r="E6078" s="197">
        <f>_xlfn.XLOOKUP(H6078,'Materiales unitario'!$A$1:$A$2500,'Materiales unitario'!D$1:D$2500,,0,1)</f>
        <v>9720</v>
      </c>
      <c r="F6078" s="19">
        <v>1.1000000000000001</v>
      </c>
      <c r="G6078" s="20">
        <f>+E6078*F6078</f>
        <v>10692</v>
      </c>
      <c r="H6078" s="211" t="s">
        <v>1236</v>
      </c>
    </row>
    <row r="6079" spans="1:8">
      <c r="A6079" s="211" t="s">
        <v>485</v>
      </c>
      <c r="B6079" s="216" t="str">
        <f ca="1">_xlfn.CONCAT(B6076,A6079)</f>
        <v>241C39D4-B</v>
      </c>
      <c r="C6079" s="17"/>
      <c r="D6079" s="184"/>
      <c r="E6079" s="197"/>
      <c r="F6079" s="19"/>
      <c r="G6079" s="20"/>
    </row>
    <row r="6080" spans="1:8">
      <c r="A6080" s="211" t="s">
        <v>486</v>
      </c>
      <c r="B6080" s="216" t="str">
        <f ca="1">_xlfn.CONCAT(B6076,A6080)</f>
        <v>241C39D4-C</v>
      </c>
      <c r="C6080" s="17"/>
      <c r="D6080" s="184"/>
      <c r="E6080" s="197"/>
      <c r="F6080" s="19"/>
      <c r="G6080" s="20"/>
    </row>
    <row r="6081" spans="1:7">
      <c r="A6081" s="211" t="s">
        <v>487</v>
      </c>
      <c r="B6081" s="216" t="str">
        <f ca="1">_xlfn.CONCAT(B6076,A6081)</f>
        <v>241C39D4-D</v>
      </c>
      <c r="C6081" s="17"/>
      <c r="D6081" s="184"/>
      <c r="E6081" s="197"/>
      <c r="F6081" s="19"/>
      <c r="G6081" s="20"/>
    </row>
    <row r="6082" spans="1:7">
      <c r="A6082" s="211" t="s">
        <v>488</v>
      </c>
      <c r="B6082" s="216" t="str">
        <f ca="1">_xlfn.CONCAT(B6076,A6082)</f>
        <v>241C39D4-E</v>
      </c>
      <c r="C6082" s="17"/>
      <c r="D6082" s="184"/>
      <c r="E6082" s="197"/>
      <c r="F6082" s="19"/>
      <c r="G6082" s="20"/>
    </row>
    <row r="6083" spans="1:7">
      <c r="A6083" s="211" t="s">
        <v>489</v>
      </c>
      <c r="B6083" s="216" t="str">
        <f ca="1">_xlfn.CONCAT(B6076,A6083)</f>
        <v>241C39D4-F</v>
      </c>
      <c r="C6083" s="17"/>
      <c r="D6083" s="184"/>
      <c r="E6083" s="197"/>
      <c r="F6083" s="19"/>
      <c r="G6083" s="20"/>
    </row>
    <row r="6084" spans="1:7">
      <c r="A6084" s="211" t="s">
        <v>490</v>
      </c>
      <c r="B6084" s="216" t="str">
        <f ca="1">_xlfn.CONCAT(B6076,A6084)</f>
        <v>241C39D4-G</v>
      </c>
      <c r="C6084" s="17"/>
      <c r="D6084" s="184"/>
      <c r="E6084" s="197"/>
      <c r="F6084" s="19"/>
      <c r="G6084" s="20"/>
    </row>
    <row r="6085" spans="1:7">
      <c r="A6085" s="211" t="s">
        <v>491</v>
      </c>
      <c r="B6085" s="216" t="str">
        <f ca="1">_xlfn.CONCAT(B6076,A6085)</f>
        <v>241C39D4-H</v>
      </c>
      <c r="C6085" s="17"/>
      <c r="D6085" s="184"/>
      <c r="E6085" s="197"/>
      <c r="F6085" s="19"/>
      <c r="G6085" s="20"/>
    </row>
    <row r="6086" spans="1:7">
      <c r="A6086" s="211" t="s">
        <v>492</v>
      </c>
      <c r="B6086" s="216" t="str">
        <f ca="1">_xlfn.CONCAT(B6076,A6086)</f>
        <v>241C39D4-I</v>
      </c>
      <c r="C6086" s="17"/>
      <c r="D6086" s="184"/>
      <c r="E6086" s="197"/>
      <c r="F6086" s="19"/>
      <c r="G6086" s="20"/>
    </row>
    <row r="6087" spans="1:7">
      <c r="A6087" s="211" t="s">
        <v>493</v>
      </c>
      <c r="B6087" s="216" t="str">
        <f ca="1">_xlfn.CONCAT(B6076,A6087)</f>
        <v>241C39D4-J</v>
      </c>
      <c r="C6087" s="17"/>
      <c r="D6087" s="184"/>
      <c r="E6087" s="197"/>
      <c r="F6087" s="19"/>
      <c r="G6087" s="20"/>
    </row>
    <row r="6088" spans="1:7">
      <c r="A6088" s="211" t="s">
        <v>494</v>
      </c>
      <c r="B6088" s="216" t="str">
        <f ca="1">_xlfn.CONCAT(B6076,A6088)</f>
        <v>241C39D4-K</v>
      </c>
      <c r="C6088" s="17"/>
      <c r="D6088" s="184"/>
      <c r="E6088" s="197"/>
      <c r="F6088" s="19"/>
      <c r="G6088" s="20"/>
    </row>
    <row r="6089" spans="1:7">
      <c r="A6089" s="211" t="s">
        <v>495</v>
      </c>
      <c r="B6089" s="216" t="str">
        <f ca="1">_xlfn.CONCAT(B6076,A6089)</f>
        <v>241C39D4-L</v>
      </c>
      <c r="C6089" s="17"/>
      <c r="D6089" s="184"/>
      <c r="E6089" s="197"/>
      <c r="F6089" s="19"/>
      <c r="G6089" s="20"/>
    </row>
    <row r="6090" spans="1:7">
      <c r="A6090" s="211" t="s">
        <v>496</v>
      </c>
      <c r="B6090" s="216" t="str">
        <f ca="1">_xlfn.CONCAT(B6076,A6090)</f>
        <v>241C39D4-M</v>
      </c>
      <c r="C6090" s="17"/>
      <c r="D6090" s="184"/>
      <c r="E6090" s="197"/>
      <c r="F6090" s="19"/>
      <c r="G6090" s="20"/>
    </row>
    <row r="6091" spans="1:7">
      <c r="A6091" s="211" t="s">
        <v>497</v>
      </c>
      <c r="B6091" s="216" t="str">
        <f ca="1">_xlfn.CONCAT(B6076,A6091)</f>
        <v>241C39D4-N</v>
      </c>
      <c r="C6091" s="17"/>
      <c r="D6091" s="184"/>
      <c r="E6091" s="197"/>
      <c r="F6091" s="19"/>
      <c r="G6091" s="20"/>
    </row>
    <row r="6092" spans="1:7">
      <c r="A6092" s="211" t="s">
        <v>498</v>
      </c>
      <c r="B6092" s="216" t="str">
        <f ca="1">_xlfn.CONCAT(B6076,A6092)</f>
        <v>241C39D4-O</v>
      </c>
      <c r="C6092" s="17"/>
      <c r="D6092" s="184"/>
      <c r="E6092" s="197"/>
      <c r="F6092" s="19"/>
      <c r="G6092" s="20"/>
    </row>
    <row r="6093" spans="1:7">
      <c r="A6093" s="211" t="s">
        <v>499</v>
      </c>
      <c r="B6093" s="216" t="str">
        <f ca="1">_xlfn.CONCAT(B6076,A6093)</f>
        <v>241C39D4-P</v>
      </c>
      <c r="C6093" s="17"/>
      <c r="D6093" s="184"/>
      <c r="E6093" s="197"/>
      <c r="F6093" s="19"/>
      <c r="G6093" s="20"/>
    </row>
    <row r="6094" spans="1:7">
      <c r="A6094" s="211" t="s">
        <v>500</v>
      </c>
      <c r="B6094" s="216" t="str">
        <f ca="1">_xlfn.CONCAT(B6076,A6094)</f>
        <v>241C39D4-Q</v>
      </c>
      <c r="C6094" s="17"/>
      <c r="D6094" s="184"/>
      <c r="E6094" s="197"/>
      <c r="F6094" s="19"/>
      <c r="G6094" s="20"/>
    </row>
    <row r="6095" spans="1:7">
      <c r="A6095" s="211" t="s">
        <v>501</v>
      </c>
      <c r="B6095" s="216" t="str">
        <f ca="1">_xlfn.CONCAT(B6076,A6095)</f>
        <v>241C39D4-R</v>
      </c>
      <c r="C6095" s="17"/>
      <c r="D6095" s="184"/>
      <c r="E6095" s="197"/>
      <c r="F6095" s="19"/>
      <c r="G6095" s="20"/>
    </row>
    <row r="6096" spans="1:7">
      <c r="A6096" s="211" t="s">
        <v>502</v>
      </c>
      <c r="B6096" s="216" t="str">
        <f ca="1">_xlfn.CONCAT(B6076,A6096)</f>
        <v>241C39D4-S</v>
      </c>
      <c r="C6096" s="17"/>
      <c r="D6096" s="184"/>
      <c r="E6096" s="197"/>
      <c r="F6096" s="19"/>
      <c r="G6096" s="20"/>
    </row>
    <row r="6097" spans="1:7">
      <c r="A6097" s="211" t="s">
        <v>503</v>
      </c>
      <c r="B6097" s="216" t="str">
        <f ca="1">_xlfn.CONCAT(B6076,A6097)</f>
        <v>241C39D4-T</v>
      </c>
      <c r="C6097" s="17"/>
      <c r="D6097" s="184"/>
      <c r="E6097" s="197"/>
      <c r="F6097" s="19"/>
      <c r="G6097" s="20"/>
    </row>
    <row r="6098" spans="1:7" ht="14.25" thickBot="1">
      <c r="A6098" s="211" t="s">
        <v>504</v>
      </c>
      <c r="B6098" s="216" t="str">
        <f ca="1">_xlfn.CONCAT(B6076,A6098)</f>
        <v>241C39D4-U</v>
      </c>
      <c r="C6098" s="17"/>
      <c r="D6098" s="184"/>
      <c r="E6098" s="197"/>
      <c r="F6098" s="19"/>
      <c r="G6098" s="20"/>
    </row>
    <row r="6099" spans="1:7" ht="14.25" thickBot="1">
      <c r="A6099" s="211" t="s">
        <v>505</v>
      </c>
      <c r="B6099" s="216" t="str">
        <f ca="1">_xlfn.CONCAT(B6076,A6099)</f>
        <v>241C39D4-V</v>
      </c>
      <c r="C6099" s="17" t="s">
        <v>17</v>
      </c>
      <c r="D6099" s="192" t="s">
        <v>17</v>
      </c>
      <c r="E6099" s="18"/>
      <c r="F6099" s="22" t="s">
        <v>18</v>
      </c>
      <c r="G6099" s="23">
        <f>SUM(G6078:G6098)</f>
        <v>10692</v>
      </c>
    </row>
    <row r="6100" spans="1:7" ht="15.75" thickBot="1">
      <c r="A6100" s="211" t="s">
        <v>506</v>
      </c>
      <c r="B6100" s="216" t="str">
        <f ca="1">_xlfn.CONCAT(B6076,A6100)</f>
        <v>241C39D4-W</v>
      </c>
      <c r="C6100" s="10" t="s">
        <v>19</v>
      </c>
      <c r="D6100" s="190"/>
      <c r="E6100" s="11"/>
      <c r="F6100" s="12"/>
      <c r="G6100" s="13"/>
    </row>
    <row r="6101" spans="1:7" ht="14.25" thickBot="1">
      <c r="A6101" s="211" t="s">
        <v>507</v>
      </c>
      <c r="B6101" s="216" t="str">
        <f ca="1">_xlfn.CONCAT(B6076,A6101)</f>
        <v>241C39D4-X</v>
      </c>
      <c r="C6101" s="14" t="s">
        <v>1</v>
      </c>
      <c r="D6101" s="15"/>
      <c r="E6101" s="15" t="s">
        <v>20</v>
      </c>
      <c r="F6101" s="16" t="s">
        <v>21</v>
      </c>
      <c r="G6101" s="15" t="s">
        <v>5</v>
      </c>
    </row>
    <row r="6102" spans="1:7">
      <c r="A6102" s="211" t="s">
        <v>508</v>
      </c>
      <c r="B6102" s="216" t="str">
        <f ca="1">_xlfn.CONCAT(B6076,A6102)</f>
        <v>241C39D4-Y</v>
      </c>
      <c r="C6102" s="24" t="s">
        <v>22</v>
      </c>
      <c r="D6102" s="184"/>
      <c r="E6102" s="25">
        <f>_xlfn.XLOOKUP(C6102,'H-MO'!B$7:B$30,'H-MO'!D$7:D$30,,0,1)</f>
        <v>2436.5624999999995</v>
      </c>
      <c r="F6102" s="19">
        <v>0.06</v>
      </c>
      <c r="G6102" s="33">
        <f t="shared" ref="G6102:G6107" si="173">+E6102*F6102</f>
        <v>146.19374999999997</v>
      </c>
    </row>
    <row r="6103" spans="1:7">
      <c r="A6103" s="211" t="s">
        <v>509</v>
      </c>
      <c r="B6103" s="216" t="str">
        <f ca="1">_xlfn.CONCAT(B6076,A6103)</f>
        <v>241C39D4-Z</v>
      </c>
      <c r="C6103" s="24" t="s">
        <v>23</v>
      </c>
      <c r="D6103" s="184"/>
      <c r="E6103" s="25">
        <f>_xlfn.XLOOKUP(C6103,'H-MO'!B$7:B$30,'H-MO'!D$7:D$30,,0,1)</f>
        <v>1461.9374999999998</v>
      </c>
      <c r="F6103" s="19">
        <v>5.0000000000000001E-3</v>
      </c>
      <c r="G6103" s="33">
        <f t="shared" si="173"/>
        <v>7.309687499999999</v>
      </c>
    </row>
    <row r="6104" spans="1:7">
      <c r="A6104" s="211" t="s">
        <v>510</v>
      </c>
      <c r="B6104" s="216" t="str">
        <f ca="1">_xlfn.CONCAT(B6076,A6104)</f>
        <v>241C39D4-aa</v>
      </c>
      <c r="C6104" s="24" t="s">
        <v>24</v>
      </c>
      <c r="D6104" s="185"/>
      <c r="E6104" s="25">
        <f>_xlfn.XLOOKUP(C6104,'H-MO'!B$7:B$30,'H-MO'!D$7:D$30,,0,1)</f>
        <v>29238.749999999996</v>
      </c>
      <c r="F6104" s="28">
        <v>0.01</v>
      </c>
      <c r="G6104" s="33">
        <f t="shared" si="173"/>
        <v>292.38749999999999</v>
      </c>
    </row>
    <row r="6105" spans="1:7">
      <c r="A6105" s="211" t="s">
        <v>511</v>
      </c>
      <c r="B6105" s="216" t="str">
        <f ca="1">_xlfn.CONCAT(B6076,A6105)</f>
        <v>241C39D4-ab</v>
      </c>
      <c r="C6105" s="24" t="s">
        <v>25</v>
      </c>
      <c r="D6105" s="185"/>
      <c r="E6105" s="25">
        <f>_xlfn.XLOOKUP(C6105,'H-MO'!B$7:B$30,'H-MO'!D$7:D$30,,0,1)</f>
        <v>2761.4374999999995</v>
      </c>
      <c r="F6105" s="28">
        <v>0.08</v>
      </c>
      <c r="G6105" s="33">
        <f t="shared" si="173"/>
        <v>220.91499999999996</v>
      </c>
    </row>
    <row r="6106" spans="1:7">
      <c r="A6106" s="211" t="s">
        <v>512</v>
      </c>
      <c r="B6106" s="216" t="str">
        <f ca="1">_xlfn.CONCAT(B6076,A6106)</f>
        <v>241C39D4-ac</v>
      </c>
      <c r="C6106" s="24"/>
      <c r="D6106" s="185"/>
      <c r="E6106" s="29"/>
      <c r="F6106" s="28"/>
      <c r="G6106" s="33">
        <f t="shared" si="173"/>
        <v>0</v>
      </c>
    </row>
    <row r="6107" spans="1:7" ht="14.25" thickBot="1">
      <c r="A6107" s="211" t="s">
        <v>513</v>
      </c>
      <c r="B6107" s="216" t="str">
        <f ca="1">_xlfn.CONCAT(B6076,A6107)</f>
        <v>241C39D4-ad</v>
      </c>
      <c r="C6107" s="24"/>
      <c r="D6107" s="185"/>
      <c r="E6107" s="29"/>
      <c r="F6107" s="28"/>
      <c r="G6107" s="33">
        <f t="shared" si="173"/>
        <v>0</v>
      </c>
    </row>
    <row r="6108" spans="1:7" ht="14.25" thickBot="1">
      <c r="A6108" s="211" t="s">
        <v>514</v>
      </c>
      <c r="B6108" s="216" t="str">
        <f ca="1">_xlfn.CONCAT(B6076,A6108)</f>
        <v>241C39D4-ae</v>
      </c>
      <c r="C6108" s="17"/>
      <c r="D6108" s="192"/>
      <c r="E6108" s="18"/>
      <c r="F6108" s="22" t="s">
        <v>26</v>
      </c>
      <c r="G6108" s="23">
        <f>SUM(G6102:G6107)</f>
        <v>666.80593749999991</v>
      </c>
    </row>
    <row r="6109" spans="1:7" ht="15.75" thickBot="1">
      <c r="A6109" s="211" t="s">
        <v>515</v>
      </c>
      <c r="B6109" s="216" t="str">
        <f ca="1">_xlfn.CONCAT(B6076,A6109)</f>
        <v>241C39D4-af</v>
      </c>
      <c r="C6109" s="10" t="s">
        <v>27</v>
      </c>
      <c r="D6109" s="190"/>
      <c r="E6109" s="11"/>
      <c r="F6109" s="12"/>
      <c r="G6109" s="13"/>
    </row>
    <row r="6110" spans="1:7" ht="14.25" thickBot="1">
      <c r="A6110" s="211" t="s">
        <v>516</v>
      </c>
      <c r="B6110" s="216" t="str">
        <f ca="1">_xlfn.CONCAT(B6076,A6110)</f>
        <v>241C39D4-ag</v>
      </c>
      <c r="C6110" s="14" t="s">
        <v>1</v>
      </c>
      <c r="D6110" s="15" t="s">
        <v>28</v>
      </c>
      <c r="E6110" s="15" t="s">
        <v>20</v>
      </c>
      <c r="F6110" s="16" t="s">
        <v>21</v>
      </c>
      <c r="G6110" s="15" t="s">
        <v>5</v>
      </c>
    </row>
    <row r="6111" spans="1:7">
      <c r="A6111" s="211" t="s">
        <v>517</v>
      </c>
      <c r="B6111" s="216" t="str">
        <f ca="1">_xlfn.CONCAT(B6076,A6111)</f>
        <v>241C39D4-ah</v>
      </c>
      <c r="C6111" s="30" t="s">
        <v>29</v>
      </c>
      <c r="D6111" s="186">
        <f>'H-MO'!$N$77</f>
        <v>725918.52892505517</v>
      </c>
      <c r="E6111" s="31">
        <f>+D6111/8</f>
        <v>90739.816115631897</v>
      </c>
      <c r="F6111" s="32">
        <v>0.04</v>
      </c>
      <c r="G6111" s="33">
        <f>+E6111*F6111</f>
        <v>3629.5926446252761</v>
      </c>
    </row>
    <row r="6112" spans="1:7">
      <c r="A6112" s="211" t="s">
        <v>518</v>
      </c>
      <c r="B6112" s="216" t="str">
        <f ca="1">_xlfn.CONCAT(B6076,A6112)</f>
        <v>241C39D4-ai</v>
      </c>
      <c r="C6112" s="34" t="s">
        <v>30</v>
      </c>
      <c r="D6112" s="187">
        <f>'H-MO'!$N$86</f>
        <v>685561.39085756091</v>
      </c>
      <c r="E6112" s="29">
        <f>+D6112/8</f>
        <v>85695.173857195114</v>
      </c>
      <c r="F6112" s="28">
        <v>0</v>
      </c>
      <c r="G6112" s="33">
        <f>+E6112*F6112</f>
        <v>0</v>
      </c>
    </row>
    <row r="6113" spans="1:8" ht="14.25" thickBot="1">
      <c r="A6113" s="211" t="s">
        <v>519</v>
      </c>
      <c r="B6113" s="216" t="str">
        <f ca="1">_xlfn.CONCAT(B6076,A6113)</f>
        <v>241C39D4-aj</v>
      </c>
      <c r="C6113" s="34"/>
      <c r="D6113" s="187"/>
      <c r="E6113" s="29"/>
      <c r="F6113" s="28"/>
      <c r="G6113" s="33">
        <f>+E6113*F6113</f>
        <v>0</v>
      </c>
    </row>
    <row r="6114" spans="1:8" ht="14.25" thickBot="1">
      <c r="A6114" s="211" t="s">
        <v>520</v>
      </c>
      <c r="B6114" s="216" t="str">
        <f ca="1">_xlfn.CONCAT(B6076,A6114)</f>
        <v>241C39D4-ak</v>
      </c>
      <c r="C6114" s="34"/>
      <c r="D6114" s="185"/>
      <c r="E6114" s="26"/>
      <c r="F6114" s="36" t="s">
        <v>31</v>
      </c>
      <c r="G6114" s="23">
        <f>SUM(G6111:G6113)</f>
        <v>3629.5926446252761</v>
      </c>
    </row>
    <row r="6115" spans="1:8" ht="14.25" thickBot="1">
      <c r="A6115" s="211" t="s">
        <v>521</v>
      </c>
      <c r="B6115" s="216" t="str">
        <f ca="1">_xlfn.CONCAT(B6076,A6115)</f>
        <v>241C39D4-al</v>
      </c>
      <c r="C6115" s="37"/>
      <c r="E6115" s="38"/>
      <c r="F6115" s="22"/>
      <c r="G6115" s="39"/>
    </row>
    <row r="6116" spans="1:8" ht="16.5" thickBot="1">
      <c r="A6116" s="211" t="s">
        <v>522</v>
      </c>
      <c r="B6116" s="216" t="str">
        <f ca="1">_xlfn.CONCAT(B6076,A6116)</f>
        <v>241C39D4-am</v>
      </c>
      <c r="C6116" s="40"/>
      <c r="D6116" s="193"/>
      <c r="E6116" s="41"/>
      <c r="F6116" s="42"/>
      <c r="G6116" s="43">
        <f>+G6099+G6108+G6114</f>
        <v>14988.398582125275</v>
      </c>
    </row>
    <row r="6117" spans="1:8" ht="21.75" thickBot="1">
      <c r="B6117" s="212" t="s">
        <v>550</v>
      </c>
      <c r="C6117" s="2"/>
      <c r="D6117" s="183"/>
      <c r="F6117" s="4"/>
      <c r="G6117" s="5"/>
    </row>
    <row r="6118" spans="1:8" ht="18.75">
      <c r="A6118" s="213"/>
      <c r="B6118" s="214">
        <v>140</v>
      </c>
      <c r="C6118" s="242" t="str">
        <f ca="1">_xlfn.XLOOKUP(B6118,Cantidades!$A$10:$A$314,Cantidades!$C$10:$C$314,,0,1)</f>
        <v>Suministro e instalación de grapa de operar en caliente.</v>
      </c>
      <c r="D6118" s="243"/>
      <c r="E6118" s="243"/>
      <c r="F6118" s="243"/>
      <c r="G6118" s="244"/>
    </row>
    <row r="6119" spans="1:8" ht="19.5" thickBot="1">
      <c r="A6119" s="215"/>
      <c r="B6119" s="216" t="s">
        <v>550</v>
      </c>
      <c r="C6119" s="177"/>
      <c r="D6119" s="189"/>
      <c r="E6119" s="178"/>
      <c r="F6119" s="179" t="s">
        <v>636</v>
      </c>
      <c r="G6119" s="209" t="str">
        <f ca="1">B6120</f>
        <v>2E81DCF0-</v>
      </c>
    </row>
    <row r="6120" spans="1:8" ht="15.75" thickBot="1">
      <c r="B6120" s="212" t="str">
        <f ca="1">_xlfn.XLOOKUP(C6118,Cantidades!$C$1:$C$314,Cantidades!$B$1:$B$314,"",0,1)</f>
        <v>2E81DCF0-</v>
      </c>
      <c r="C6120" s="10" t="s">
        <v>0</v>
      </c>
      <c r="D6120" s="190"/>
      <c r="E6120" s="11"/>
      <c r="F6120" s="12"/>
      <c r="G6120" s="13"/>
    </row>
    <row r="6121" spans="1:8" ht="14.25" thickBot="1">
      <c r="A6121" s="215"/>
      <c r="B6121" s="216" t="s">
        <v>550</v>
      </c>
      <c r="C6121" s="14" t="s">
        <v>1</v>
      </c>
      <c r="D6121" s="15" t="s">
        <v>2</v>
      </c>
      <c r="E6121" s="15" t="s">
        <v>3</v>
      </c>
      <c r="F6121" s="16" t="s">
        <v>4</v>
      </c>
      <c r="G6121" s="15" t="s">
        <v>5</v>
      </c>
    </row>
    <row r="6122" spans="1:8">
      <c r="A6122" s="211" t="s">
        <v>484</v>
      </c>
      <c r="B6122" s="216" t="str">
        <f ca="1">_xlfn.CONCAT(B6120,A6122)</f>
        <v>2E81DCF0-A</v>
      </c>
      <c r="C6122" s="17" t="str">
        <f>_xlfn.XLOOKUP(H6122,'Materiales unitario'!$A$1:$A$2500,'Materiales unitario'!B$1:B$2500,,0,1)</f>
        <v>Grapa de operar en caliente Aluminio Bronce</v>
      </c>
      <c r="D6122" s="184" t="str">
        <f>_xlfn.XLOOKUP(H6122,'Materiales unitario'!A$1:A$2500,'Materiales unitario'!C$1:C$2500,,0,1)</f>
        <v>un</v>
      </c>
      <c r="E6122" s="197">
        <f>_xlfn.XLOOKUP(H6122,'Materiales unitario'!$A$1:$A$2500,'Materiales unitario'!D$1:D$2500,,0,1)</f>
        <v>38640</v>
      </c>
      <c r="F6122" s="19">
        <v>1</v>
      </c>
      <c r="G6122" s="20">
        <f>+E6122*F6122</f>
        <v>38640</v>
      </c>
      <c r="H6122" s="211" t="s">
        <v>1241</v>
      </c>
    </row>
    <row r="6123" spans="1:8">
      <c r="A6123" s="211" t="s">
        <v>485</v>
      </c>
      <c r="B6123" s="216" t="str">
        <f ca="1">_xlfn.CONCAT(B6120,A6123)</f>
        <v>2E81DCF0-B</v>
      </c>
      <c r="C6123" s="17"/>
      <c r="D6123" s="184"/>
      <c r="E6123" s="197"/>
      <c r="F6123" s="19"/>
      <c r="G6123" s="20"/>
    </row>
    <row r="6124" spans="1:8">
      <c r="A6124" s="211" t="s">
        <v>486</v>
      </c>
      <c r="B6124" s="216" t="str">
        <f ca="1">_xlfn.CONCAT(B6120,A6124)</f>
        <v>2E81DCF0-C</v>
      </c>
      <c r="C6124" s="17"/>
      <c r="D6124" s="184"/>
      <c r="E6124" s="197"/>
      <c r="F6124" s="19"/>
      <c r="G6124" s="20"/>
    </row>
    <row r="6125" spans="1:8">
      <c r="A6125" s="211" t="s">
        <v>487</v>
      </c>
      <c r="B6125" s="216" t="str">
        <f ca="1">_xlfn.CONCAT(B6120,A6125)</f>
        <v>2E81DCF0-D</v>
      </c>
      <c r="C6125" s="17"/>
      <c r="D6125" s="184"/>
      <c r="E6125" s="197"/>
      <c r="F6125" s="19"/>
      <c r="G6125" s="20"/>
    </row>
    <row r="6126" spans="1:8">
      <c r="A6126" s="211" t="s">
        <v>488</v>
      </c>
      <c r="B6126" s="216" t="str">
        <f ca="1">_xlfn.CONCAT(B6120,A6126)</f>
        <v>2E81DCF0-E</v>
      </c>
      <c r="C6126" s="17"/>
      <c r="D6126" s="184"/>
      <c r="E6126" s="197"/>
      <c r="F6126" s="19"/>
      <c r="G6126" s="20"/>
    </row>
    <row r="6127" spans="1:8">
      <c r="A6127" s="211" t="s">
        <v>489</v>
      </c>
      <c r="B6127" s="216" t="str">
        <f ca="1">_xlfn.CONCAT(B6120,A6127)</f>
        <v>2E81DCF0-F</v>
      </c>
      <c r="C6127" s="17"/>
      <c r="D6127" s="184"/>
      <c r="E6127" s="197"/>
      <c r="F6127" s="19"/>
      <c r="G6127" s="20"/>
    </row>
    <row r="6128" spans="1:8">
      <c r="A6128" s="211" t="s">
        <v>490</v>
      </c>
      <c r="B6128" s="216" t="str">
        <f ca="1">_xlfn.CONCAT(B6120,A6128)</f>
        <v>2E81DCF0-G</v>
      </c>
      <c r="C6128" s="17"/>
      <c r="D6128" s="184"/>
      <c r="E6128" s="197"/>
      <c r="F6128" s="19"/>
      <c r="G6128" s="20"/>
    </row>
    <row r="6129" spans="1:7">
      <c r="A6129" s="211" t="s">
        <v>491</v>
      </c>
      <c r="B6129" s="216" t="str">
        <f ca="1">_xlfn.CONCAT(B6120,A6129)</f>
        <v>2E81DCF0-H</v>
      </c>
      <c r="C6129" s="17"/>
      <c r="D6129" s="184"/>
      <c r="E6129" s="197"/>
      <c r="F6129" s="19"/>
      <c r="G6129" s="20"/>
    </row>
    <row r="6130" spans="1:7">
      <c r="A6130" s="211" t="s">
        <v>492</v>
      </c>
      <c r="B6130" s="216" t="str">
        <f ca="1">_xlfn.CONCAT(B6120,A6130)</f>
        <v>2E81DCF0-I</v>
      </c>
      <c r="C6130" s="17"/>
      <c r="D6130" s="184"/>
      <c r="E6130" s="197"/>
      <c r="F6130" s="19"/>
      <c r="G6130" s="20"/>
    </row>
    <row r="6131" spans="1:7">
      <c r="A6131" s="211" t="s">
        <v>493</v>
      </c>
      <c r="B6131" s="216" t="str">
        <f ca="1">_xlfn.CONCAT(B6120,A6131)</f>
        <v>2E81DCF0-J</v>
      </c>
      <c r="C6131" s="17"/>
      <c r="D6131" s="184"/>
      <c r="E6131" s="197"/>
      <c r="F6131" s="19"/>
      <c r="G6131" s="20"/>
    </row>
    <row r="6132" spans="1:7">
      <c r="A6132" s="211" t="s">
        <v>494</v>
      </c>
      <c r="B6132" s="216" t="str">
        <f ca="1">_xlfn.CONCAT(B6120,A6132)</f>
        <v>2E81DCF0-K</v>
      </c>
      <c r="C6132" s="17"/>
      <c r="D6132" s="184"/>
      <c r="E6132" s="197"/>
      <c r="F6132" s="19"/>
      <c r="G6132" s="20"/>
    </row>
    <row r="6133" spans="1:7">
      <c r="A6133" s="211" t="s">
        <v>495</v>
      </c>
      <c r="B6133" s="216" t="str">
        <f ca="1">_xlfn.CONCAT(B6120,A6133)</f>
        <v>2E81DCF0-L</v>
      </c>
      <c r="C6133" s="17"/>
      <c r="D6133" s="184"/>
      <c r="E6133" s="197"/>
      <c r="F6133" s="19"/>
      <c r="G6133" s="20"/>
    </row>
    <row r="6134" spans="1:7">
      <c r="A6134" s="211" t="s">
        <v>496</v>
      </c>
      <c r="B6134" s="216" t="str">
        <f ca="1">_xlfn.CONCAT(B6120,A6134)</f>
        <v>2E81DCF0-M</v>
      </c>
      <c r="C6134" s="17"/>
      <c r="D6134" s="184"/>
      <c r="E6134" s="197"/>
      <c r="F6134" s="19"/>
      <c r="G6134" s="20"/>
    </row>
    <row r="6135" spans="1:7">
      <c r="A6135" s="211" t="s">
        <v>497</v>
      </c>
      <c r="B6135" s="216" t="str">
        <f ca="1">_xlfn.CONCAT(B6120,A6135)</f>
        <v>2E81DCF0-N</v>
      </c>
      <c r="C6135" s="17"/>
      <c r="D6135" s="184"/>
      <c r="E6135" s="197"/>
      <c r="F6135" s="19"/>
      <c r="G6135" s="20"/>
    </row>
    <row r="6136" spans="1:7">
      <c r="A6136" s="211" t="s">
        <v>498</v>
      </c>
      <c r="B6136" s="216" t="str">
        <f ca="1">_xlfn.CONCAT(B6120,A6136)</f>
        <v>2E81DCF0-O</v>
      </c>
      <c r="C6136" s="17"/>
      <c r="D6136" s="184"/>
      <c r="E6136" s="197"/>
      <c r="F6136" s="19"/>
      <c r="G6136" s="20"/>
    </row>
    <row r="6137" spans="1:7">
      <c r="A6137" s="211" t="s">
        <v>499</v>
      </c>
      <c r="B6137" s="216" t="str">
        <f ca="1">_xlfn.CONCAT(B6120,A6137)</f>
        <v>2E81DCF0-P</v>
      </c>
      <c r="C6137" s="17"/>
      <c r="D6137" s="184"/>
      <c r="E6137" s="197"/>
      <c r="F6137" s="19"/>
      <c r="G6137" s="20"/>
    </row>
    <row r="6138" spans="1:7">
      <c r="A6138" s="211" t="s">
        <v>500</v>
      </c>
      <c r="B6138" s="216" t="str">
        <f ca="1">_xlfn.CONCAT(B6120,A6138)</f>
        <v>2E81DCF0-Q</v>
      </c>
      <c r="C6138" s="17"/>
      <c r="D6138" s="184"/>
      <c r="E6138" s="197"/>
      <c r="F6138" s="19"/>
      <c r="G6138" s="20"/>
    </row>
    <row r="6139" spans="1:7">
      <c r="A6139" s="211" t="s">
        <v>501</v>
      </c>
      <c r="B6139" s="216" t="str">
        <f ca="1">_xlfn.CONCAT(B6120,A6139)</f>
        <v>2E81DCF0-R</v>
      </c>
      <c r="C6139" s="17"/>
      <c r="D6139" s="184"/>
      <c r="E6139" s="197"/>
      <c r="F6139" s="19"/>
      <c r="G6139" s="20"/>
    </row>
    <row r="6140" spans="1:7">
      <c r="A6140" s="211" t="s">
        <v>502</v>
      </c>
      <c r="B6140" s="216" t="str">
        <f ca="1">_xlfn.CONCAT(B6120,A6140)</f>
        <v>2E81DCF0-S</v>
      </c>
      <c r="C6140" s="17"/>
      <c r="D6140" s="184"/>
      <c r="E6140" s="197"/>
      <c r="F6140" s="19"/>
      <c r="G6140" s="20"/>
    </row>
    <row r="6141" spans="1:7">
      <c r="A6141" s="211" t="s">
        <v>503</v>
      </c>
      <c r="B6141" s="216" t="str">
        <f ca="1">_xlfn.CONCAT(B6120,A6141)</f>
        <v>2E81DCF0-T</v>
      </c>
      <c r="C6141" s="17"/>
      <c r="D6141" s="184"/>
      <c r="E6141" s="197"/>
      <c r="F6141" s="19"/>
      <c r="G6141" s="20"/>
    </row>
    <row r="6142" spans="1:7" ht="14.25" thickBot="1">
      <c r="A6142" s="211" t="s">
        <v>504</v>
      </c>
      <c r="B6142" s="216" t="str">
        <f ca="1">_xlfn.CONCAT(B6120,A6142)</f>
        <v>2E81DCF0-U</v>
      </c>
      <c r="C6142" s="17"/>
      <c r="D6142" s="184"/>
      <c r="E6142" s="197"/>
      <c r="F6142" s="19"/>
      <c r="G6142" s="20"/>
    </row>
    <row r="6143" spans="1:7" ht="14.25" thickBot="1">
      <c r="A6143" s="211" t="s">
        <v>505</v>
      </c>
      <c r="B6143" s="216" t="str">
        <f ca="1">_xlfn.CONCAT(B6120,A6143)</f>
        <v>2E81DCF0-V</v>
      </c>
      <c r="C6143" s="17" t="s">
        <v>17</v>
      </c>
      <c r="D6143" s="192" t="s">
        <v>17</v>
      </c>
      <c r="E6143" s="18"/>
      <c r="F6143" s="22" t="s">
        <v>18</v>
      </c>
      <c r="G6143" s="23">
        <f>SUM(G6122:G6142)</f>
        <v>38640</v>
      </c>
    </row>
    <row r="6144" spans="1:7" ht="15.75" thickBot="1">
      <c r="A6144" s="211" t="s">
        <v>506</v>
      </c>
      <c r="B6144" s="216" t="str">
        <f ca="1">_xlfn.CONCAT(B6120,A6144)</f>
        <v>2E81DCF0-W</v>
      </c>
      <c r="C6144" s="10" t="s">
        <v>19</v>
      </c>
      <c r="D6144" s="190"/>
      <c r="E6144" s="11"/>
      <c r="F6144" s="12"/>
      <c r="G6144" s="13"/>
    </row>
    <row r="6145" spans="1:7" ht="14.25" thickBot="1">
      <c r="A6145" s="211" t="s">
        <v>507</v>
      </c>
      <c r="B6145" s="216" t="str">
        <f ca="1">_xlfn.CONCAT(B6120,A6145)</f>
        <v>2E81DCF0-X</v>
      </c>
      <c r="C6145" s="14" t="s">
        <v>1</v>
      </c>
      <c r="D6145" s="15"/>
      <c r="E6145" s="15" t="s">
        <v>20</v>
      </c>
      <c r="F6145" s="16" t="s">
        <v>21</v>
      </c>
      <c r="G6145" s="15" t="s">
        <v>5</v>
      </c>
    </row>
    <row r="6146" spans="1:7">
      <c r="A6146" s="211" t="s">
        <v>508</v>
      </c>
      <c r="B6146" s="216" t="str">
        <f ca="1">_xlfn.CONCAT(B6120,A6146)</f>
        <v>2E81DCF0-Y</v>
      </c>
      <c r="C6146" s="24" t="s">
        <v>22</v>
      </c>
      <c r="D6146" s="184"/>
      <c r="E6146" s="25">
        <f>_xlfn.XLOOKUP(C6146,'H-MO'!B$7:B$30,'H-MO'!D$7:D$30,,0,1)</f>
        <v>2436.5624999999995</v>
      </c>
      <c r="F6146" s="19">
        <v>1</v>
      </c>
      <c r="G6146" s="33">
        <f t="shared" ref="G6146:G6151" si="174">+E6146*F6146</f>
        <v>2436.5624999999995</v>
      </c>
    </row>
    <row r="6147" spans="1:7">
      <c r="A6147" s="211" t="s">
        <v>509</v>
      </c>
      <c r="B6147" s="216" t="str">
        <f ca="1">_xlfn.CONCAT(B6120,A6147)</f>
        <v>2E81DCF0-Z</v>
      </c>
      <c r="C6147" s="24" t="s">
        <v>23</v>
      </c>
      <c r="D6147" s="184"/>
      <c r="E6147" s="25">
        <f>_xlfn.XLOOKUP(C6147,'H-MO'!B$7:B$30,'H-MO'!D$7:D$30,,0,1)</f>
        <v>1461.9374999999998</v>
      </c>
      <c r="F6147" s="19">
        <v>0.2</v>
      </c>
      <c r="G6147" s="33">
        <f t="shared" si="174"/>
        <v>292.38749999999999</v>
      </c>
    </row>
    <row r="6148" spans="1:7">
      <c r="A6148" s="211" t="s">
        <v>510</v>
      </c>
      <c r="B6148" s="216" t="str">
        <f ca="1">_xlfn.CONCAT(B6120,A6148)</f>
        <v>2E81DCF0-aa</v>
      </c>
      <c r="C6148" s="24" t="s">
        <v>24</v>
      </c>
      <c r="D6148" s="185"/>
      <c r="E6148" s="25">
        <f>_xlfn.XLOOKUP(C6148,'H-MO'!B$7:B$30,'H-MO'!D$7:D$30,,0,1)</f>
        <v>29238.749999999996</v>
      </c>
      <c r="F6148" s="28">
        <v>0.01</v>
      </c>
      <c r="G6148" s="33">
        <f t="shared" si="174"/>
        <v>292.38749999999999</v>
      </c>
    </row>
    <row r="6149" spans="1:7">
      <c r="A6149" s="211" t="s">
        <v>511</v>
      </c>
      <c r="B6149" s="216" t="str">
        <f ca="1">_xlfn.CONCAT(B6120,A6149)</f>
        <v>2E81DCF0-ab</v>
      </c>
      <c r="C6149" s="24" t="s">
        <v>25</v>
      </c>
      <c r="D6149" s="185"/>
      <c r="E6149" s="25">
        <f>_xlfn.XLOOKUP(C6149,'H-MO'!B$7:B$30,'H-MO'!D$7:D$30,,0,1)</f>
        <v>2761.4374999999995</v>
      </c>
      <c r="F6149" s="28">
        <v>3</v>
      </c>
      <c r="G6149" s="33">
        <f t="shared" si="174"/>
        <v>8284.3124999999982</v>
      </c>
    </row>
    <row r="6150" spans="1:7">
      <c r="A6150" s="211" t="s">
        <v>512</v>
      </c>
      <c r="B6150" s="216" t="str">
        <f ca="1">_xlfn.CONCAT(B6120,A6150)</f>
        <v>2E81DCF0-ac</v>
      </c>
      <c r="C6150" s="24"/>
      <c r="D6150" s="185"/>
      <c r="E6150" s="29"/>
      <c r="F6150" s="28"/>
      <c r="G6150" s="33">
        <f t="shared" si="174"/>
        <v>0</v>
      </c>
    </row>
    <row r="6151" spans="1:7" ht="14.25" thickBot="1">
      <c r="A6151" s="211" t="s">
        <v>513</v>
      </c>
      <c r="B6151" s="216" t="str">
        <f ca="1">_xlfn.CONCAT(B6120,A6151)</f>
        <v>2E81DCF0-ad</v>
      </c>
      <c r="C6151" s="24"/>
      <c r="D6151" s="185"/>
      <c r="E6151" s="29"/>
      <c r="F6151" s="28"/>
      <c r="G6151" s="33">
        <f t="shared" si="174"/>
        <v>0</v>
      </c>
    </row>
    <row r="6152" spans="1:7" ht="14.25" thickBot="1">
      <c r="A6152" s="211" t="s">
        <v>514</v>
      </c>
      <c r="B6152" s="216" t="str">
        <f ca="1">_xlfn.CONCAT(B6120,A6152)</f>
        <v>2E81DCF0-ae</v>
      </c>
      <c r="C6152" s="17"/>
      <c r="D6152" s="192"/>
      <c r="E6152" s="18"/>
      <c r="F6152" s="22" t="s">
        <v>26</v>
      </c>
      <c r="G6152" s="23">
        <f>SUM(G6146:G6151)</f>
        <v>11305.649999999998</v>
      </c>
    </row>
    <row r="6153" spans="1:7" ht="15.75" thickBot="1">
      <c r="A6153" s="211" t="s">
        <v>515</v>
      </c>
      <c r="B6153" s="216" t="str">
        <f ca="1">_xlfn.CONCAT(B6120,A6153)</f>
        <v>2E81DCF0-af</v>
      </c>
      <c r="C6153" s="10" t="s">
        <v>27</v>
      </c>
      <c r="D6153" s="190"/>
      <c r="E6153" s="11"/>
      <c r="F6153" s="12"/>
      <c r="G6153" s="13"/>
    </row>
    <row r="6154" spans="1:7" ht="14.25" thickBot="1">
      <c r="A6154" s="211" t="s">
        <v>516</v>
      </c>
      <c r="B6154" s="216" t="str">
        <f ca="1">_xlfn.CONCAT(B6120,A6154)</f>
        <v>2E81DCF0-ag</v>
      </c>
      <c r="C6154" s="14" t="s">
        <v>1</v>
      </c>
      <c r="D6154" s="15" t="s">
        <v>28</v>
      </c>
      <c r="E6154" s="15" t="s">
        <v>20</v>
      </c>
      <c r="F6154" s="16" t="s">
        <v>21</v>
      </c>
      <c r="G6154" s="15" t="s">
        <v>5</v>
      </c>
    </row>
    <row r="6155" spans="1:7">
      <c r="A6155" s="211" t="s">
        <v>517</v>
      </c>
      <c r="B6155" s="216" t="str">
        <f ca="1">_xlfn.CONCAT(B6120,A6155)</f>
        <v>2E81DCF0-ah</v>
      </c>
      <c r="C6155" s="30" t="s">
        <v>29</v>
      </c>
      <c r="D6155" s="186">
        <f>'H-MO'!$N$77</f>
        <v>725918.52892505517</v>
      </c>
      <c r="E6155" s="31">
        <f>+D6155/8</f>
        <v>90739.816115631897</v>
      </c>
      <c r="F6155" s="32">
        <v>0.22</v>
      </c>
      <c r="G6155" s="33">
        <f>+E6155*F6155</f>
        <v>19962.759545439018</v>
      </c>
    </row>
    <row r="6156" spans="1:7">
      <c r="A6156" s="211" t="s">
        <v>518</v>
      </c>
      <c r="B6156" s="216" t="str">
        <f ca="1">_xlfn.CONCAT(B6120,A6156)</f>
        <v>2E81DCF0-ai</v>
      </c>
      <c r="C6156" s="34" t="s">
        <v>30</v>
      </c>
      <c r="D6156" s="187">
        <f>'H-MO'!$N$86</f>
        <v>685561.39085756091</v>
      </c>
      <c r="E6156" s="29">
        <f>+D6156/8</f>
        <v>85695.173857195114</v>
      </c>
      <c r="F6156" s="28">
        <v>0</v>
      </c>
      <c r="G6156" s="33">
        <f>+E6156*F6156</f>
        <v>0</v>
      </c>
    </row>
    <row r="6157" spans="1:7" ht="14.25" thickBot="1">
      <c r="A6157" s="211" t="s">
        <v>519</v>
      </c>
      <c r="B6157" s="216" t="str">
        <f ca="1">_xlfn.CONCAT(B6120,A6157)</f>
        <v>2E81DCF0-aj</v>
      </c>
      <c r="C6157" s="34"/>
      <c r="D6157" s="187"/>
      <c r="E6157" s="29"/>
      <c r="F6157" s="28"/>
      <c r="G6157" s="33">
        <f>+E6157*F6157</f>
        <v>0</v>
      </c>
    </row>
    <row r="6158" spans="1:7" ht="14.25" thickBot="1">
      <c r="A6158" s="211" t="s">
        <v>520</v>
      </c>
      <c r="B6158" s="216" t="str">
        <f ca="1">_xlfn.CONCAT(B6120,A6158)</f>
        <v>2E81DCF0-ak</v>
      </c>
      <c r="C6158" s="34"/>
      <c r="D6158" s="185"/>
      <c r="E6158" s="26"/>
      <c r="F6158" s="36" t="s">
        <v>31</v>
      </c>
      <c r="G6158" s="23">
        <f>SUM(G6155:G6157)</f>
        <v>19962.759545439018</v>
      </c>
    </row>
    <row r="6159" spans="1:7" ht="14.25" thickBot="1">
      <c r="A6159" s="211" t="s">
        <v>521</v>
      </c>
      <c r="B6159" s="216" t="str">
        <f ca="1">_xlfn.CONCAT(B6120,A6159)</f>
        <v>2E81DCF0-al</v>
      </c>
      <c r="C6159" s="37"/>
      <c r="E6159" s="38"/>
      <c r="F6159" s="22"/>
      <c r="G6159" s="39"/>
    </row>
    <row r="6160" spans="1:7" ht="16.5" thickBot="1">
      <c r="A6160" s="211" t="s">
        <v>522</v>
      </c>
      <c r="B6160" s="216" t="str">
        <f ca="1">_xlfn.CONCAT(B6120,A6160)</f>
        <v>2E81DCF0-am</v>
      </c>
      <c r="C6160" s="40"/>
      <c r="D6160" s="193"/>
      <c r="E6160" s="41"/>
      <c r="F6160" s="42"/>
      <c r="G6160" s="43">
        <f>+G6143+G6152+G6158</f>
        <v>69908.409545439004</v>
      </c>
    </row>
    <row r="6161" spans="2:7" ht="21">
      <c r="B6161" s="212" t="s">
        <v>550</v>
      </c>
      <c r="C6161" s="2"/>
      <c r="D6161" s="183"/>
      <c r="F6161" s="4"/>
      <c r="G6161" s="5"/>
    </row>
    <row r="6205" spans="1:7" ht="14.25" thickBot="1"/>
    <row r="6206" spans="1:7" ht="18.75">
      <c r="A6206" s="213"/>
      <c r="B6206" s="214">
        <v>141</v>
      </c>
      <c r="C6206" s="242" t="str">
        <f ca="1">_xlfn.XLOOKUP(B6206,Cantidades!$A$10:$A$314,Cantidades!$C$10:$C$314,,0,1)</f>
        <v>Sumninistro e instalación de transformador 225 kVA, 13200/440 V aislado en eceite. Incluye transporte al lugar del proyecto y izaje a la estructura.</v>
      </c>
      <c r="D6206" s="243"/>
      <c r="E6206" s="243"/>
      <c r="F6206" s="243"/>
      <c r="G6206" s="244"/>
    </row>
    <row r="6207" spans="1:7" ht="19.5" thickBot="1">
      <c r="A6207" s="215"/>
      <c r="B6207" s="216" t="s">
        <v>550</v>
      </c>
      <c r="C6207" s="177"/>
      <c r="D6207" s="189"/>
      <c r="E6207" s="178"/>
      <c r="F6207" s="179" t="s">
        <v>636</v>
      </c>
      <c r="G6207" s="209" t="str">
        <f ca="1">B6208</f>
        <v>189D8287-</v>
      </c>
    </row>
    <row r="6208" spans="1:7" ht="15.75" thickBot="1">
      <c r="B6208" s="212" t="str">
        <f ca="1">_xlfn.XLOOKUP(C6206,Cantidades!$C$1:$C$314,Cantidades!$B$1:$B$314,"",0,1)</f>
        <v>189D8287-</v>
      </c>
      <c r="C6208" s="10" t="s">
        <v>0</v>
      </c>
      <c r="D6208" s="190"/>
      <c r="E6208" s="11"/>
      <c r="F6208" s="12"/>
      <c r="G6208" s="13"/>
    </row>
    <row r="6209" spans="1:8" ht="14.25" thickBot="1">
      <c r="A6209" s="215"/>
      <c r="B6209" s="216" t="s">
        <v>550</v>
      </c>
      <c r="C6209" s="14" t="s">
        <v>1</v>
      </c>
      <c r="D6209" s="15" t="s">
        <v>2</v>
      </c>
      <c r="E6209" s="15" t="s">
        <v>3</v>
      </c>
      <c r="F6209" s="16" t="s">
        <v>4</v>
      </c>
      <c r="G6209" s="15" t="s">
        <v>5</v>
      </c>
    </row>
    <row r="6210" spans="1:8">
      <c r="A6210" s="211" t="s">
        <v>484</v>
      </c>
      <c r="B6210" s="216" t="str">
        <f ca="1">_xlfn.CONCAT(B6208,A6210)</f>
        <v>189D8287-A</v>
      </c>
      <c r="C6210" s="17" t="str">
        <f>_xlfn.XLOOKUP(H6210,'Materiales unitario'!$A$1:$A$2500,'Materiales unitario'!B$1:B$2500,,0,1)</f>
        <v xml:space="preserve">Transformador 3ø 15KV / 600V 225KVA aceite </v>
      </c>
      <c r="D6210" s="184" t="str">
        <f>_xlfn.XLOOKUP(H6210,'Materiales unitario'!A$1:A$2500,'Materiales unitario'!C$1:C$2500,,0,1)</f>
        <v>un</v>
      </c>
      <c r="E6210" s="197">
        <f>_xlfn.XLOOKUP(H6210,'Materiales unitario'!$A$1:$A$2500,'Materiales unitario'!D$1:D$2500,,0,1)</f>
        <v>51913680</v>
      </c>
      <c r="F6210" s="19">
        <v>1</v>
      </c>
      <c r="G6210" s="20">
        <f>+E6210*F6210</f>
        <v>51913680</v>
      </c>
      <c r="H6210" s="211" t="s">
        <v>1245</v>
      </c>
    </row>
    <row r="6211" spans="1:8">
      <c r="A6211" s="211" t="s">
        <v>485</v>
      </c>
      <c r="B6211" s="216" t="str">
        <f ca="1">_xlfn.CONCAT(B6208,A6211)</f>
        <v>189D8287-B</v>
      </c>
      <c r="C6211" s="17" t="str">
        <f>_xlfn.XLOOKUP(H6211,'Materiales unitario'!$A$1:$A$2500,'Materiales unitario'!B$1:B$2500,,0,1)</f>
        <v>Transporte al sitio de la obra</v>
      </c>
      <c r="D6211" s="184" t="str">
        <f>_xlfn.XLOOKUP(H6211,'Materiales unitario'!A$1:A$2500,'Materiales unitario'!C$1:C$2500,,0,1)</f>
        <v>un</v>
      </c>
      <c r="E6211" s="197">
        <f>_xlfn.XLOOKUP(H6211,'Materiales unitario'!$A$1:$A$2500,'Materiales unitario'!D$1:D$2500,,0,1)</f>
        <v>172200</v>
      </c>
      <c r="F6211" s="19">
        <v>3</v>
      </c>
      <c r="G6211" s="20">
        <f>+E6211*F6211</f>
        <v>516600</v>
      </c>
      <c r="H6211" s="211" t="s">
        <v>384</v>
      </c>
    </row>
    <row r="6212" spans="1:8">
      <c r="A6212" s="211" t="s">
        <v>486</v>
      </c>
      <c r="B6212" s="216" t="str">
        <f ca="1">_xlfn.CONCAT(B6208,A6212)</f>
        <v>189D8287-C</v>
      </c>
      <c r="C6212" s="17" t="str">
        <f>_xlfn.XLOOKUP(H6212,'Materiales unitario'!$A$1:$A$2500,'Materiales unitario'!B$1:B$2500,,0,1)</f>
        <v>Servicio de grúa en el sitio</v>
      </c>
      <c r="D6212" s="184" t="str">
        <f>_xlfn.XLOOKUP(H6212,'Materiales unitario'!A$1:A$2500,'Materiales unitario'!C$1:C$2500,,0,1)</f>
        <v>hr</v>
      </c>
      <c r="E6212" s="197">
        <f>_xlfn.XLOOKUP(H6212,'Materiales unitario'!$A$1:$A$2500,'Materiales unitario'!D$1:D$2500,,0,1)</f>
        <v>426720</v>
      </c>
      <c r="F6212" s="19">
        <v>1.5</v>
      </c>
      <c r="G6212" s="20">
        <f>+E6212*F6212</f>
        <v>640080</v>
      </c>
      <c r="H6212" s="211" t="s">
        <v>529</v>
      </c>
    </row>
    <row r="6213" spans="1:8">
      <c r="A6213" s="211" t="s">
        <v>487</v>
      </c>
      <c r="B6213" s="216" t="str">
        <f ca="1">_xlfn.CONCAT(B6208,A6213)</f>
        <v>189D8287-D</v>
      </c>
      <c r="C6213" s="17"/>
      <c r="D6213" s="184"/>
      <c r="E6213" s="197"/>
      <c r="F6213" s="19"/>
      <c r="G6213" s="20"/>
    </row>
    <row r="6214" spans="1:8">
      <c r="A6214" s="211" t="s">
        <v>488</v>
      </c>
      <c r="B6214" s="216" t="str">
        <f ca="1">_xlfn.CONCAT(B6208,A6214)</f>
        <v>189D8287-E</v>
      </c>
      <c r="C6214" s="17"/>
      <c r="D6214" s="184"/>
      <c r="E6214" s="197"/>
      <c r="F6214" s="19"/>
      <c r="G6214" s="20"/>
    </row>
    <row r="6215" spans="1:8">
      <c r="A6215" s="211" t="s">
        <v>489</v>
      </c>
      <c r="B6215" s="216" t="str">
        <f ca="1">_xlfn.CONCAT(B6208,A6215)</f>
        <v>189D8287-F</v>
      </c>
      <c r="C6215" s="17"/>
      <c r="D6215" s="184"/>
      <c r="E6215" s="197"/>
      <c r="F6215" s="19"/>
      <c r="G6215" s="20"/>
    </row>
    <row r="6216" spans="1:8">
      <c r="A6216" s="211" t="s">
        <v>490</v>
      </c>
      <c r="B6216" s="216" t="str">
        <f ca="1">_xlfn.CONCAT(B6208,A6216)</f>
        <v>189D8287-G</v>
      </c>
      <c r="C6216" s="17"/>
      <c r="D6216" s="184"/>
      <c r="E6216" s="197"/>
      <c r="F6216" s="19"/>
      <c r="G6216" s="20"/>
    </row>
    <row r="6217" spans="1:8">
      <c r="A6217" s="211" t="s">
        <v>491</v>
      </c>
      <c r="B6217" s="216" t="str">
        <f ca="1">_xlfn.CONCAT(B6208,A6217)</f>
        <v>189D8287-H</v>
      </c>
      <c r="C6217" s="17"/>
      <c r="D6217" s="184"/>
      <c r="E6217" s="197"/>
      <c r="F6217" s="19"/>
      <c r="G6217" s="20"/>
    </row>
    <row r="6218" spans="1:8">
      <c r="A6218" s="211" t="s">
        <v>492</v>
      </c>
      <c r="B6218" s="216" t="str">
        <f ca="1">_xlfn.CONCAT(B6208,A6218)</f>
        <v>189D8287-I</v>
      </c>
      <c r="C6218" s="17"/>
      <c r="D6218" s="184"/>
      <c r="E6218" s="197"/>
      <c r="F6218" s="19"/>
      <c r="G6218" s="20"/>
    </row>
    <row r="6219" spans="1:8">
      <c r="A6219" s="211" t="s">
        <v>493</v>
      </c>
      <c r="B6219" s="216" t="str">
        <f ca="1">_xlfn.CONCAT(B6208,A6219)</f>
        <v>189D8287-J</v>
      </c>
      <c r="C6219" s="17"/>
      <c r="D6219" s="184"/>
      <c r="E6219" s="197"/>
      <c r="F6219" s="19"/>
      <c r="G6219" s="20"/>
    </row>
    <row r="6220" spans="1:8">
      <c r="A6220" s="211" t="s">
        <v>494</v>
      </c>
      <c r="B6220" s="216" t="str">
        <f ca="1">_xlfn.CONCAT(B6208,A6220)</f>
        <v>189D8287-K</v>
      </c>
      <c r="C6220" s="17"/>
      <c r="D6220" s="184"/>
      <c r="E6220" s="197"/>
      <c r="F6220" s="19"/>
      <c r="G6220" s="20"/>
    </row>
    <row r="6221" spans="1:8">
      <c r="A6221" s="211" t="s">
        <v>495</v>
      </c>
      <c r="B6221" s="216" t="str">
        <f ca="1">_xlfn.CONCAT(B6208,A6221)</f>
        <v>189D8287-L</v>
      </c>
      <c r="C6221" s="17"/>
      <c r="D6221" s="184"/>
      <c r="E6221" s="197"/>
      <c r="F6221" s="19"/>
      <c r="G6221" s="20"/>
    </row>
    <row r="6222" spans="1:8">
      <c r="A6222" s="211" t="s">
        <v>496</v>
      </c>
      <c r="B6222" s="216" t="str">
        <f ca="1">_xlfn.CONCAT(B6208,A6222)</f>
        <v>189D8287-M</v>
      </c>
      <c r="C6222" s="17"/>
      <c r="D6222" s="184"/>
      <c r="E6222" s="197"/>
      <c r="F6222" s="19"/>
      <c r="G6222" s="20"/>
    </row>
    <row r="6223" spans="1:8">
      <c r="A6223" s="211" t="s">
        <v>497</v>
      </c>
      <c r="B6223" s="216" t="str">
        <f ca="1">_xlfn.CONCAT(B6208,A6223)</f>
        <v>189D8287-N</v>
      </c>
      <c r="C6223" s="17"/>
      <c r="D6223" s="184"/>
      <c r="E6223" s="197"/>
      <c r="F6223" s="19"/>
      <c r="G6223" s="20"/>
    </row>
    <row r="6224" spans="1:8">
      <c r="A6224" s="211" t="s">
        <v>498</v>
      </c>
      <c r="B6224" s="216" t="str">
        <f ca="1">_xlfn.CONCAT(B6208,A6224)</f>
        <v>189D8287-O</v>
      </c>
      <c r="C6224" s="17"/>
      <c r="D6224" s="184"/>
      <c r="E6224" s="197"/>
      <c r="F6224" s="19"/>
      <c r="G6224" s="20"/>
    </row>
    <row r="6225" spans="1:7">
      <c r="A6225" s="211" t="s">
        <v>499</v>
      </c>
      <c r="B6225" s="216" t="str">
        <f ca="1">_xlfn.CONCAT(B6208,A6225)</f>
        <v>189D8287-P</v>
      </c>
      <c r="C6225" s="17"/>
      <c r="D6225" s="184"/>
      <c r="E6225" s="197"/>
      <c r="F6225" s="19"/>
      <c r="G6225" s="20"/>
    </row>
    <row r="6226" spans="1:7">
      <c r="A6226" s="211" t="s">
        <v>500</v>
      </c>
      <c r="B6226" s="216" t="str">
        <f ca="1">_xlfn.CONCAT(B6208,A6226)</f>
        <v>189D8287-Q</v>
      </c>
      <c r="C6226" s="17"/>
      <c r="D6226" s="184"/>
      <c r="E6226" s="197"/>
      <c r="F6226" s="19"/>
      <c r="G6226" s="20"/>
    </row>
    <row r="6227" spans="1:7">
      <c r="A6227" s="211" t="s">
        <v>501</v>
      </c>
      <c r="B6227" s="216" t="str">
        <f ca="1">_xlfn.CONCAT(B6208,A6227)</f>
        <v>189D8287-R</v>
      </c>
      <c r="C6227" s="17"/>
      <c r="D6227" s="184"/>
      <c r="E6227" s="197"/>
      <c r="F6227" s="19"/>
      <c r="G6227" s="20"/>
    </row>
    <row r="6228" spans="1:7">
      <c r="A6228" s="211" t="s">
        <v>502</v>
      </c>
      <c r="B6228" s="216" t="str">
        <f ca="1">_xlfn.CONCAT(B6208,A6228)</f>
        <v>189D8287-S</v>
      </c>
      <c r="C6228" s="17"/>
      <c r="D6228" s="184"/>
      <c r="E6228" s="197"/>
      <c r="F6228" s="19"/>
      <c r="G6228" s="20"/>
    </row>
    <row r="6229" spans="1:7">
      <c r="A6229" s="211" t="s">
        <v>503</v>
      </c>
      <c r="B6229" s="216" t="str">
        <f ca="1">_xlfn.CONCAT(B6208,A6229)</f>
        <v>189D8287-T</v>
      </c>
      <c r="C6229" s="17"/>
      <c r="D6229" s="184"/>
      <c r="E6229" s="197"/>
      <c r="F6229" s="19"/>
      <c r="G6229" s="20"/>
    </row>
    <row r="6230" spans="1:7" ht="14.25" thickBot="1">
      <c r="A6230" s="211" t="s">
        <v>504</v>
      </c>
      <c r="B6230" s="216" t="str">
        <f ca="1">_xlfn.CONCAT(B6208,A6230)</f>
        <v>189D8287-U</v>
      </c>
      <c r="C6230" s="17"/>
      <c r="D6230" s="184"/>
      <c r="E6230" s="197"/>
      <c r="F6230" s="19"/>
      <c r="G6230" s="20"/>
    </row>
    <row r="6231" spans="1:7" ht="14.25" thickBot="1">
      <c r="A6231" s="211" t="s">
        <v>505</v>
      </c>
      <c r="B6231" s="216" t="str">
        <f ca="1">_xlfn.CONCAT(B6208,A6231)</f>
        <v>189D8287-V</v>
      </c>
      <c r="C6231" s="17" t="s">
        <v>17</v>
      </c>
      <c r="D6231" s="192" t="s">
        <v>17</v>
      </c>
      <c r="E6231" s="18"/>
      <c r="F6231" s="22" t="s">
        <v>18</v>
      </c>
      <c r="G6231" s="23">
        <f>SUM(G6210:G6230)</f>
        <v>53070360</v>
      </c>
    </row>
    <row r="6232" spans="1:7" ht="15.75" thickBot="1">
      <c r="A6232" s="211" t="s">
        <v>506</v>
      </c>
      <c r="B6232" s="216" t="str">
        <f ca="1">_xlfn.CONCAT(B6208,A6232)</f>
        <v>189D8287-W</v>
      </c>
      <c r="C6232" s="10" t="s">
        <v>19</v>
      </c>
      <c r="D6232" s="190"/>
      <c r="E6232" s="11"/>
      <c r="F6232" s="12"/>
      <c r="G6232" s="13"/>
    </row>
    <row r="6233" spans="1:7" ht="14.25" thickBot="1">
      <c r="A6233" s="211" t="s">
        <v>507</v>
      </c>
      <c r="B6233" s="216" t="str">
        <f ca="1">_xlfn.CONCAT(B6208,A6233)</f>
        <v>189D8287-X</v>
      </c>
      <c r="C6233" s="14" t="s">
        <v>1</v>
      </c>
      <c r="D6233" s="15"/>
      <c r="E6233" s="15" t="s">
        <v>20</v>
      </c>
      <c r="F6233" s="16" t="s">
        <v>21</v>
      </c>
      <c r="G6233" s="15" t="s">
        <v>5</v>
      </c>
    </row>
    <row r="6234" spans="1:7">
      <c r="A6234" s="211" t="s">
        <v>508</v>
      </c>
      <c r="B6234" s="216" t="str">
        <f ca="1">_xlfn.CONCAT(B6208,A6234)</f>
        <v>189D8287-Y</v>
      </c>
      <c r="C6234" s="24" t="s">
        <v>22</v>
      </c>
      <c r="D6234" s="184"/>
      <c r="E6234" s="25">
        <f>_xlfn.XLOOKUP(C6234,'H-MO'!B$7:B$30,'H-MO'!D$7:D$30,,0,1)</f>
        <v>2436.5624999999995</v>
      </c>
      <c r="F6234" s="19">
        <v>30</v>
      </c>
      <c r="G6234" s="33">
        <f t="shared" ref="G6234:G6239" si="175">+E6234*F6234</f>
        <v>73096.874999999985</v>
      </c>
    </row>
    <row r="6235" spans="1:7">
      <c r="A6235" s="211" t="s">
        <v>509</v>
      </c>
      <c r="B6235" s="216" t="str">
        <f ca="1">_xlfn.CONCAT(B6208,A6235)</f>
        <v>189D8287-Z</v>
      </c>
      <c r="C6235" s="24" t="s">
        <v>23</v>
      </c>
      <c r="D6235" s="184"/>
      <c r="E6235" s="25">
        <f>_xlfn.XLOOKUP(C6235,'H-MO'!B$7:B$30,'H-MO'!D$7:D$30,,0,1)</f>
        <v>1461.9374999999998</v>
      </c>
      <c r="F6235" s="19">
        <v>4</v>
      </c>
      <c r="G6235" s="33">
        <f t="shared" si="175"/>
        <v>5847.7499999999991</v>
      </c>
    </row>
    <row r="6236" spans="1:7">
      <c r="A6236" s="211" t="s">
        <v>510</v>
      </c>
      <c r="B6236" s="216" t="str">
        <f ca="1">_xlfn.CONCAT(B6208,A6236)</f>
        <v>189D8287-aa</v>
      </c>
      <c r="C6236" s="24" t="s">
        <v>24</v>
      </c>
      <c r="D6236" s="185"/>
      <c r="E6236" s="25">
        <f>_xlfn.XLOOKUP(C6236,'H-MO'!B$7:B$30,'H-MO'!D$7:D$30,,0,1)</f>
        <v>29238.749999999996</v>
      </c>
      <c r="F6236" s="28">
        <v>27</v>
      </c>
      <c r="G6236" s="33">
        <f t="shared" si="175"/>
        <v>789446.24999999988</v>
      </c>
    </row>
    <row r="6237" spans="1:7">
      <c r="A6237" s="211" t="s">
        <v>511</v>
      </c>
      <c r="B6237" s="216" t="str">
        <f ca="1">_xlfn.CONCAT(B6208,A6237)</f>
        <v>189D8287-ab</v>
      </c>
      <c r="C6237" s="24" t="s">
        <v>25</v>
      </c>
      <c r="D6237" s="185"/>
      <c r="E6237" s="25">
        <f>_xlfn.XLOOKUP(C6237,'H-MO'!B$7:B$30,'H-MO'!D$7:D$30,,0,1)</f>
        <v>2761.4374999999995</v>
      </c>
      <c r="F6237" s="28">
        <v>25</v>
      </c>
      <c r="G6237" s="33">
        <f t="shared" si="175"/>
        <v>69035.937499999985</v>
      </c>
    </row>
    <row r="6238" spans="1:7">
      <c r="A6238" s="211" t="s">
        <v>512</v>
      </c>
      <c r="B6238" s="216" t="str">
        <f ca="1">_xlfn.CONCAT(B6208,A6238)</f>
        <v>189D8287-ac</v>
      </c>
      <c r="C6238" s="24"/>
      <c r="D6238" s="185"/>
      <c r="E6238" s="29"/>
      <c r="F6238" s="28"/>
      <c r="G6238" s="33">
        <f t="shared" si="175"/>
        <v>0</v>
      </c>
    </row>
    <row r="6239" spans="1:7" ht="14.25" thickBot="1">
      <c r="A6239" s="211" t="s">
        <v>513</v>
      </c>
      <c r="B6239" s="216" t="str">
        <f ca="1">_xlfn.CONCAT(B6208,A6239)</f>
        <v>189D8287-ad</v>
      </c>
      <c r="C6239" s="24"/>
      <c r="D6239" s="185"/>
      <c r="E6239" s="29"/>
      <c r="F6239" s="28"/>
      <c r="G6239" s="33">
        <f t="shared" si="175"/>
        <v>0</v>
      </c>
    </row>
    <row r="6240" spans="1:7" ht="14.25" thickBot="1">
      <c r="A6240" s="211" t="s">
        <v>514</v>
      </c>
      <c r="B6240" s="216" t="str">
        <f ca="1">_xlfn.CONCAT(B6208,A6240)</f>
        <v>189D8287-ae</v>
      </c>
      <c r="C6240" s="17"/>
      <c r="D6240" s="192"/>
      <c r="E6240" s="18"/>
      <c r="F6240" s="22" t="s">
        <v>26</v>
      </c>
      <c r="G6240" s="23">
        <f>SUM(G6234:G6239)</f>
        <v>937426.81249999988</v>
      </c>
    </row>
    <row r="6241" spans="1:8" ht="15.75" thickBot="1">
      <c r="A6241" s="211" t="s">
        <v>515</v>
      </c>
      <c r="B6241" s="216" t="str">
        <f ca="1">_xlfn.CONCAT(B6208,A6241)</f>
        <v>189D8287-af</v>
      </c>
      <c r="C6241" s="10" t="s">
        <v>27</v>
      </c>
      <c r="D6241" s="190"/>
      <c r="E6241" s="11"/>
      <c r="F6241" s="12"/>
      <c r="G6241" s="13"/>
    </row>
    <row r="6242" spans="1:8" ht="14.25" thickBot="1">
      <c r="A6242" s="211" t="s">
        <v>516</v>
      </c>
      <c r="B6242" s="216" t="str">
        <f ca="1">_xlfn.CONCAT(B6208,A6242)</f>
        <v>189D8287-ag</v>
      </c>
      <c r="C6242" s="14" t="s">
        <v>1</v>
      </c>
      <c r="D6242" s="15" t="s">
        <v>28</v>
      </c>
      <c r="E6242" s="15" t="s">
        <v>20</v>
      </c>
      <c r="F6242" s="16" t="s">
        <v>21</v>
      </c>
      <c r="G6242" s="15" t="s">
        <v>5</v>
      </c>
    </row>
    <row r="6243" spans="1:8">
      <c r="A6243" s="211" t="s">
        <v>517</v>
      </c>
      <c r="B6243" s="216" t="str">
        <f ca="1">_xlfn.CONCAT(B6208,A6243)</f>
        <v>189D8287-ah</v>
      </c>
      <c r="C6243" s="30" t="s">
        <v>29</v>
      </c>
      <c r="D6243" s="186">
        <f>'H-MO'!$N$77</f>
        <v>725918.52892505517</v>
      </c>
      <c r="E6243" s="31">
        <f>+D6243/8</f>
        <v>90739.816115631897</v>
      </c>
      <c r="F6243" s="32">
        <v>30</v>
      </c>
      <c r="G6243" s="33">
        <f>+E6243*F6243</f>
        <v>2722194.4834689568</v>
      </c>
    </row>
    <row r="6244" spans="1:8">
      <c r="A6244" s="211" t="s">
        <v>518</v>
      </c>
      <c r="B6244" s="216" t="str">
        <f ca="1">_xlfn.CONCAT(B6208,A6244)</f>
        <v>189D8287-ai</v>
      </c>
      <c r="C6244" s="34" t="s">
        <v>30</v>
      </c>
      <c r="D6244" s="187">
        <f>'H-MO'!$N$86</f>
        <v>685561.39085756091</v>
      </c>
      <c r="E6244" s="29">
        <f>+D6244/8</f>
        <v>85695.173857195114</v>
      </c>
      <c r="F6244" s="28">
        <v>0</v>
      </c>
      <c r="G6244" s="33">
        <f>+E6244*F6244</f>
        <v>0</v>
      </c>
    </row>
    <row r="6245" spans="1:8" ht="14.25" thickBot="1">
      <c r="A6245" s="211" t="s">
        <v>519</v>
      </c>
      <c r="B6245" s="216" t="str">
        <f ca="1">_xlfn.CONCAT(B6208,A6245)</f>
        <v>189D8287-aj</v>
      </c>
      <c r="C6245" s="34"/>
      <c r="D6245" s="187"/>
      <c r="E6245" s="29"/>
      <c r="F6245" s="28"/>
      <c r="G6245" s="33">
        <f>+E6245*F6245</f>
        <v>0</v>
      </c>
    </row>
    <row r="6246" spans="1:8" ht="14.25" thickBot="1">
      <c r="A6246" s="211" t="s">
        <v>520</v>
      </c>
      <c r="B6246" s="216" t="str">
        <f ca="1">_xlfn.CONCAT(B6208,A6246)</f>
        <v>189D8287-ak</v>
      </c>
      <c r="C6246" s="34"/>
      <c r="D6246" s="185"/>
      <c r="E6246" s="26"/>
      <c r="F6246" s="36" t="s">
        <v>31</v>
      </c>
      <c r="G6246" s="23">
        <f>SUM(G6243:G6245)</f>
        <v>2722194.4834689568</v>
      </c>
    </row>
    <row r="6247" spans="1:8" ht="14.25" thickBot="1">
      <c r="A6247" s="211" t="s">
        <v>521</v>
      </c>
      <c r="B6247" s="216" t="str">
        <f ca="1">_xlfn.CONCAT(B6208,A6247)</f>
        <v>189D8287-al</v>
      </c>
      <c r="C6247" s="37"/>
      <c r="E6247" s="38"/>
      <c r="F6247" s="22"/>
      <c r="G6247" s="39"/>
    </row>
    <row r="6248" spans="1:8" ht="16.5" thickBot="1">
      <c r="A6248" s="211" t="s">
        <v>522</v>
      </c>
      <c r="B6248" s="216" t="str">
        <f ca="1">_xlfn.CONCAT(B6208,A6248)</f>
        <v>189D8287-am</v>
      </c>
      <c r="C6248" s="40"/>
      <c r="D6248" s="193"/>
      <c r="E6248" s="41"/>
      <c r="F6248" s="42"/>
      <c r="G6248" s="43">
        <f>+G6231+G6240+G6246</f>
        <v>56729981.295968957</v>
      </c>
    </row>
    <row r="6249" spans="1:8" ht="21.75" thickBot="1">
      <c r="B6249" s="212" t="s">
        <v>550</v>
      </c>
      <c r="C6249" s="2"/>
      <c r="D6249" s="183"/>
      <c r="F6249" s="4"/>
      <c r="G6249" s="5"/>
    </row>
    <row r="6250" spans="1:8" ht="18.75">
      <c r="A6250" s="213"/>
      <c r="B6250" s="214">
        <v>142</v>
      </c>
      <c r="C6250" s="242" t="str">
        <f ca="1">_xlfn.XLOOKUP(B6250,Cantidades!$A$10:$A$314,Cantidades!$C$10:$C$314,,0,1)</f>
        <v>uministro e instalación de Luminaria AP SYL-STREET 66-100W NW 7P P25902.</v>
      </c>
      <c r="D6250" s="243"/>
      <c r="E6250" s="243"/>
      <c r="F6250" s="243"/>
      <c r="G6250" s="244"/>
      <c r="H6250" s="213"/>
    </row>
    <row r="6251" spans="1:8" ht="19.5" thickBot="1">
      <c r="A6251" s="215"/>
      <c r="B6251" s="216" t="s">
        <v>550</v>
      </c>
      <c r="C6251" s="177"/>
      <c r="D6251" s="189"/>
      <c r="E6251" s="178"/>
      <c r="F6251" s="179" t="s">
        <v>636</v>
      </c>
      <c r="G6251" s="209" t="str">
        <f ca="1">B6252</f>
        <v>10FDB09C-</v>
      </c>
      <c r="H6251" s="215"/>
    </row>
    <row r="6252" spans="1:8" ht="15.75" thickBot="1">
      <c r="B6252" s="212" t="str">
        <f ca="1">_xlfn.XLOOKUP(C6250,Cantidades!$C$1:$C$314,Cantidades!$B$1:$B$314,"",0,1)</f>
        <v>10FDB09C-</v>
      </c>
      <c r="C6252" s="10" t="s">
        <v>0</v>
      </c>
      <c r="D6252" s="190"/>
      <c r="E6252" s="11"/>
      <c r="F6252" s="12"/>
      <c r="G6252" s="13"/>
    </row>
    <row r="6253" spans="1:8" ht="14.25" thickBot="1">
      <c r="A6253" s="215"/>
      <c r="B6253" s="216" t="s">
        <v>550</v>
      </c>
      <c r="C6253" s="14" t="s">
        <v>1</v>
      </c>
      <c r="D6253" s="15" t="s">
        <v>2</v>
      </c>
      <c r="E6253" s="15" t="s">
        <v>3</v>
      </c>
      <c r="F6253" s="16" t="s">
        <v>4</v>
      </c>
      <c r="G6253" s="15" t="s">
        <v>5</v>
      </c>
      <c r="H6253" s="215"/>
    </row>
    <row r="6254" spans="1:8" ht="15">
      <c r="A6254" s="211" t="s">
        <v>484</v>
      </c>
      <c r="B6254" s="216" t="str">
        <f ca="1">_xlfn.CONCAT(B6252,A6254)</f>
        <v>10FDB09C-A</v>
      </c>
      <c r="C6254" s="17" t="str">
        <f>_xlfn.XLOOKUP(H6254,'Materiales unitario'!$A$1:$A$2500,'Materiales unitario'!B$1:B$2500,,0,1)</f>
        <v>Luminaria AP SYL-STREET 66-100W NW 7P P25902</v>
      </c>
      <c r="D6254" s="184" t="str">
        <f>_xlfn.XLOOKUP(H6254,'Materiales unitario'!A$1:A$2500,'Materiales unitario'!C$1:C$2500,,0,1)</f>
        <v>un</v>
      </c>
      <c r="E6254" s="197">
        <f>_xlfn.XLOOKUP(H6254,'Materiales unitario'!$A$1:$A$2500,'Materiales unitario'!D$1:D$2500,,0,1)</f>
        <v>459480</v>
      </c>
      <c r="F6254" s="19">
        <v>1</v>
      </c>
      <c r="G6254" s="20">
        <f>+E6254*F6254</f>
        <v>459480</v>
      </c>
      <c r="H6254" s="217" t="s">
        <v>1248</v>
      </c>
    </row>
    <row r="6255" spans="1:8" ht="15">
      <c r="A6255" s="211" t="s">
        <v>485</v>
      </c>
      <c r="B6255" s="216" t="str">
        <f ca="1">_xlfn.CONCAT(B6252,A6255)</f>
        <v>10FDB09C-B</v>
      </c>
      <c r="C6255" s="17" t="str">
        <f>_xlfn.XLOOKUP(H6255,'Materiales unitario'!$A$1:$A$2500,'Materiales unitario'!B$1:B$2500,,0,1)</f>
        <v>Conector de resorte naranja "N" 22-16 AWG</v>
      </c>
      <c r="D6255" s="184" t="str">
        <f>_xlfn.XLOOKUP(H6255,'Materiales unitario'!A$1:A$2500,'Materiales unitario'!C$1:C$2500,,0,1)</f>
        <v>un</v>
      </c>
      <c r="E6255" s="197">
        <f>_xlfn.XLOOKUP(H6255,'Materiales unitario'!$A$1:$A$2500,'Materiales unitario'!D$1:D$2500,,0,1)</f>
        <v>150</v>
      </c>
      <c r="F6255" s="19">
        <v>2</v>
      </c>
      <c r="G6255" s="20">
        <f>+E6255*F6255</f>
        <v>300</v>
      </c>
      <c r="H6255" s="217" t="s">
        <v>682</v>
      </c>
    </row>
    <row r="6256" spans="1:8" ht="15">
      <c r="A6256" s="211" t="s">
        <v>486</v>
      </c>
      <c r="B6256" s="216" t="str">
        <f ca="1">_xlfn.CONCAT(B6252,A6256)</f>
        <v>10FDB09C-C</v>
      </c>
      <c r="C6256" s="17" t="str">
        <f>_xlfn.XLOOKUP(H6256,'Materiales unitario'!$A$1:$A$2500,'Materiales unitario'!B$1:B$2500,,0,1)</f>
        <v>Cable flexible encauchetado ST-C 3x16 AWG</v>
      </c>
      <c r="D6256" s="184" t="str">
        <f>_xlfn.XLOOKUP(H6256,'Materiales unitario'!A$1:A$2500,'Materiales unitario'!C$1:C$2500,,0,1)</f>
        <v>ml</v>
      </c>
      <c r="E6256" s="197">
        <f>_xlfn.XLOOKUP(H6256,'Materiales unitario'!$A$1:$A$2500,'Materiales unitario'!D$1:D$2500,,0,1)</f>
        <v>4730</v>
      </c>
      <c r="F6256" s="19">
        <v>3</v>
      </c>
      <c r="G6256" s="20">
        <f>+E6256*F6256</f>
        <v>14190</v>
      </c>
      <c r="H6256" s="217" t="s">
        <v>278</v>
      </c>
    </row>
    <row r="6257" spans="1:8" ht="15">
      <c r="A6257" s="211" t="s">
        <v>487</v>
      </c>
      <c r="B6257" s="216" t="str">
        <f ca="1">_xlfn.CONCAT(B6252,A6257)</f>
        <v>10FDB09C-D</v>
      </c>
      <c r="C6257" s="17" t="str">
        <f>_xlfn.XLOOKUP(H6257,'Materiales unitario'!$A$1:$A$2500,'Materiales unitario'!B$1:B$2500,,0,1)</f>
        <v>Marquillas para circuito</v>
      </c>
      <c r="D6257" s="184" t="str">
        <f>_xlfn.XLOOKUP(H6257,'Materiales unitario'!A$1:A$2500,'Materiales unitario'!C$1:C$2500,,0,1)</f>
        <v>un</v>
      </c>
      <c r="E6257" s="197">
        <f>_xlfn.XLOOKUP(H6257,'Materiales unitario'!$A$1:$A$2500,'Materiales unitario'!D$1:D$2500,,0,1)</f>
        <v>1000</v>
      </c>
      <c r="F6257" s="19">
        <v>1</v>
      </c>
      <c r="G6257" s="20">
        <f>+E6257*F6257</f>
        <v>1000</v>
      </c>
      <c r="H6257" s="217" t="s">
        <v>339</v>
      </c>
    </row>
    <row r="6258" spans="1:8" ht="15">
      <c r="A6258" s="211" t="s">
        <v>488</v>
      </c>
      <c r="B6258" s="216" t="str">
        <f ca="1">_xlfn.CONCAT(B6252,A6258)</f>
        <v>10FDB09C-E</v>
      </c>
      <c r="C6258" s="17"/>
      <c r="D6258" s="184"/>
      <c r="E6258" s="197"/>
      <c r="F6258" s="19"/>
      <c r="G6258" s="20"/>
      <c r="H6258" s="217"/>
    </row>
    <row r="6259" spans="1:8" ht="15">
      <c r="A6259" s="211" t="s">
        <v>489</v>
      </c>
      <c r="B6259" s="216" t="str">
        <f ca="1">_xlfn.CONCAT(B6252,A6259)</f>
        <v>10FDB09C-F</v>
      </c>
      <c r="C6259" s="17"/>
      <c r="D6259" s="184"/>
      <c r="E6259" s="197"/>
      <c r="F6259" s="19"/>
      <c r="G6259" s="20"/>
      <c r="H6259" s="217"/>
    </row>
    <row r="6260" spans="1:8" ht="15">
      <c r="A6260" s="211" t="s">
        <v>490</v>
      </c>
      <c r="B6260" s="216" t="str">
        <f ca="1">_xlfn.CONCAT(B6252,A6260)</f>
        <v>10FDB09C-G</v>
      </c>
      <c r="C6260" s="17"/>
      <c r="D6260" s="184"/>
      <c r="E6260" s="197"/>
      <c r="F6260" s="19"/>
      <c r="G6260" s="20"/>
      <c r="H6260" s="217"/>
    </row>
    <row r="6261" spans="1:8" ht="15">
      <c r="A6261" s="211" t="s">
        <v>491</v>
      </c>
      <c r="B6261" s="216" t="str">
        <f ca="1">_xlfn.CONCAT(B6252,A6261)</f>
        <v>10FDB09C-H</v>
      </c>
      <c r="C6261" s="17"/>
      <c r="D6261" s="184"/>
      <c r="E6261" s="197"/>
      <c r="F6261" s="19"/>
      <c r="G6261" s="20"/>
      <c r="H6261" s="217"/>
    </row>
    <row r="6262" spans="1:8" ht="15">
      <c r="A6262" s="211" t="s">
        <v>492</v>
      </c>
      <c r="B6262" s="216" t="str">
        <f ca="1">_xlfn.CONCAT(B6252,A6262)</f>
        <v>10FDB09C-I</v>
      </c>
      <c r="C6262" s="17"/>
      <c r="D6262" s="184"/>
      <c r="E6262" s="197"/>
      <c r="F6262" s="19"/>
      <c r="G6262" s="20"/>
      <c r="H6262" s="217"/>
    </row>
    <row r="6263" spans="1:8" ht="15">
      <c r="A6263" s="211" t="s">
        <v>493</v>
      </c>
      <c r="B6263" s="216" t="str">
        <f ca="1">_xlfn.CONCAT(B6252,A6263)</f>
        <v>10FDB09C-J</v>
      </c>
      <c r="C6263" s="17"/>
      <c r="D6263" s="184"/>
      <c r="E6263" s="197"/>
      <c r="F6263" s="19"/>
      <c r="G6263" s="20"/>
      <c r="H6263" s="217"/>
    </row>
    <row r="6264" spans="1:8" ht="15">
      <c r="A6264" s="211" t="s">
        <v>494</v>
      </c>
      <c r="B6264" s="216" t="str">
        <f ca="1">_xlfn.CONCAT(B6252,A6264)</f>
        <v>10FDB09C-K</v>
      </c>
      <c r="C6264" s="17"/>
      <c r="D6264" s="184"/>
      <c r="E6264" s="197"/>
      <c r="F6264" s="19"/>
      <c r="G6264" s="20"/>
      <c r="H6264" s="217"/>
    </row>
    <row r="6265" spans="1:8" ht="15">
      <c r="A6265" s="211" t="s">
        <v>495</v>
      </c>
      <c r="B6265" s="216" t="str">
        <f ca="1">_xlfn.CONCAT(B6252,A6265)</f>
        <v>10FDB09C-L</v>
      </c>
      <c r="C6265" s="17"/>
      <c r="D6265" s="184"/>
      <c r="E6265" s="197"/>
      <c r="F6265" s="19"/>
      <c r="G6265" s="20"/>
      <c r="H6265" s="217"/>
    </row>
    <row r="6266" spans="1:8" ht="15">
      <c r="A6266" s="211" t="s">
        <v>496</v>
      </c>
      <c r="B6266" s="216" t="str">
        <f ca="1">_xlfn.CONCAT(B6252,A6266)</f>
        <v>10FDB09C-M</v>
      </c>
      <c r="C6266" s="17"/>
      <c r="D6266" s="184"/>
      <c r="E6266" s="197"/>
      <c r="F6266" s="19"/>
      <c r="G6266" s="20"/>
      <c r="H6266" s="217"/>
    </row>
    <row r="6267" spans="1:8">
      <c r="A6267" s="211" t="s">
        <v>497</v>
      </c>
      <c r="B6267" s="216" t="str">
        <f ca="1">_xlfn.CONCAT(B6252,A6267)</f>
        <v>10FDB09C-N</v>
      </c>
      <c r="C6267" s="17"/>
      <c r="D6267" s="184"/>
      <c r="E6267" s="197"/>
      <c r="F6267" s="19"/>
      <c r="G6267" s="20"/>
    </row>
    <row r="6268" spans="1:8">
      <c r="A6268" s="211" t="s">
        <v>498</v>
      </c>
      <c r="B6268" s="216" t="str">
        <f ca="1">_xlfn.CONCAT(B6252,A6268)</f>
        <v>10FDB09C-O</v>
      </c>
      <c r="C6268" s="17"/>
      <c r="D6268" s="184"/>
      <c r="E6268" s="197"/>
      <c r="F6268" s="19"/>
      <c r="G6268" s="20"/>
    </row>
    <row r="6269" spans="1:8">
      <c r="A6269" s="211" t="s">
        <v>499</v>
      </c>
      <c r="B6269" s="216" t="str">
        <f ca="1">_xlfn.CONCAT(B6252,A6269)</f>
        <v>10FDB09C-P</v>
      </c>
      <c r="C6269" s="17"/>
      <c r="D6269" s="184"/>
      <c r="E6269" s="197"/>
      <c r="F6269" s="19"/>
      <c r="G6269" s="20"/>
    </row>
    <row r="6270" spans="1:8">
      <c r="A6270" s="211" t="s">
        <v>500</v>
      </c>
      <c r="B6270" s="216" t="str">
        <f ca="1">_xlfn.CONCAT(B6252,A6270)</f>
        <v>10FDB09C-Q</v>
      </c>
      <c r="C6270" s="17"/>
      <c r="D6270" s="184"/>
      <c r="E6270" s="197"/>
      <c r="F6270" s="19"/>
      <c r="G6270" s="20"/>
    </row>
    <row r="6271" spans="1:8">
      <c r="A6271" s="211" t="s">
        <v>501</v>
      </c>
      <c r="B6271" s="216" t="str">
        <f ca="1">_xlfn.CONCAT(B6252,A6271)</f>
        <v>10FDB09C-R</v>
      </c>
      <c r="C6271" s="17"/>
      <c r="D6271" s="184"/>
      <c r="E6271" s="197"/>
      <c r="F6271" s="19"/>
      <c r="G6271" s="20"/>
    </row>
    <row r="6272" spans="1:8">
      <c r="A6272" s="211" t="s">
        <v>502</v>
      </c>
      <c r="B6272" s="216" t="str">
        <f ca="1">_xlfn.CONCAT(B6252,A6272)</f>
        <v>10FDB09C-S</v>
      </c>
      <c r="C6272" s="17"/>
      <c r="D6272" s="184"/>
      <c r="E6272" s="197"/>
      <c r="F6272" s="19"/>
      <c r="G6272" s="20"/>
    </row>
    <row r="6273" spans="1:8">
      <c r="A6273" s="211" t="s">
        <v>503</v>
      </c>
      <c r="B6273" s="216" t="str">
        <f ca="1">_xlfn.CONCAT(B6252,A6273)</f>
        <v>10FDB09C-T</v>
      </c>
      <c r="C6273" s="17"/>
      <c r="D6273" s="184"/>
      <c r="E6273" s="197"/>
      <c r="F6273" s="19"/>
      <c r="G6273" s="20"/>
    </row>
    <row r="6274" spans="1:8" ht="14.25" thickBot="1">
      <c r="A6274" s="211" t="s">
        <v>504</v>
      </c>
      <c r="B6274" s="216" t="str">
        <f ca="1">_xlfn.CONCAT(B6252,A6274)</f>
        <v>10FDB09C-U</v>
      </c>
      <c r="C6274" s="17"/>
      <c r="D6274" s="184"/>
      <c r="E6274" s="197"/>
      <c r="F6274" s="19"/>
      <c r="G6274" s="20"/>
    </row>
    <row r="6275" spans="1:8" ht="14.25" thickBot="1">
      <c r="A6275" s="211" t="s">
        <v>505</v>
      </c>
      <c r="B6275" s="216" t="str">
        <f ca="1">_xlfn.CONCAT(B6252,A6275)</f>
        <v>10FDB09C-V</v>
      </c>
      <c r="C6275" s="17" t="s">
        <v>17</v>
      </c>
      <c r="D6275" s="192" t="s">
        <v>17</v>
      </c>
      <c r="E6275" s="18"/>
      <c r="F6275" s="22" t="s">
        <v>18</v>
      </c>
      <c r="G6275" s="23">
        <f>SUM(G6254:G6274)</f>
        <v>474970</v>
      </c>
    </row>
    <row r="6276" spans="1:8" ht="15.75" thickBot="1">
      <c r="A6276" s="211" t="s">
        <v>506</v>
      </c>
      <c r="B6276" s="216" t="str">
        <f ca="1">_xlfn.CONCAT(B6252,A6276)</f>
        <v>10FDB09C-W</v>
      </c>
      <c r="C6276" s="10" t="s">
        <v>19</v>
      </c>
      <c r="D6276" s="190"/>
      <c r="E6276" s="11"/>
      <c r="F6276" s="12"/>
      <c r="G6276" s="13"/>
    </row>
    <row r="6277" spans="1:8" ht="14.25" thickBot="1">
      <c r="A6277" s="211" t="s">
        <v>507</v>
      </c>
      <c r="B6277" s="216" t="str">
        <f ca="1">_xlfn.CONCAT(B6252,A6277)</f>
        <v>10FDB09C-X</v>
      </c>
      <c r="C6277" s="14" t="s">
        <v>1</v>
      </c>
      <c r="D6277" s="15"/>
      <c r="E6277" s="15" t="s">
        <v>20</v>
      </c>
      <c r="F6277" s="16" t="s">
        <v>21</v>
      </c>
      <c r="G6277" s="15" t="s">
        <v>5</v>
      </c>
      <c r="H6277" s="215"/>
    </row>
    <row r="6278" spans="1:8">
      <c r="A6278" s="211" t="s">
        <v>508</v>
      </c>
      <c r="B6278" s="216" t="str">
        <f ca="1">_xlfn.CONCAT(B6252,A6278)</f>
        <v>10FDB09C-Y</v>
      </c>
      <c r="C6278" s="24" t="s">
        <v>22</v>
      </c>
      <c r="D6278" s="184"/>
      <c r="E6278" s="25">
        <f>_xlfn.XLOOKUP(C6278,'H-MO'!B$7:B$30,'H-MO'!D$7:D$30,,0,1)</f>
        <v>2436.5624999999995</v>
      </c>
      <c r="F6278" s="19">
        <v>1</v>
      </c>
      <c r="G6278" s="33">
        <f t="shared" ref="G6278:G6283" si="176">+E6278*F6278</f>
        <v>2436.5624999999995</v>
      </c>
    </row>
    <row r="6279" spans="1:8">
      <c r="A6279" s="211" t="s">
        <v>509</v>
      </c>
      <c r="B6279" s="216" t="str">
        <f ca="1">_xlfn.CONCAT(B6252,A6279)</f>
        <v>10FDB09C-Z</v>
      </c>
      <c r="C6279" s="24" t="s">
        <v>23</v>
      </c>
      <c r="D6279" s="184"/>
      <c r="E6279" s="25">
        <f>_xlfn.XLOOKUP(C6279,'H-MO'!B$7:B$30,'H-MO'!D$7:D$30,,0,1)</f>
        <v>1461.9374999999998</v>
      </c>
      <c r="F6279" s="19">
        <v>0.2</v>
      </c>
      <c r="G6279" s="33">
        <f t="shared" si="176"/>
        <v>292.38749999999999</v>
      </c>
    </row>
    <row r="6280" spans="1:8">
      <c r="A6280" s="211" t="s">
        <v>510</v>
      </c>
      <c r="B6280" s="216" t="str">
        <f ca="1">_xlfn.CONCAT(B6252,A6280)</f>
        <v>10FDB09C-aa</v>
      </c>
      <c r="C6280" s="24" t="s">
        <v>24</v>
      </c>
      <c r="D6280" s="185"/>
      <c r="E6280" s="25">
        <f>_xlfn.XLOOKUP(C6280,'H-MO'!B$7:B$30,'H-MO'!D$7:D$30,,0,1)</f>
        <v>29238.749999999996</v>
      </c>
      <c r="F6280" s="28">
        <v>0.3</v>
      </c>
      <c r="G6280" s="33">
        <f t="shared" si="176"/>
        <v>8771.6249999999982</v>
      </c>
    </row>
    <row r="6281" spans="1:8">
      <c r="A6281" s="211" t="s">
        <v>511</v>
      </c>
      <c r="B6281" s="216" t="str">
        <f ca="1">_xlfn.CONCAT(B6252,A6281)</f>
        <v>10FDB09C-ab</v>
      </c>
      <c r="C6281" s="24" t="s">
        <v>25</v>
      </c>
      <c r="D6281" s="185"/>
      <c r="E6281" s="25">
        <f>_xlfn.XLOOKUP(C6281,'H-MO'!B$7:B$30,'H-MO'!D$7:D$30,,0,1)</f>
        <v>2761.4374999999995</v>
      </c>
      <c r="F6281" s="28">
        <v>5</v>
      </c>
      <c r="G6281" s="33">
        <f t="shared" si="176"/>
        <v>13807.187499999998</v>
      </c>
    </row>
    <row r="6282" spans="1:8">
      <c r="A6282" s="211" t="s">
        <v>512</v>
      </c>
      <c r="B6282" s="216" t="str">
        <f ca="1">_xlfn.CONCAT(B6252,A6282)</f>
        <v>10FDB09C-ac</v>
      </c>
      <c r="C6282" s="24"/>
      <c r="D6282" s="185"/>
      <c r="E6282" s="29"/>
      <c r="F6282" s="28"/>
      <c r="G6282" s="33">
        <f t="shared" si="176"/>
        <v>0</v>
      </c>
    </row>
    <row r="6283" spans="1:8" ht="14.25" thickBot="1">
      <c r="A6283" s="211" t="s">
        <v>513</v>
      </c>
      <c r="B6283" s="216" t="str">
        <f ca="1">_xlfn.CONCAT(B6252,A6283)</f>
        <v>10FDB09C-ad</v>
      </c>
      <c r="C6283" s="24"/>
      <c r="D6283" s="185"/>
      <c r="E6283" s="29"/>
      <c r="F6283" s="28"/>
      <c r="G6283" s="33">
        <f t="shared" si="176"/>
        <v>0</v>
      </c>
    </row>
    <row r="6284" spans="1:8" ht="14.25" thickBot="1">
      <c r="A6284" s="211" t="s">
        <v>514</v>
      </c>
      <c r="B6284" s="216" t="str">
        <f ca="1">_xlfn.CONCAT(B6252,A6284)</f>
        <v>10FDB09C-ae</v>
      </c>
      <c r="C6284" s="17"/>
      <c r="D6284" s="192"/>
      <c r="E6284" s="18"/>
      <c r="F6284" s="22" t="s">
        <v>26</v>
      </c>
      <c r="G6284" s="23">
        <f>SUM(G6278:G6283)</f>
        <v>25307.762499999997</v>
      </c>
    </row>
    <row r="6285" spans="1:8" ht="15.75" thickBot="1">
      <c r="A6285" s="211" t="s">
        <v>515</v>
      </c>
      <c r="B6285" s="216" t="str">
        <f ca="1">_xlfn.CONCAT(B6252,A6285)</f>
        <v>10FDB09C-af</v>
      </c>
      <c r="C6285" s="10" t="s">
        <v>27</v>
      </c>
      <c r="D6285" s="190"/>
      <c r="E6285" s="11"/>
      <c r="F6285" s="12"/>
      <c r="G6285" s="13"/>
    </row>
    <row r="6286" spans="1:8" ht="14.25" thickBot="1">
      <c r="A6286" s="211" t="s">
        <v>516</v>
      </c>
      <c r="B6286" s="216" t="str">
        <f ca="1">_xlfn.CONCAT(B6252,A6286)</f>
        <v>10FDB09C-ag</v>
      </c>
      <c r="C6286" s="14" t="s">
        <v>1</v>
      </c>
      <c r="D6286" s="15" t="s">
        <v>28</v>
      </c>
      <c r="E6286" s="15" t="s">
        <v>20</v>
      </c>
      <c r="F6286" s="16" t="s">
        <v>21</v>
      </c>
      <c r="G6286" s="15" t="s">
        <v>5</v>
      </c>
      <c r="H6286" s="215"/>
    </row>
    <row r="6287" spans="1:8">
      <c r="A6287" s="211" t="s">
        <v>517</v>
      </c>
      <c r="B6287" s="216" t="str">
        <f ca="1">_xlfn.CONCAT(B6252,A6287)</f>
        <v>10FDB09C-ah</v>
      </c>
      <c r="C6287" s="30" t="s">
        <v>29</v>
      </c>
      <c r="D6287" s="186">
        <f>'H-MO'!$N$77</f>
        <v>725918.52892505517</v>
      </c>
      <c r="E6287" s="31">
        <f>+D6287/8</f>
        <v>90739.816115631897</v>
      </c>
      <c r="F6287" s="32">
        <v>1</v>
      </c>
      <c r="G6287" s="33">
        <f>+E6287*F6287</f>
        <v>90739.816115631897</v>
      </c>
    </row>
    <row r="6288" spans="1:8">
      <c r="A6288" s="211" t="s">
        <v>518</v>
      </c>
      <c r="B6288" s="216" t="str">
        <f ca="1">_xlfn.CONCAT(B6252,A6288)</f>
        <v>10FDB09C-ai</v>
      </c>
      <c r="C6288" s="34" t="s">
        <v>30</v>
      </c>
      <c r="D6288" s="187">
        <f>'H-MO'!$N$86</f>
        <v>685561.39085756091</v>
      </c>
      <c r="E6288" s="29">
        <f>+D6288/8</f>
        <v>85695.173857195114</v>
      </c>
      <c r="F6288" s="28">
        <v>0</v>
      </c>
      <c r="G6288" s="33">
        <f>+E6288*F6288</f>
        <v>0</v>
      </c>
    </row>
    <row r="6289" spans="1:8" ht="14.25" thickBot="1">
      <c r="A6289" s="211" t="s">
        <v>519</v>
      </c>
      <c r="B6289" s="216" t="str">
        <f ca="1">_xlfn.CONCAT(B6252,A6289)</f>
        <v>10FDB09C-aj</v>
      </c>
      <c r="C6289" s="34"/>
      <c r="D6289" s="187"/>
      <c r="E6289" s="29"/>
      <c r="F6289" s="28"/>
      <c r="G6289" s="33">
        <f>+E6289*F6289</f>
        <v>0</v>
      </c>
    </row>
    <row r="6290" spans="1:8" ht="14.25" thickBot="1">
      <c r="A6290" s="211" t="s">
        <v>520</v>
      </c>
      <c r="B6290" s="216" t="str">
        <f ca="1">_xlfn.CONCAT(B6252,A6290)</f>
        <v>10FDB09C-ak</v>
      </c>
      <c r="C6290" s="34"/>
      <c r="D6290" s="185"/>
      <c r="E6290" s="26"/>
      <c r="F6290" s="36" t="s">
        <v>31</v>
      </c>
      <c r="G6290" s="23">
        <f>SUM(G6287:G6289)</f>
        <v>90739.816115631897</v>
      </c>
    </row>
    <row r="6291" spans="1:8" ht="14.25" thickBot="1">
      <c r="A6291" s="211" t="s">
        <v>521</v>
      </c>
      <c r="B6291" s="216" t="str">
        <f ca="1">_xlfn.CONCAT(B6252,A6291)</f>
        <v>10FDB09C-al</v>
      </c>
      <c r="C6291" s="37"/>
      <c r="E6291" s="38"/>
      <c r="F6291" s="22"/>
      <c r="G6291" s="39"/>
    </row>
    <row r="6292" spans="1:8" ht="16.5" thickBot="1">
      <c r="A6292" s="211" t="s">
        <v>522</v>
      </c>
      <c r="B6292" s="216" t="str">
        <f ca="1">_xlfn.CONCAT(B6252,A6292)</f>
        <v>10FDB09C-am</v>
      </c>
      <c r="C6292" s="40"/>
      <c r="D6292" s="193"/>
      <c r="E6292" s="41"/>
      <c r="F6292" s="42"/>
      <c r="G6292" s="43">
        <f>+G6275+G6284+G6290</f>
        <v>591017.57861563191</v>
      </c>
    </row>
    <row r="6293" spans="1:8" ht="21.75" thickBot="1">
      <c r="B6293" s="212" t="s">
        <v>550</v>
      </c>
      <c r="C6293" s="2"/>
      <c r="D6293" s="183"/>
      <c r="F6293" s="4"/>
      <c r="G6293" s="5"/>
    </row>
    <row r="6294" spans="1:8" ht="18.75">
      <c r="A6294" s="213"/>
      <c r="B6294" s="214">
        <v>143</v>
      </c>
      <c r="C6294" s="242" t="str">
        <f ca="1">_xlfn.XLOOKUP(B6294,Cantidades!$A$10:$A$314,Cantidades!$C$10:$C$314,,0,1)</f>
        <v xml:space="preserve">Suministro e instalación de lámpara LED EMERGENCIA R1 Sylvania. Incluye tapa salida de cordón, prensaestopa, cable 3#16 AWG de cobre y demás elementos para su correcta instalación y fincionamiento. </v>
      </c>
      <c r="D6294" s="243"/>
      <c r="E6294" s="243"/>
      <c r="F6294" s="243"/>
      <c r="G6294" s="244"/>
      <c r="H6294" s="213"/>
    </row>
    <row r="6295" spans="1:8" ht="19.5" thickBot="1">
      <c r="A6295" s="215"/>
      <c r="B6295" s="216" t="s">
        <v>550</v>
      </c>
      <c r="C6295" s="177"/>
      <c r="D6295" s="189"/>
      <c r="E6295" s="178"/>
      <c r="F6295" s="179" t="s">
        <v>636</v>
      </c>
      <c r="G6295" s="209" t="str">
        <f ca="1">B6296</f>
        <v>A956480-</v>
      </c>
      <c r="H6295" s="215"/>
    </row>
    <row r="6296" spans="1:8" ht="15.75" thickBot="1">
      <c r="B6296" s="212" t="str">
        <f ca="1">_xlfn.XLOOKUP(C6294,Cantidades!$C$1:$C$314,Cantidades!$B$1:$B$314,"",0,1)</f>
        <v>A956480-</v>
      </c>
      <c r="C6296" s="10" t="s">
        <v>0</v>
      </c>
      <c r="D6296" s="190"/>
      <c r="E6296" s="11"/>
      <c r="F6296" s="12"/>
      <c r="G6296" s="13"/>
    </row>
    <row r="6297" spans="1:8" ht="14.25" thickBot="1">
      <c r="A6297" s="215"/>
      <c r="B6297" s="216" t="s">
        <v>550</v>
      </c>
      <c r="C6297" s="14" t="s">
        <v>1</v>
      </c>
      <c r="D6297" s="15" t="s">
        <v>2</v>
      </c>
      <c r="E6297" s="15" t="s">
        <v>3</v>
      </c>
      <c r="F6297" s="16" t="s">
        <v>4</v>
      </c>
      <c r="G6297" s="15" t="s">
        <v>5</v>
      </c>
      <c r="H6297" s="215"/>
    </row>
    <row r="6298" spans="1:8" ht="15">
      <c r="A6298" s="211" t="s">
        <v>484</v>
      </c>
      <c r="B6298" s="216" t="str">
        <f ca="1">_xlfn.CONCAT(B6296,A6298)</f>
        <v>A956480-A</v>
      </c>
      <c r="C6298" s="17" t="str">
        <f>_xlfn.XLOOKUP(H6298,'Materiales unitario'!$A$1:$A$2500,'Materiales unitario'!B$1:B$2500,,0,1)</f>
        <v>Lámpara Led EMERGENCIA R1 Sylvania</v>
      </c>
      <c r="D6298" s="184" t="str">
        <f>_xlfn.XLOOKUP(H6298,'Materiales unitario'!A$1:A$2500,'Materiales unitario'!C$1:C$2500,,0,1)</f>
        <v>un</v>
      </c>
      <c r="E6298" s="197">
        <f>_xlfn.XLOOKUP(H6298,'Materiales unitario'!$A$1:$A$2500,'Materiales unitario'!D$1:D$2500,,0,1)</f>
        <v>99480</v>
      </c>
      <c r="F6298" s="19">
        <v>1</v>
      </c>
      <c r="G6298" s="20">
        <f>+E6298*F6298</f>
        <v>99480</v>
      </c>
      <c r="H6298" s="217" t="s">
        <v>1252</v>
      </c>
    </row>
    <row r="6299" spans="1:8" ht="15">
      <c r="A6299" s="211" t="s">
        <v>485</v>
      </c>
      <c r="B6299" s="216" t="str">
        <f ca="1">_xlfn.CONCAT(B6296,A6299)</f>
        <v>A956480-B</v>
      </c>
      <c r="C6299" s="17" t="str">
        <f>_xlfn.XLOOKUP(H6299,'Materiales unitario'!$A$1:$A$2500,'Materiales unitario'!B$1:B$2500,,0,1)</f>
        <v>Conector de resorte naranja "N" 22-16 AWG</v>
      </c>
      <c r="D6299" s="184" t="str">
        <f>_xlfn.XLOOKUP(H6299,'Materiales unitario'!A$1:A$2500,'Materiales unitario'!C$1:C$2500,,0,1)</f>
        <v>un</v>
      </c>
      <c r="E6299" s="197">
        <f>_xlfn.XLOOKUP(H6299,'Materiales unitario'!$A$1:$A$2500,'Materiales unitario'!D$1:D$2500,,0,1)</f>
        <v>150</v>
      </c>
      <c r="F6299" s="19">
        <v>2</v>
      </c>
      <c r="G6299" s="20">
        <f>+E6299*F6299</f>
        <v>300</v>
      </c>
      <c r="H6299" s="217" t="s">
        <v>682</v>
      </c>
    </row>
    <row r="6300" spans="1:8" ht="15">
      <c r="A6300" s="211" t="s">
        <v>486</v>
      </c>
      <c r="B6300" s="216" t="str">
        <f ca="1">_xlfn.CONCAT(B6296,A6300)</f>
        <v>A956480-C</v>
      </c>
      <c r="C6300" s="17" t="str">
        <f>_xlfn.XLOOKUP(H6300,'Materiales unitario'!$A$1:$A$2500,'Materiales unitario'!B$1:B$2500,,0,1)</f>
        <v>Cable flexible encauchetado ST-C 3x16 AWG</v>
      </c>
      <c r="D6300" s="184" t="str">
        <f>_xlfn.XLOOKUP(H6300,'Materiales unitario'!A$1:A$2500,'Materiales unitario'!C$1:C$2500,,0,1)</f>
        <v>ml</v>
      </c>
      <c r="E6300" s="197">
        <f>_xlfn.XLOOKUP(H6300,'Materiales unitario'!$A$1:$A$2500,'Materiales unitario'!D$1:D$2500,,0,1)</f>
        <v>4730</v>
      </c>
      <c r="F6300" s="19">
        <v>2</v>
      </c>
      <c r="G6300" s="20">
        <f>+E6300*F6300</f>
        <v>9460</v>
      </c>
      <c r="H6300" s="217" t="s">
        <v>278</v>
      </c>
    </row>
    <row r="6301" spans="1:8" ht="15">
      <c r="A6301" s="211" t="s">
        <v>487</v>
      </c>
      <c r="B6301" s="216" t="str">
        <f ca="1">_xlfn.CONCAT(B6296,A6301)</f>
        <v>A956480-D</v>
      </c>
      <c r="C6301" s="17" t="str">
        <f>_xlfn.XLOOKUP(H6301,'Materiales unitario'!$A$1:$A$2500,'Materiales unitario'!B$1:B$2500,,0,1)</f>
        <v>Marquillas para circuito</v>
      </c>
      <c r="D6301" s="184" t="str">
        <f>_xlfn.XLOOKUP(H6301,'Materiales unitario'!A$1:A$2500,'Materiales unitario'!C$1:C$2500,,0,1)</f>
        <v>un</v>
      </c>
      <c r="E6301" s="197">
        <f>_xlfn.XLOOKUP(H6301,'Materiales unitario'!$A$1:$A$2500,'Materiales unitario'!D$1:D$2500,,0,1)</f>
        <v>1000</v>
      </c>
      <c r="F6301" s="19">
        <v>1</v>
      </c>
      <c r="G6301" s="20">
        <f>+E6301*F6301</f>
        <v>1000</v>
      </c>
      <c r="H6301" s="217" t="s">
        <v>339</v>
      </c>
    </row>
    <row r="6302" spans="1:8" ht="15">
      <c r="A6302" s="211" t="s">
        <v>488</v>
      </c>
      <c r="B6302" s="216" t="str">
        <f ca="1">_xlfn.CONCAT(B6296,A6302)</f>
        <v>A956480-E</v>
      </c>
      <c r="C6302" s="17" t="str">
        <f>_xlfn.XLOOKUP(H6302,'Materiales unitario'!$A$1:$A$2500,'Materiales unitario'!B$1:B$2500,,0,1)</f>
        <v>Prensaestopa de 10 a 14 mm ø1/2"</v>
      </c>
      <c r="D6302" s="184" t="str">
        <f>_xlfn.XLOOKUP(H6302,'Materiales unitario'!A$1:A$2500,'Materiales unitario'!C$1:C$2500,,0,1)</f>
        <v>un</v>
      </c>
      <c r="E6302" s="197">
        <f>_xlfn.XLOOKUP(H6302,'Materiales unitario'!$A$1:$A$2500,'Materiales unitario'!D$1:D$2500,,0,1)</f>
        <v>1460</v>
      </c>
      <c r="F6302" s="19">
        <v>1</v>
      </c>
      <c r="G6302" s="20">
        <f>+E6302*F6302</f>
        <v>1460</v>
      </c>
      <c r="H6302" s="217" t="s">
        <v>351</v>
      </c>
    </row>
    <row r="6303" spans="1:8" ht="15">
      <c r="A6303" s="211" t="s">
        <v>489</v>
      </c>
      <c r="B6303" s="216" t="str">
        <f ca="1">_xlfn.CONCAT(B6296,A6303)</f>
        <v>A956480-F</v>
      </c>
      <c r="C6303" s="17"/>
      <c r="D6303" s="184"/>
      <c r="E6303" s="197"/>
      <c r="F6303" s="19"/>
      <c r="G6303" s="20"/>
      <c r="H6303" s="217"/>
    </row>
    <row r="6304" spans="1:8" ht="15">
      <c r="A6304" s="211" t="s">
        <v>490</v>
      </c>
      <c r="B6304" s="216" t="str">
        <f ca="1">_xlfn.CONCAT(B6296,A6304)</f>
        <v>A956480-G</v>
      </c>
      <c r="C6304" s="17"/>
      <c r="D6304" s="184"/>
      <c r="E6304" s="197"/>
      <c r="F6304" s="19"/>
      <c r="G6304" s="20"/>
      <c r="H6304" s="217"/>
    </row>
    <row r="6305" spans="1:8" ht="15">
      <c r="A6305" s="211" t="s">
        <v>491</v>
      </c>
      <c r="B6305" s="216" t="str">
        <f ca="1">_xlfn.CONCAT(B6296,A6305)</f>
        <v>A956480-H</v>
      </c>
      <c r="C6305" s="17"/>
      <c r="D6305" s="184"/>
      <c r="E6305" s="197"/>
      <c r="F6305" s="19"/>
      <c r="G6305" s="20"/>
      <c r="H6305" s="217"/>
    </row>
    <row r="6306" spans="1:8" ht="15">
      <c r="A6306" s="211" t="s">
        <v>492</v>
      </c>
      <c r="B6306" s="216" t="str">
        <f ca="1">_xlfn.CONCAT(B6296,A6306)</f>
        <v>A956480-I</v>
      </c>
      <c r="C6306" s="17"/>
      <c r="D6306" s="184"/>
      <c r="E6306" s="197"/>
      <c r="F6306" s="19"/>
      <c r="G6306" s="20"/>
      <c r="H6306" s="217"/>
    </row>
    <row r="6307" spans="1:8" ht="15">
      <c r="A6307" s="211" t="s">
        <v>493</v>
      </c>
      <c r="B6307" s="216" t="str">
        <f ca="1">_xlfn.CONCAT(B6296,A6307)</f>
        <v>A956480-J</v>
      </c>
      <c r="C6307" s="17"/>
      <c r="D6307" s="184"/>
      <c r="E6307" s="197"/>
      <c r="F6307" s="19"/>
      <c r="G6307" s="20"/>
      <c r="H6307" s="217"/>
    </row>
    <row r="6308" spans="1:8" ht="15">
      <c r="A6308" s="211" t="s">
        <v>494</v>
      </c>
      <c r="B6308" s="216" t="str">
        <f ca="1">_xlfn.CONCAT(B6296,A6308)</f>
        <v>A956480-K</v>
      </c>
      <c r="C6308" s="17"/>
      <c r="D6308" s="184"/>
      <c r="E6308" s="197"/>
      <c r="F6308" s="19"/>
      <c r="G6308" s="20"/>
      <c r="H6308" s="217"/>
    </row>
    <row r="6309" spans="1:8" ht="15">
      <c r="A6309" s="211" t="s">
        <v>495</v>
      </c>
      <c r="B6309" s="216" t="str">
        <f ca="1">_xlfn.CONCAT(B6296,A6309)</f>
        <v>A956480-L</v>
      </c>
      <c r="C6309" s="17"/>
      <c r="D6309" s="184"/>
      <c r="E6309" s="197"/>
      <c r="F6309" s="19"/>
      <c r="G6309" s="20"/>
      <c r="H6309" s="217"/>
    </row>
    <row r="6310" spans="1:8" ht="15">
      <c r="A6310" s="211" t="s">
        <v>496</v>
      </c>
      <c r="B6310" s="216" t="str">
        <f ca="1">_xlfn.CONCAT(B6296,A6310)</f>
        <v>A956480-M</v>
      </c>
      <c r="C6310" s="17"/>
      <c r="D6310" s="184"/>
      <c r="E6310" s="197"/>
      <c r="F6310" s="19"/>
      <c r="G6310" s="20"/>
      <c r="H6310" s="217"/>
    </row>
    <row r="6311" spans="1:8">
      <c r="A6311" s="211" t="s">
        <v>497</v>
      </c>
      <c r="B6311" s="216" t="str">
        <f ca="1">_xlfn.CONCAT(B6296,A6311)</f>
        <v>A956480-N</v>
      </c>
      <c r="C6311" s="17"/>
      <c r="D6311" s="184"/>
      <c r="E6311" s="197"/>
      <c r="F6311" s="19"/>
      <c r="G6311" s="20"/>
    </row>
    <row r="6312" spans="1:8">
      <c r="A6312" s="211" t="s">
        <v>498</v>
      </c>
      <c r="B6312" s="216" t="str">
        <f ca="1">_xlfn.CONCAT(B6296,A6312)</f>
        <v>A956480-O</v>
      </c>
      <c r="C6312" s="17"/>
      <c r="D6312" s="184"/>
      <c r="E6312" s="197"/>
      <c r="F6312" s="19"/>
      <c r="G6312" s="20"/>
    </row>
    <row r="6313" spans="1:8">
      <c r="A6313" s="211" t="s">
        <v>499</v>
      </c>
      <c r="B6313" s="216" t="str">
        <f ca="1">_xlfn.CONCAT(B6296,A6313)</f>
        <v>A956480-P</v>
      </c>
      <c r="C6313" s="17"/>
      <c r="D6313" s="184"/>
      <c r="E6313" s="197"/>
      <c r="F6313" s="19"/>
      <c r="G6313" s="20"/>
    </row>
    <row r="6314" spans="1:8">
      <c r="A6314" s="211" t="s">
        <v>500</v>
      </c>
      <c r="B6314" s="216" t="str">
        <f ca="1">_xlfn.CONCAT(B6296,A6314)</f>
        <v>A956480-Q</v>
      </c>
      <c r="C6314" s="17"/>
      <c r="D6314" s="184"/>
      <c r="E6314" s="197"/>
      <c r="F6314" s="19"/>
      <c r="G6314" s="20"/>
    </row>
    <row r="6315" spans="1:8">
      <c r="A6315" s="211" t="s">
        <v>501</v>
      </c>
      <c r="B6315" s="216" t="str">
        <f ca="1">_xlfn.CONCAT(B6296,A6315)</f>
        <v>A956480-R</v>
      </c>
      <c r="C6315" s="17"/>
      <c r="D6315" s="184"/>
      <c r="E6315" s="197"/>
      <c r="F6315" s="19"/>
      <c r="G6315" s="20"/>
    </row>
    <row r="6316" spans="1:8">
      <c r="A6316" s="211" t="s">
        <v>502</v>
      </c>
      <c r="B6316" s="216" t="str">
        <f ca="1">_xlfn.CONCAT(B6296,A6316)</f>
        <v>A956480-S</v>
      </c>
      <c r="C6316" s="17"/>
      <c r="D6316" s="184"/>
      <c r="E6316" s="197"/>
      <c r="F6316" s="19"/>
      <c r="G6316" s="20"/>
    </row>
    <row r="6317" spans="1:8">
      <c r="A6317" s="211" t="s">
        <v>503</v>
      </c>
      <c r="B6317" s="216" t="str">
        <f ca="1">_xlfn.CONCAT(B6296,A6317)</f>
        <v>A956480-T</v>
      </c>
      <c r="C6317" s="17"/>
      <c r="D6317" s="184"/>
      <c r="E6317" s="197"/>
      <c r="F6317" s="19"/>
      <c r="G6317" s="20"/>
    </row>
    <row r="6318" spans="1:8" ht="14.25" thickBot="1">
      <c r="A6318" s="211" t="s">
        <v>504</v>
      </c>
      <c r="B6318" s="216" t="str">
        <f ca="1">_xlfn.CONCAT(B6296,A6318)</f>
        <v>A956480-U</v>
      </c>
      <c r="C6318" s="17"/>
      <c r="D6318" s="184"/>
      <c r="E6318" s="197"/>
      <c r="F6318" s="19"/>
      <c r="G6318" s="20"/>
    </row>
    <row r="6319" spans="1:8" ht="14.25" thickBot="1">
      <c r="A6319" s="211" t="s">
        <v>505</v>
      </c>
      <c r="B6319" s="216" t="str">
        <f ca="1">_xlfn.CONCAT(B6296,A6319)</f>
        <v>A956480-V</v>
      </c>
      <c r="C6319" s="17" t="s">
        <v>17</v>
      </c>
      <c r="D6319" s="192" t="s">
        <v>17</v>
      </c>
      <c r="E6319" s="18"/>
      <c r="F6319" s="22" t="s">
        <v>18</v>
      </c>
      <c r="G6319" s="23">
        <f>SUM(G6298:G6318)</f>
        <v>111700</v>
      </c>
    </row>
    <row r="6320" spans="1:8" ht="15.75" thickBot="1">
      <c r="A6320" s="211" t="s">
        <v>506</v>
      </c>
      <c r="B6320" s="216" t="str">
        <f ca="1">_xlfn.CONCAT(B6296,A6320)</f>
        <v>A956480-W</v>
      </c>
      <c r="C6320" s="10" t="s">
        <v>19</v>
      </c>
      <c r="D6320" s="190"/>
      <c r="E6320" s="11"/>
      <c r="F6320" s="12"/>
      <c r="G6320" s="13"/>
    </row>
    <row r="6321" spans="1:8" ht="14.25" thickBot="1">
      <c r="A6321" s="211" t="s">
        <v>507</v>
      </c>
      <c r="B6321" s="216" t="str">
        <f ca="1">_xlfn.CONCAT(B6296,A6321)</f>
        <v>A956480-X</v>
      </c>
      <c r="C6321" s="14" t="s">
        <v>1</v>
      </c>
      <c r="D6321" s="15"/>
      <c r="E6321" s="15" t="s">
        <v>20</v>
      </c>
      <c r="F6321" s="16" t="s">
        <v>21</v>
      </c>
      <c r="G6321" s="15" t="s">
        <v>5</v>
      </c>
      <c r="H6321" s="215"/>
    </row>
    <row r="6322" spans="1:8">
      <c r="A6322" s="211" t="s">
        <v>508</v>
      </c>
      <c r="B6322" s="216" t="str">
        <f ca="1">_xlfn.CONCAT(B6296,A6322)</f>
        <v>A956480-Y</v>
      </c>
      <c r="C6322" s="24" t="s">
        <v>22</v>
      </c>
      <c r="D6322" s="184"/>
      <c r="E6322" s="25">
        <f>_xlfn.XLOOKUP(C6322,'H-MO'!B$7:B$30,'H-MO'!D$7:D$30,,0,1)</f>
        <v>2436.5624999999995</v>
      </c>
      <c r="F6322" s="19">
        <v>0.04</v>
      </c>
      <c r="G6322" s="33">
        <f t="shared" ref="G6322:G6327" si="177">+E6322*F6322</f>
        <v>97.462499999999977</v>
      </c>
    </row>
    <row r="6323" spans="1:8">
      <c r="A6323" s="211" t="s">
        <v>509</v>
      </c>
      <c r="B6323" s="216" t="str">
        <f ca="1">_xlfn.CONCAT(B6296,A6323)</f>
        <v>A956480-Z</v>
      </c>
      <c r="C6323" s="24" t="s">
        <v>23</v>
      </c>
      <c r="D6323" s="184"/>
      <c r="E6323" s="25">
        <f>_xlfn.XLOOKUP(C6323,'H-MO'!B$7:B$30,'H-MO'!D$7:D$30,,0,1)</f>
        <v>1461.9374999999998</v>
      </c>
      <c r="F6323" s="19">
        <v>0.03</v>
      </c>
      <c r="G6323" s="33">
        <f t="shared" si="177"/>
        <v>43.858124999999994</v>
      </c>
    </row>
    <row r="6324" spans="1:8">
      <c r="A6324" s="211" t="s">
        <v>510</v>
      </c>
      <c r="B6324" s="216" t="str">
        <f ca="1">_xlfn.CONCAT(B6296,A6324)</f>
        <v>A956480-aa</v>
      </c>
      <c r="C6324" s="24" t="s">
        <v>24</v>
      </c>
      <c r="D6324" s="185"/>
      <c r="E6324" s="25">
        <f>_xlfn.XLOOKUP(C6324,'H-MO'!B$7:B$30,'H-MO'!D$7:D$30,,0,1)</f>
        <v>29238.749999999996</v>
      </c>
      <c r="F6324" s="28">
        <v>7.0000000000000001E-3</v>
      </c>
      <c r="G6324" s="33">
        <f t="shared" si="177"/>
        <v>204.67124999999999</v>
      </c>
    </row>
    <row r="6325" spans="1:8">
      <c r="A6325" s="211" t="s">
        <v>511</v>
      </c>
      <c r="B6325" s="216" t="str">
        <f ca="1">_xlfn.CONCAT(B6296,A6325)</f>
        <v>A956480-ab</v>
      </c>
      <c r="C6325" s="24" t="s">
        <v>25</v>
      </c>
      <c r="D6325" s="185"/>
      <c r="E6325" s="25">
        <f>_xlfn.XLOOKUP(C6325,'H-MO'!B$7:B$30,'H-MO'!D$7:D$30,,0,1)</f>
        <v>2761.4374999999995</v>
      </c>
      <c r="F6325" s="28">
        <v>0.05</v>
      </c>
      <c r="G6325" s="33">
        <f t="shared" si="177"/>
        <v>138.07187499999998</v>
      </c>
    </row>
    <row r="6326" spans="1:8">
      <c r="A6326" s="211" t="s">
        <v>512</v>
      </c>
      <c r="B6326" s="216" t="str">
        <f ca="1">_xlfn.CONCAT(B6296,A6326)</f>
        <v>A956480-ac</v>
      </c>
      <c r="C6326" s="24"/>
      <c r="D6326" s="185"/>
      <c r="E6326" s="29"/>
      <c r="F6326" s="28"/>
      <c r="G6326" s="33">
        <f t="shared" si="177"/>
        <v>0</v>
      </c>
    </row>
    <row r="6327" spans="1:8" ht="14.25" thickBot="1">
      <c r="A6327" s="211" t="s">
        <v>513</v>
      </c>
      <c r="B6327" s="216" t="str">
        <f ca="1">_xlfn.CONCAT(B6296,A6327)</f>
        <v>A956480-ad</v>
      </c>
      <c r="C6327" s="24"/>
      <c r="D6327" s="185"/>
      <c r="E6327" s="29"/>
      <c r="F6327" s="28"/>
      <c r="G6327" s="33">
        <f t="shared" si="177"/>
        <v>0</v>
      </c>
    </row>
    <row r="6328" spans="1:8" ht="14.25" thickBot="1">
      <c r="A6328" s="211" t="s">
        <v>514</v>
      </c>
      <c r="B6328" s="216" t="str">
        <f ca="1">_xlfn.CONCAT(B6296,A6328)</f>
        <v>A956480-ae</v>
      </c>
      <c r="C6328" s="17"/>
      <c r="D6328" s="192"/>
      <c r="E6328" s="18"/>
      <c r="F6328" s="22" t="s">
        <v>26</v>
      </c>
      <c r="G6328" s="23">
        <f>SUM(G6322:G6327)</f>
        <v>484.06374999999991</v>
      </c>
    </row>
    <row r="6329" spans="1:8" ht="15.75" thickBot="1">
      <c r="A6329" s="211" t="s">
        <v>515</v>
      </c>
      <c r="B6329" s="216" t="str">
        <f ca="1">_xlfn.CONCAT(B6296,A6329)</f>
        <v>A956480-af</v>
      </c>
      <c r="C6329" s="10" t="s">
        <v>27</v>
      </c>
      <c r="D6329" s="190"/>
      <c r="E6329" s="11"/>
      <c r="F6329" s="12"/>
      <c r="G6329" s="13"/>
    </row>
    <row r="6330" spans="1:8" ht="14.25" thickBot="1">
      <c r="A6330" s="211" t="s">
        <v>516</v>
      </c>
      <c r="B6330" s="216" t="str">
        <f ca="1">_xlfn.CONCAT(B6296,A6330)</f>
        <v>A956480-ag</v>
      </c>
      <c r="C6330" s="14" t="s">
        <v>1</v>
      </c>
      <c r="D6330" s="15" t="s">
        <v>28</v>
      </c>
      <c r="E6330" s="15" t="s">
        <v>20</v>
      </c>
      <c r="F6330" s="16" t="s">
        <v>21</v>
      </c>
      <c r="G6330" s="15" t="s">
        <v>5</v>
      </c>
      <c r="H6330" s="215"/>
    </row>
    <row r="6331" spans="1:8">
      <c r="A6331" s="211" t="s">
        <v>517</v>
      </c>
      <c r="B6331" s="216" t="str">
        <f ca="1">_xlfn.CONCAT(B6296,A6331)</f>
        <v>A956480-ah</v>
      </c>
      <c r="C6331" s="30" t="s">
        <v>29</v>
      </c>
      <c r="D6331" s="186">
        <f>'H-MO'!$N$77</f>
        <v>725918.52892505517</v>
      </c>
      <c r="E6331" s="31">
        <f>+D6331/8</f>
        <v>90739.816115631897</v>
      </c>
      <c r="F6331" s="32">
        <v>0.08</v>
      </c>
      <c r="G6331" s="33">
        <f>+E6331*F6331</f>
        <v>7259.1852892505522</v>
      </c>
    </row>
    <row r="6332" spans="1:8">
      <c r="A6332" s="211" t="s">
        <v>518</v>
      </c>
      <c r="B6332" s="216" t="str">
        <f ca="1">_xlfn.CONCAT(B6296,A6332)</f>
        <v>A956480-ai</v>
      </c>
      <c r="C6332" s="34" t="s">
        <v>30</v>
      </c>
      <c r="D6332" s="187">
        <f>'H-MO'!$N$86</f>
        <v>685561.39085756091</v>
      </c>
      <c r="E6332" s="29">
        <f>+D6332/8</f>
        <v>85695.173857195114</v>
      </c>
      <c r="F6332" s="28">
        <v>0</v>
      </c>
      <c r="G6332" s="33">
        <f>+E6332*F6332</f>
        <v>0</v>
      </c>
    </row>
    <row r="6333" spans="1:8" ht="14.25" thickBot="1">
      <c r="A6333" s="211" t="s">
        <v>519</v>
      </c>
      <c r="B6333" s="216" t="str">
        <f ca="1">_xlfn.CONCAT(B6296,A6333)</f>
        <v>A956480-aj</v>
      </c>
      <c r="C6333" s="34"/>
      <c r="D6333" s="187"/>
      <c r="E6333" s="29"/>
      <c r="F6333" s="28"/>
      <c r="G6333" s="33">
        <f>+E6333*F6333</f>
        <v>0</v>
      </c>
    </row>
    <row r="6334" spans="1:8" ht="14.25" thickBot="1">
      <c r="A6334" s="211" t="s">
        <v>520</v>
      </c>
      <c r="B6334" s="216" t="str">
        <f ca="1">_xlfn.CONCAT(B6296,A6334)</f>
        <v>A956480-ak</v>
      </c>
      <c r="C6334" s="34"/>
      <c r="D6334" s="185"/>
      <c r="E6334" s="26"/>
      <c r="F6334" s="36" t="s">
        <v>31</v>
      </c>
      <c r="G6334" s="23">
        <f>SUM(G6331:G6333)</f>
        <v>7259.1852892505522</v>
      </c>
    </row>
    <row r="6335" spans="1:8" ht="14.25" thickBot="1">
      <c r="A6335" s="211" t="s">
        <v>521</v>
      </c>
      <c r="B6335" s="216" t="str">
        <f ca="1">_xlfn.CONCAT(B6296,A6335)</f>
        <v>A956480-al</v>
      </c>
      <c r="C6335" s="37"/>
      <c r="E6335" s="38"/>
      <c r="F6335" s="22"/>
      <c r="G6335" s="39"/>
    </row>
    <row r="6336" spans="1:8" ht="16.5" thickBot="1">
      <c r="A6336" s="211" t="s">
        <v>522</v>
      </c>
      <c r="B6336" s="216" t="str">
        <f ca="1">_xlfn.CONCAT(B6296,A6336)</f>
        <v>A956480-am</v>
      </c>
      <c r="C6336" s="40"/>
      <c r="D6336" s="193"/>
      <c r="E6336" s="41"/>
      <c r="F6336" s="42"/>
      <c r="G6336" s="43">
        <f>+G6319+G6328+G6334</f>
        <v>119443.24903925056</v>
      </c>
    </row>
    <row r="6337" spans="1:8" ht="21.75" thickBot="1">
      <c r="B6337" s="212" t="s">
        <v>550</v>
      </c>
      <c r="C6337" s="2"/>
      <c r="D6337" s="183"/>
      <c r="F6337" s="4"/>
      <c r="G6337" s="5"/>
    </row>
    <row r="6338" spans="1:8" ht="18.75">
      <c r="A6338" s="213"/>
      <c r="B6338" s="214">
        <v>144</v>
      </c>
      <c r="C6338" s="242" t="str">
        <f ca="1">_xlfn.XLOOKUP(B6338,Cantidades!$A$10:$A$314,Cantidades!$C$10:$C$314,,0,1)</f>
        <v>Retiro de sellos por operador de red</v>
      </c>
      <c r="D6338" s="243"/>
      <c r="E6338" s="243"/>
      <c r="F6338" s="243"/>
      <c r="G6338" s="244"/>
      <c r="H6338" s="213"/>
    </row>
    <row r="6339" spans="1:8" ht="19.5" thickBot="1">
      <c r="A6339" s="215"/>
      <c r="B6339" s="216" t="s">
        <v>550</v>
      </c>
      <c r="C6339" s="177"/>
      <c r="D6339" s="189"/>
      <c r="E6339" s="178"/>
      <c r="F6339" s="179" t="s">
        <v>636</v>
      </c>
      <c r="G6339" s="209" t="str">
        <f ca="1">B6340</f>
        <v>373651DD-</v>
      </c>
      <c r="H6339" s="215"/>
    </row>
    <row r="6340" spans="1:8" ht="15.75" thickBot="1">
      <c r="B6340" s="212" t="str">
        <f ca="1">_xlfn.XLOOKUP(C6338,Cantidades!$C$1:$C$314,Cantidades!$B$1:$B$314,"",0,1)</f>
        <v>373651DD-</v>
      </c>
      <c r="C6340" s="10" t="s">
        <v>0</v>
      </c>
      <c r="D6340" s="190"/>
      <c r="E6340" s="11"/>
      <c r="F6340" s="12"/>
      <c r="G6340" s="13"/>
    </row>
    <row r="6341" spans="1:8" ht="14.25" thickBot="1">
      <c r="A6341" s="215"/>
      <c r="B6341" s="216" t="s">
        <v>550</v>
      </c>
      <c r="C6341" s="14" t="s">
        <v>1</v>
      </c>
      <c r="D6341" s="15" t="s">
        <v>2</v>
      </c>
      <c r="E6341" s="15" t="s">
        <v>3</v>
      </c>
      <c r="F6341" s="16" t="s">
        <v>4</v>
      </c>
      <c r="G6341" s="15" t="s">
        <v>5</v>
      </c>
      <c r="H6341" s="215"/>
    </row>
    <row r="6342" spans="1:8" ht="15">
      <c r="A6342" s="211" t="s">
        <v>484</v>
      </c>
      <c r="B6342" s="216" t="str">
        <f ca="1">_xlfn.CONCAT(B6340,A6342)</f>
        <v>373651DD-A</v>
      </c>
      <c r="C6342" s="17" t="str">
        <f>_xlfn.XLOOKUP(H6342,'Materiales unitario'!$A$1:$A$2500,'Materiales unitario'!B$1:B$2500,,0,1)</f>
        <v>Retiro de sellos Residencial</v>
      </c>
      <c r="D6342" s="184" t="str">
        <f>_xlfn.XLOOKUP(H6342,'Materiales unitario'!A$1:A$2500,'Materiales unitario'!C$1:C$2500,,0,1)</f>
        <v>un</v>
      </c>
      <c r="E6342" s="197">
        <f>_xlfn.XLOOKUP(H6342,'Materiales unitario'!$A$1:$A$2500,'Materiales unitario'!D$1:D$2500,,0,1)</f>
        <v>56689</v>
      </c>
      <c r="F6342" s="19">
        <v>1</v>
      </c>
      <c r="G6342" s="20">
        <f>+E6342*F6342</f>
        <v>56689</v>
      </c>
      <c r="H6342" s="217" t="s">
        <v>1257</v>
      </c>
    </row>
    <row r="6343" spans="1:8" ht="15">
      <c r="A6343" s="211" t="s">
        <v>485</v>
      </c>
      <c r="B6343" s="216" t="str">
        <f ca="1">_xlfn.CONCAT(B6340,A6343)</f>
        <v>373651DD-B</v>
      </c>
      <c r="C6343" s="17"/>
      <c r="D6343" s="184"/>
      <c r="E6343" s="197"/>
      <c r="F6343" s="19"/>
      <c r="G6343" s="20"/>
      <c r="H6343" s="217"/>
    </row>
    <row r="6344" spans="1:8" ht="15">
      <c r="A6344" s="211" t="s">
        <v>486</v>
      </c>
      <c r="B6344" s="216" t="str">
        <f ca="1">_xlfn.CONCAT(B6340,A6344)</f>
        <v>373651DD-C</v>
      </c>
      <c r="C6344" s="17"/>
      <c r="D6344" s="184"/>
      <c r="E6344" s="197"/>
      <c r="F6344" s="19"/>
      <c r="G6344" s="20"/>
      <c r="H6344" s="217"/>
    </row>
    <row r="6345" spans="1:8" ht="15">
      <c r="A6345" s="211" t="s">
        <v>487</v>
      </c>
      <c r="B6345" s="216" t="str">
        <f ca="1">_xlfn.CONCAT(B6340,A6345)</f>
        <v>373651DD-D</v>
      </c>
      <c r="C6345" s="17"/>
      <c r="D6345" s="184"/>
      <c r="E6345" s="197"/>
      <c r="F6345" s="19"/>
      <c r="G6345" s="20"/>
      <c r="H6345" s="217"/>
    </row>
    <row r="6346" spans="1:8" ht="15">
      <c r="A6346" s="211" t="s">
        <v>488</v>
      </c>
      <c r="B6346" s="216" t="str">
        <f ca="1">_xlfn.CONCAT(B6340,A6346)</f>
        <v>373651DD-E</v>
      </c>
      <c r="C6346" s="17"/>
      <c r="D6346" s="184"/>
      <c r="E6346" s="197"/>
      <c r="F6346" s="19"/>
      <c r="G6346" s="20"/>
      <c r="H6346" s="217"/>
    </row>
    <row r="6347" spans="1:8" ht="15">
      <c r="A6347" s="211" t="s">
        <v>489</v>
      </c>
      <c r="B6347" s="216" t="str">
        <f ca="1">_xlfn.CONCAT(B6340,A6347)</f>
        <v>373651DD-F</v>
      </c>
      <c r="C6347" s="17"/>
      <c r="D6347" s="184"/>
      <c r="E6347" s="197"/>
      <c r="F6347" s="19"/>
      <c r="G6347" s="20"/>
      <c r="H6347" s="217"/>
    </row>
    <row r="6348" spans="1:8" ht="15">
      <c r="A6348" s="211" t="s">
        <v>490</v>
      </c>
      <c r="B6348" s="216" t="str">
        <f ca="1">_xlfn.CONCAT(B6340,A6348)</f>
        <v>373651DD-G</v>
      </c>
      <c r="C6348" s="17"/>
      <c r="D6348" s="184"/>
      <c r="E6348" s="197"/>
      <c r="F6348" s="19"/>
      <c r="G6348" s="20"/>
      <c r="H6348" s="217"/>
    </row>
    <row r="6349" spans="1:8" ht="15">
      <c r="A6349" s="211" t="s">
        <v>491</v>
      </c>
      <c r="B6349" s="216" t="str">
        <f ca="1">_xlfn.CONCAT(B6340,A6349)</f>
        <v>373651DD-H</v>
      </c>
      <c r="C6349" s="17"/>
      <c r="D6349" s="184"/>
      <c r="E6349" s="197"/>
      <c r="F6349" s="19"/>
      <c r="G6349" s="20"/>
      <c r="H6349" s="217"/>
    </row>
    <row r="6350" spans="1:8" ht="15">
      <c r="A6350" s="211" t="s">
        <v>492</v>
      </c>
      <c r="B6350" s="216" t="str">
        <f ca="1">_xlfn.CONCAT(B6340,A6350)</f>
        <v>373651DD-I</v>
      </c>
      <c r="C6350" s="17"/>
      <c r="D6350" s="184"/>
      <c r="E6350" s="197"/>
      <c r="F6350" s="19"/>
      <c r="G6350" s="20"/>
      <c r="H6350" s="217"/>
    </row>
    <row r="6351" spans="1:8" ht="15">
      <c r="A6351" s="211" t="s">
        <v>493</v>
      </c>
      <c r="B6351" s="216" t="str">
        <f ca="1">_xlfn.CONCAT(B6340,A6351)</f>
        <v>373651DD-J</v>
      </c>
      <c r="C6351" s="17"/>
      <c r="D6351" s="184"/>
      <c r="E6351" s="197"/>
      <c r="F6351" s="19"/>
      <c r="G6351" s="20"/>
      <c r="H6351" s="217"/>
    </row>
    <row r="6352" spans="1:8" ht="15">
      <c r="A6352" s="211" t="s">
        <v>494</v>
      </c>
      <c r="B6352" s="216" t="str">
        <f ca="1">_xlfn.CONCAT(B6340,A6352)</f>
        <v>373651DD-K</v>
      </c>
      <c r="C6352" s="17"/>
      <c r="D6352" s="184"/>
      <c r="E6352" s="197"/>
      <c r="F6352" s="19"/>
      <c r="G6352" s="20"/>
      <c r="H6352" s="217"/>
    </row>
    <row r="6353" spans="1:8" ht="15">
      <c r="A6353" s="211" t="s">
        <v>495</v>
      </c>
      <c r="B6353" s="216" t="str">
        <f ca="1">_xlfn.CONCAT(B6340,A6353)</f>
        <v>373651DD-L</v>
      </c>
      <c r="C6353" s="17"/>
      <c r="D6353" s="184"/>
      <c r="E6353" s="197"/>
      <c r="F6353" s="19"/>
      <c r="G6353" s="20"/>
      <c r="H6353" s="217"/>
    </row>
    <row r="6354" spans="1:8" ht="15">
      <c r="A6354" s="211" t="s">
        <v>496</v>
      </c>
      <c r="B6354" s="216" t="str">
        <f ca="1">_xlfn.CONCAT(B6340,A6354)</f>
        <v>373651DD-M</v>
      </c>
      <c r="C6354" s="17"/>
      <c r="D6354" s="184"/>
      <c r="E6354" s="197"/>
      <c r="F6354" s="19"/>
      <c r="G6354" s="20"/>
      <c r="H6354" s="217"/>
    </row>
    <row r="6355" spans="1:8">
      <c r="A6355" s="211" t="s">
        <v>497</v>
      </c>
      <c r="B6355" s="216" t="str">
        <f ca="1">_xlfn.CONCAT(B6340,A6355)</f>
        <v>373651DD-N</v>
      </c>
      <c r="C6355" s="17"/>
      <c r="D6355" s="184"/>
      <c r="E6355" s="197"/>
      <c r="F6355" s="19"/>
      <c r="G6355" s="20"/>
    </row>
    <row r="6356" spans="1:8">
      <c r="A6356" s="211" t="s">
        <v>498</v>
      </c>
      <c r="B6356" s="216" t="str">
        <f ca="1">_xlfn.CONCAT(B6340,A6356)</f>
        <v>373651DD-O</v>
      </c>
      <c r="C6356" s="17"/>
      <c r="D6356" s="184"/>
      <c r="E6356" s="197"/>
      <c r="F6356" s="19"/>
      <c r="G6356" s="20"/>
    </row>
    <row r="6357" spans="1:8">
      <c r="A6357" s="211" t="s">
        <v>499</v>
      </c>
      <c r="B6357" s="216" t="str">
        <f ca="1">_xlfn.CONCAT(B6340,A6357)</f>
        <v>373651DD-P</v>
      </c>
      <c r="C6357" s="17"/>
      <c r="D6357" s="184"/>
      <c r="E6357" s="197"/>
      <c r="F6357" s="19"/>
      <c r="G6357" s="20"/>
    </row>
    <row r="6358" spans="1:8">
      <c r="A6358" s="211" t="s">
        <v>500</v>
      </c>
      <c r="B6358" s="216" t="str">
        <f ca="1">_xlfn.CONCAT(B6340,A6358)</f>
        <v>373651DD-Q</v>
      </c>
      <c r="C6358" s="17"/>
      <c r="D6358" s="184"/>
      <c r="E6358" s="197"/>
      <c r="F6358" s="19"/>
      <c r="G6358" s="20"/>
    </row>
    <row r="6359" spans="1:8">
      <c r="A6359" s="211" t="s">
        <v>501</v>
      </c>
      <c r="B6359" s="216" t="str">
        <f ca="1">_xlfn.CONCAT(B6340,A6359)</f>
        <v>373651DD-R</v>
      </c>
      <c r="C6359" s="17"/>
      <c r="D6359" s="184"/>
      <c r="E6359" s="197"/>
      <c r="F6359" s="19"/>
      <c r="G6359" s="20"/>
    </row>
    <row r="6360" spans="1:8">
      <c r="A6360" s="211" t="s">
        <v>502</v>
      </c>
      <c r="B6360" s="216" t="str">
        <f ca="1">_xlfn.CONCAT(B6340,A6360)</f>
        <v>373651DD-S</v>
      </c>
      <c r="C6360" s="17"/>
      <c r="D6360" s="184"/>
      <c r="E6360" s="197"/>
      <c r="F6360" s="19"/>
      <c r="G6360" s="20"/>
    </row>
    <row r="6361" spans="1:8">
      <c r="A6361" s="211" t="s">
        <v>503</v>
      </c>
      <c r="B6361" s="216" t="str">
        <f ca="1">_xlfn.CONCAT(B6340,A6361)</f>
        <v>373651DD-T</v>
      </c>
      <c r="C6361" s="17"/>
      <c r="D6361" s="184"/>
      <c r="E6361" s="197"/>
      <c r="F6361" s="19"/>
      <c r="G6361" s="20"/>
    </row>
    <row r="6362" spans="1:8" ht="14.25" thickBot="1">
      <c r="A6362" s="211" t="s">
        <v>504</v>
      </c>
      <c r="B6362" s="216" t="str">
        <f ca="1">_xlfn.CONCAT(B6340,A6362)</f>
        <v>373651DD-U</v>
      </c>
      <c r="C6362" s="17"/>
      <c r="D6362" s="184"/>
      <c r="E6362" s="197"/>
      <c r="F6362" s="19"/>
      <c r="G6362" s="20"/>
    </row>
    <row r="6363" spans="1:8" ht="14.25" thickBot="1">
      <c r="A6363" s="211" t="s">
        <v>505</v>
      </c>
      <c r="B6363" s="216" t="str">
        <f ca="1">_xlfn.CONCAT(B6340,A6363)</f>
        <v>373651DD-V</v>
      </c>
      <c r="C6363" s="17" t="s">
        <v>17</v>
      </c>
      <c r="D6363" s="192" t="s">
        <v>17</v>
      </c>
      <c r="E6363" s="18"/>
      <c r="F6363" s="22" t="s">
        <v>18</v>
      </c>
      <c r="G6363" s="23">
        <f>SUM(G6342:G6362)</f>
        <v>56689</v>
      </c>
    </row>
    <row r="6364" spans="1:8" ht="15.75" thickBot="1">
      <c r="A6364" s="211" t="s">
        <v>506</v>
      </c>
      <c r="B6364" s="216" t="str">
        <f ca="1">_xlfn.CONCAT(B6340,A6364)</f>
        <v>373651DD-W</v>
      </c>
      <c r="C6364" s="10" t="s">
        <v>19</v>
      </c>
      <c r="D6364" s="190"/>
      <c r="E6364" s="11"/>
      <c r="F6364" s="12"/>
      <c r="G6364" s="13"/>
    </row>
    <row r="6365" spans="1:8" ht="14.25" thickBot="1">
      <c r="A6365" s="211" t="s">
        <v>507</v>
      </c>
      <c r="B6365" s="216" t="str">
        <f ca="1">_xlfn.CONCAT(B6340,A6365)</f>
        <v>373651DD-X</v>
      </c>
      <c r="C6365" s="14" t="s">
        <v>1</v>
      </c>
      <c r="D6365" s="15"/>
      <c r="E6365" s="15" t="s">
        <v>20</v>
      </c>
      <c r="F6365" s="16" t="s">
        <v>21</v>
      </c>
      <c r="G6365" s="15" t="s">
        <v>5</v>
      </c>
      <c r="H6365" s="215"/>
    </row>
    <row r="6366" spans="1:8">
      <c r="A6366" s="211" t="s">
        <v>508</v>
      </c>
      <c r="B6366" s="216" t="str">
        <f ca="1">_xlfn.CONCAT(B6340,A6366)</f>
        <v>373651DD-Y</v>
      </c>
      <c r="C6366" s="24" t="s">
        <v>22</v>
      </c>
      <c r="D6366" s="184"/>
      <c r="E6366" s="25">
        <f>_xlfn.XLOOKUP(C6366,'H-MO'!B$7:B$30,'H-MO'!D$7:D$30,,0,1)</f>
        <v>2436.5624999999995</v>
      </c>
      <c r="F6366" s="19">
        <v>0.01</v>
      </c>
      <c r="G6366" s="33">
        <f t="shared" ref="G6366:G6371" si="178">+E6366*F6366</f>
        <v>24.365624999999994</v>
      </c>
    </row>
    <row r="6367" spans="1:8">
      <c r="A6367" s="211" t="s">
        <v>509</v>
      </c>
      <c r="B6367" s="216" t="str">
        <f ca="1">_xlfn.CONCAT(B6340,A6367)</f>
        <v>373651DD-Z</v>
      </c>
      <c r="C6367" s="24" t="s">
        <v>23</v>
      </c>
      <c r="D6367" s="184"/>
      <c r="E6367" s="25">
        <f>_xlfn.XLOOKUP(C6367,'H-MO'!B$7:B$30,'H-MO'!D$7:D$30,,0,1)</f>
        <v>1461.9374999999998</v>
      </c>
      <c r="F6367" s="19">
        <v>0.01</v>
      </c>
      <c r="G6367" s="33">
        <f t="shared" si="178"/>
        <v>14.619374999999998</v>
      </c>
    </row>
    <row r="6368" spans="1:8">
      <c r="A6368" s="211" t="s">
        <v>510</v>
      </c>
      <c r="B6368" s="216" t="str">
        <f ca="1">_xlfn.CONCAT(B6340,A6368)</f>
        <v>373651DD-aa</v>
      </c>
      <c r="C6368" s="24" t="s">
        <v>24</v>
      </c>
      <c r="D6368" s="185"/>
      <c r="E6368" s="25">
        <f>_xlfn.XLOOKUP(C6368,'H-MO'!B$7:B$30,'H-MO'!D$7:D$30,,0,1)</f>
        <v>29238.749999999996</v>
      </c>
      <c r="F6368" s="28">
        <v>0.01</v>
      </c>
      <c r="G6368" s="33">
        <f t="shared" si="178"/>
        <v>292.38749999999999</v>
      </c>
    </row>
    <row r="6369" spans="1:8">
      <c r="A6369" s="211" t="s">
        <v>511</v>
      </c>
      <c r="B6369" s="216" t="str">
        <f ca="1">_xlfn.CONCAT(B6340,A6369)</f>
        <v>373651DD-ab</v>
      </c>
      <c r="C6369" s="24" t="s">
        <v>25</v>
      </c>
      <c r="D6369" s="185"/>
      <c r="E6369" s="25">
        <f>_xlfn.XLOOKUP(C6369,'H-MO'!B$7:B$30,'H-MO'!D$7:D$30,,0,1)</f>
        <v>2761.4374999999995</v>
      </c>
      <c r="F6369" s="28">
        <v>0.01</v>
      </c>
      <c r="G6369" s="33">
        <f t="shared" si="178"/>
        <v>27.614374999999995</v>
      </c>
    </row>
    <row r="6370" spans="1:8">
      <c r="A6370" s="211" t="s">
        <v>512</v>
      </c>
      <c r="B6370" s="216" t="str">
        <f ca="1">_xlfn.CONCAT(B6340,A6370)</f>
        <v>373651DD-ac</v>
      </c>
      <c r="C6370" s="24"/>
      <c r="D6370" s="185"/>
      <c r="E6370" s="29"/>
      <c r="F6370" s="28"/>
      <c r="G6370" s="33">
        <f t="shared" si="178"/>
        <v>0</v>
      </c>
    </row>
    <row r="6371" spans="1:8" ht="14.25" thickBot="1">
      <c r="A6371" s="211" t="s">
        <v>513</v>
      </c>
      <c r="B6371" s="216" t="str">
        <f ca="1">_xlfn.CONCAT(B6340,A6371)</f>
        <v>373651DD-ad</v>
      </c>
      <c r="C6371" s="24"/>
      <c r="D6371" s="185"/>
      <c r="E6371" s="29"/>
      <c r="F6371" s="28"/>
      <c r="G6371" s="33">
        <f t="shared" si="178"/>
        <v>0</v>
      </c>
    </row>
    <row r="6372" spans="1:8" ht="14.25" thickBot="1">
      <c r="A6372" s="211" t="s">
        <v>514</v>
      </c>
      <c r="B6372" s="216" t="str">
        <f ca="1">_xlfn.CONCAT(B6340,A6372)</f>
        <v>373651DD-ae</v>
      </c>
      <c r="C6372" s="17"/>
      <c r="D6372" s="192"/>
      <c r="E6372" s="18"/>
      <c r="F6372" s="22" t="s">
        <v>26</v>
      </c>
      <c r="G6372" s="23">
        <f>SUM(G6366:G6371)</f>
        <v>358.986875</v>
      </c>
    </row>
    <row r="6373" spans="1:8" ht="15.75" thickBot="1">
      <c r="A6373" s="211" t="s">
        <v>515</v>
      </c>
      <c r="B6373" s="216" t="str">
        <f ca="1">_xlfn.CONCAT(B6340,A6373)</f>
        <v>373651DD-af</v>
      </c>
      <c r="C6373" s="10" t="s">
        <v>27</v>
      </c>
      <c r="D6373" s="190"/>
      <c r="E6373" s="11"/>
      <c r="F6373" s="12"/>
      <c r="G6373" s="13"/>
    </row>
    <row r="6374" spans="1:8" ht="14.25" thickBot="1">
      <c r="A6374" s="211" t="s">
        <v>516</v>
      </c>
      <c r="B6374" s="216" t="str">
        <f ca="1">_xlfn.CONCAT(B6340,A6374)</f>
        <v>373651DD-ag</v>
      </c>
      <c r="C6374" s="14" t="s">
        <v>1</v>
      </c>
      <c r="D6374" s="15" t="s">
        <v>28</v>
      </c>
      <c r="E6374" s="15" t="s">
        <v>20</v>
      </c>
      <c r="F6374" s="16" t="s">
        <v>21</v>
      </c>
      <c r="G6374" s="15" t="s">
        <v>5</v>
      </c>
      <c r="H6374" s="215"/>
    </row>
    <row r="6375" spans="1:8">
      <c r="A6375" s="211" t="s">
        <v>517</v>
      </c>
      <c r="B6375" s="216" t="str">
        <f ca="1">_xlfn.CONCAT(B6340,A6375)</f>
        <v>373651DD-ah</v>
      </c>
      <c r="C6375" s="30" t="s">
        <v>29</v>
      </c>
      <c r="D6375" s="186">
        <f>'H-MO'!$N$77</f>
        <v>725918.52892505517</v>
      </c>
      <c r="E6375" s="31">
        <f>+D6375/8</f>
        <v>90739.816115631897</v>
      </c>
      <c r="F6375" s="32">
        <v>1E-3</v>
      </c>
      <c r="G6375" s="33">
        <f>+E6375*F6375</f>
        <v>90.739816115631896</v>
      </c>
    </row>
    <row r="6376" spans="1:8">
      <c r="A6376" s="211" t="s">
        <v>518</v>
      </c>
      <c r="B6376" s="216" t="str">
        <f ca="1">_xlfn.CONCAT(B6340,A6376)</f>
        <v>373651DD-ai</v>
      </c>
      <c r="C6376" s="34" t="s">
        <v>30</v>
      </c>
      <c r="D6376" s="187">
        <f>'H-MO'!$N$86</f>
        <v>685561.39085756091</v>
      </c>
      <c r="E6376" s="29">
        <f>+D6376/8</f>
        <v>85695.173857195114</v>
      </c>
      <c r="F6376" s="28">
        <v>1E-3</v>
      </c>
      <c r="G6376" s="33">
        <f>+E6376*F6376</f>
        <v>85.695173857195115</v>
      </c>
    </row>
    <row r="6377" spans="1:8" ht="14.25" thickBot="1">
      <c r="A6377" s="211" t="s">
        <v>519</v>
      </c>
      <c r="B6377" s="216" t="str">
        <f ca="1">_xlfn.CONCAT(B6340,A6377)</f>
        <v>373651DD-aj</v>
      </c>
      <c r="C6377" s="34"/>
      <c r="D6377" s="187"/>
      <c r="E6377" s="29"/>
      <c r="F6377" s="28"/>
      <c r="G6377" s="33">
        <f>+E6377*F6377</f>
        <v>0</v>
      </c>
    </row>
    <row r="6378" spans="1:8" ht="14.25" thickBot="1">
      <c r="A6378" s="211" t="s">
        <v>520</v>
      </c>
      <c r="B6378" s="216" t="str">
        <f ca="1">_xlfn.CONCAT(B6340,A6378)</f>
        <v>373651DD-ak</v>
      </c>
      <c r="C6378" s="34"/>
      <c r="D6378" s="185"/>
      <c r="E6378" s="26"/>
      <c r="F6378" s="36" t="s">
        <v>31</v>
      </c>
      <c r="G6378" s="23">
        <f>SUM(G6375:G6377)</f>
        <v>176.434989972827</v>
      </c>
    </row>
    <row r="6379" spans="1:8" ht="14.25" thickBot="1">
      <c r="A6379" s="211" t="s">
        <v>521</v>
      </c>
      <c r="B6379" s="216" t="str">
        <f ca="1">_xlfn.CONCAT(B6340,A6379)</f>
        <v>373651DD-al</v>
      </c>
      <c r="C6379" s="37"/>
      <c r="E6379" s="38"/>
      <c r="F6379" s="22"/>
      <c r="G6379" s="39"/>
    </row>
    <row r="6380" spans="1:8" ht="16.5" thickBot="1">
      <c r="A6380" s="211" t="s">
        <v>522</v>
      </c>
      <c r="B6380" s="216" t="str">
        <f ca="1">_xlfn.CONCAT(B6340,A6380)</f>
        <v>373651DD-am</v>
      </c>
      <c r="C6380" s="40"/>
      <c r="D6380" s="193"/>
      <c r="E6380" s="41"/>
      <c r="F6380" s="42"/>
      <c r="G6380" s="43">
        <f>+G6363+G6372+G6378</f>
        <v>57224.421864972828</v>
      </c>
    </row>
    <row r="6381" spans="1:8" ht="21.75" thickBot="1">
      <c r="B6381" s="212" t="s">
        <v>550</v>
      </c>
      <c r="C6381" s="2"/>
      <c r="D6381" s="183"/>
      <c r="F6381" s="4"/>
      <c r="G6381" s="5"/>
    </row>
    <row r="6382" spans="1:8" ht="18.75">
      <c r="A6382" s="213"/>
      <c r="B6382" s="214">
        <v>145</v>
      </c>
      <c r="C6382" s="242" t="str">
        <f ca="1">_xlfn.XLOOKUP(B6382,Cantidades!$A$10:$A$314,Cantidades!$C$10:$C$314,,0,1)</f>
        <v>Retiro de barraje de puesta a tierra</v>
      </c>
      <c r="D6382" s="243"/>
      <c r="E6382" s="243"/>
      <c r="F6382" s="243"/>
      <c r="G6382" s="244"/>
      <c r="H6382" s="213"/>
    </row>
    <row r="6383" spans="1:8" ht="19.5" thickBot="1">
      <c r="A6383" s="215"/>
      <c r="B6383" s="216" t="s">
        <v>550</v>
      </c>
      <c r="C6383" s="177"/>
      <c r="D6383" s="189"/>
      <c r="E6383" s="178"/>
      <c r="F6383" s="179" t="s">
        <v>636</v>
      </c>
      <c r="G6383" s="209" t="str">
        <f ca="1">B6384</f>
        <v>235B10A6-</v>
      </c>
      <c r="H6383" s="215"/>
    </row>
    <row r="6384" spans="1:8" ht="15.75" thickBot="1">
      <c r="B6384" s="212" t="str">
        <f ca="1">_xlfn.XLOOKUP(C6382,Cantidades!$C$1:$C$314,Cantidades!$B$1:$B$314,"",0,1)</f>
        <v>235B10A6-</v>
      </c>
      <c r="C6384" s="10" t="s">
        <v>0</v>
      </c>
      <c r="D6384" s="190"/>
      <c r="E6384" s="11"/>
      <c r="F6384" s="12"/>
      <c r="G6384" s="13"/>
    </row>
    <row r="6385" spans="1:8" ht="14.25" thickBot="1">
      <c r="A6385" s="215"/>
      <c r="B6385" s="216" t="s">
        <v>550</v>
      </c>
      <c r="C6385" s="14" t="s">
        <v>1</v>
      </c>
      <c r="D6385" s="15" t="s">
        <v>2</v>
      </c>
      <c r="E6385" s="15" t="s">
        <v>3</v>
      </c>
      <c r="F6385" s="16" t="s">
        <v>4</v>
      </c>
      <c r="G6385" s="15" t="s">
        <v>5</v>
      </c>
      <c r="H6385" s="215"/>
    </row>
    <row r="6386" spans="1:8" ht="15">
      <c r="A6386" s="211" t="s">
        <v>484</v>
      </c>
      <c r="B6386" s="216" t="str">
        <f ca="1">_xlfn.CONCAT(B6384,A6386)</f>
        <v>235B10A6-A</v>
      </c>
      <c r="C6386" s="17" t="str">
        <f>_xlfn.XLOOKUP(H6386,'Materiales unitario'!$A$1:$A$2500,'Materiales unitario'!B$1:B$2500,,0,1)</f>
        <v>Insumos menores</v>
      </c>
      <c r="D6386" s="184" t="str">
        <f>_xlfn.XLOOKUP(H6386,'Materiales unitario'!A$1:A$2500,'Materiales unitario'!C$1:C$2500,,0,1)</f>
        <v>un</v>
      </c>
      <c r="E6386" s="197">
        <f>_xlfn.XLOOKUP(H6386,'Materiales unitario'!$A$1:$A$2500,'Materiales unitario'!D$1:D$2500,,0,1)</f>
        <v>7300</v>
      </c>
      <c r="F6386" s="19">
        <v>0.2</v>
      </c>
      <c r="G6386" s="20">
        <f>+E6386*F6386</f>
        <v>1460</v>
      </c>
      <c r="H6386" s="217" t="s">
        <v>532</v>
      </c>
    </row>
    <row r="6387" spans="1:8" ht="15">
      <c r="A6387" s="211" t="s">
        <v>485</v>
      </c>
      <c r="B6387" s="216" t="str">
        <f ca="1">_xlfn.CONCAT(B6384,A6387)</f>
        <v>235B10A6-B</v>
      </c>
      <c r="C6387" s="17"/>
      <c r="D6387" s="184"/>
      <c r="E6387" s="197"/>
      <c r="F6387" s="19"/>
      <c r="G6387" s="20"/>
      <c r="H6387" s="217"/>
    </row>
    <row r="6388" spans="1:8" ht="15">
      <c r="A6388" s="211" t="s">
        <v>486</v>
      </c>
      <c r="B6388" s="216" t="str">
        <f ca="1">_xlfn.CONCAT(B6384,A6388)</f>
        <v>235B10A6-C</v>
      </c>
      <c r="C6388" s="17"/>
      <c r="D6388" s="184"/>
      <c r="E6388" s="197"/>
      <c r="F6388" s="19"/>
      <c r="G6388" s="20"/>
      <c r="H6388" s="217"/>
    </row>
    <row r="6389" spans="1:8" ht="15">
      <c r="A6389" s="211" t="s">
        <v>487</v>
      </c>
      <c r="B6389" s="216" t="str">
        <f ca="1">_xlfn.CONCAT(B6384,A6389)</f>
        <v>235B10A6-D</v>
      </c>
      <c r="C6389" s="17"/>
      <c r="D6389" s="184"/>
      <c r="E6389" s="197"/>
      <c r="F6389" s="19"/>
      <c r="G6389" s="20"/>
      <c r="H6389" s="217"/>
    </row>
    <row r="6390" spans="1:8" ht="15">
      <c r="A6390" s="211" t="s">
        <v>488</v>
      </c>
      <c r="B6390" s="216" t="str">
        <f ca="1">_xlfn.CONCAT(B6384,A6390)</f>
        <v>235B10A6-E</v>
      </c>
      <c r="C6390" s="17"/>
      <c r="D6390" s="184"/>
      <c r="E6390" s="197"/>
      <c r="F6390" s="19"/>
      <c r="G6390" s="20"/>
      <c r="H6390" s="217"/>
    </row>
    <row r="6391" spans="1:8" ht="15">
      <c r="A6391" s="211" t="s">
        <v>489</v>
      </c>
      <c r="B6391" s="216" t="str">
        <f ca="1">_xlfn.CONCAT(B6384,A6391)</f>
        <v>235B10A6-F</v>
      </c>
      <c r="C6391" s="17"/>
      <c r="D6391" s="184"/>
      <c r="E6391" s="197"/>
      <c r="F6391" s="19"/>
      <c r="G6391" s="20"/>
      <c r="H6391" s="217"/>
    </row>
    <row r="6392" spans="1:8" ht="15">
      <c r="A6392" s="211" t="s">
        <v>490</v>
      </c>
      <c r="B6392" s="216" t="str">
        <f ca="1">_xlfn.CONCAT(B6384,A6392)</f>
        <v>235B10A6-G</v>
      </c>
      <c r="C6392" s="17"/>
      <c r="D6392" s="184"/>
      <c r="E6392" s="197"/>
      <c r="F6392" s="19"/>
      <c r="G6392" s="20"/>
      <c r="H6392" s="217"/>
    </row>
    <row r="6393" spans="1:8" ht="15">
      <c r="A6393" s="211" t="s">
        <v>491</v>
      </c>
      <c r="B6393" s="216" t="str">
        <f ca="1">_xlfn.CONCAT(B6384,A6393)</f>
        <v>235B10A6-H</v>
      </c>
      <c r="C6393" s="17"/>
      <c r="D6393" s="184"/>
      <c r="E6393" s="197"/>
      <c r="F6393" s="19"/>
      <c r="G6393" s="20"/>
      <c r="H6393" s="217"/>
    </row>
    <row r="6394" spans="1:8" ht="15">
      <c r="A6394" s="211" t="s">
        <v>492</v>
      </c>
      <c r="B6394" s="216" t="str">
        <f ca="1">_xlfn.CONCAT(B6384,A6394)</f>
        <v>235B10A6-I</v>
      </c>
      <c r="C6394" s="17"/>
      <c r="D6394" s="184"/>
      <c r="E6394" s="197"/>
      <c r="F6394" s="19"/>
      <c r="G6394" s="20"/>
      <c r="H6394" s="217"/>
    </row>
    <row r="6395" spans="1:8" ht="15">
      <c r="A6395" s="211" t="s">
        <v>493</v>
      </c>
      <c r="B6395" s="216" t="str">
        <f ca="1">_xlfn.CONCAT(B6384,A6395)</f>
        <v>235B10A6-J</v>
      </c>
      <c r="C6395" s="17"/>
      <c r="D6395" s="184"/>
      <c r="E6395" s="197"/>
      <c r="F6395" s="19"/>
      <c r="G6395" s="20"/>
      <c r="H6395" s="217"/>
    </row>
    <row r="6396" spans="1:8" ht="15">
      <c r="A6396" s="211" t="s">
        <v>494</v>
      </c>
      <c r="B6396" s="216" t="str">
        <f ca="1">_xlfn.CONCAT(B6384,A6396)</f>
        <v>235B10A6-K</v>
      </c>
      <c r="C6396" s="17"/>
      <c r="D6396" s="184"/>
      <c r="E6396" s="197"/>
      <c r="F6396" s="19"/>
      <c r="G6396" s="20"/>
      <c r="H6396" s="217"/>
    </row>
    <row r="6397" spans="1:8" ht="15">
      <c r="A6397" s="211" t="s">
        <v>495</v>
      </c>
      <c r="B6397" s="216" t="str">
        <f ca="1">_xlfn.CONCAT(B6384,A6397)</f>
        <v>235B10A6-L</v>
      </c>
      <c r="C6397" s="17"/>
      <c r="D6397" s="184"/>
      <c r="E6397" s="197"/>
      <c r="F6397" s="19"/>
      <c r="G6397" s="20"/>
      <c r="H6397" s="217"/>
    </row>
    <row r="6398" spans="1:8" ht="15">
      <c r="A6398" s="211" t="s">
        <v>496</v>
      </c>
      <c r="B6398" s="216" t="str">
        <f ca="1">_xlfn.CONCAT(B6384,A6398)</f>
        <v>235B10A6-M</v>
      </c>
      <c r="C6398" s="17"/>
      <c r="D6398" s="184"/>
      <c r="E6398" s="197"/>
      <c r="F6398" s="19"/>
      <c r="G6398" s="20"/>
      <c r="H6398" s="217"/>
    </row>
    <row r="6399" spans="1:8">
      <c r="A6399" s="211" t="s">
        <v>497</v>
      </c>
      <c r="B6399" s="216" t="str">
        <f ca="1">_xlfn.CONCAT(B6384,A6399)</f>
        <v>235B10A6-N</v>
      </c>
      <c r="C6399" s="17"/>
      <c r="D6399" s="184"/>
      <c r="E6399" s="197"/>
      <c r="F6399" s="19"/>
      <c r="G6399" s="20"/>
    </row>
    <row r="6400" spans="1:8">
      <c r="A6400" s="211" t="s">
        <v>498</v>
      </c>
      <c r="B6400" s="216" t="str">
        <f ca="1">_xlfn.CONCAT(B6384,A6400)</f>
        <v>235B10A6-O</v>
      </c>
      <c r="C6400" s="17"/>
      <c r="D6400" s="184"/>
      <c r="E6400" s="197"/>
      <c r="F6400" s="19"/>
      <c r="G6400" s="20"/>
    </row>
    <row r="6401" spans="1:8">
      <c r="A6401" s="211" t="s">
        <v>499</v>
      </c>
      <c r="B6401" s="216" t="str">
        <f ca="1">_xlfn.CONCAT(B6384,A6401)</f>
        <v>235B10A6-P</v>
      </c>
      <c r="C6401" s="17"/>
      <c r="D6401" s="184"/>
      <c r="E6401" s="197"/>
      <c r="F6401" s="19"/>
      <c r="G6401" s="20"/>
    </row>
    <row r="6402" spans="1:8">
      <c r="A6402" s="211" t="s">
        <v>500</v>
      </c>
      <c r="B6402" s="216" t="str">
        <f ca="1">_xlfn.CONCAT(B6384,A6402)</f>
        <v>235B10A6-Q</v>
      </c>
      <c r="C6402" s="17"/>
      <c r="D6402" s="184"/>
      <c r="E6402" s="197"/>
      <c r="F6402" s="19"/>
      <c r="G6402" s="20"/>
    </row>
    <row r="6403" spans="1:8">
      <c r="A6403" s="211" t="s">
        <v>501</v>
      </c>
      <c r="B6403" s="216" t="str">
        <f ca="1">_xlfn.CONCAT(B6384,A6403)</f>
        <v>235B10A6-R</v>
      </c>
      <c r="C6403" s="17"/>
      <c r="D6403" s="184"/>
      <c r="E6403" s="197"/>
      <c r="F6403" s="19"/>
      <c r="G6403" s="20"/>
    </row>
    <row r="6404" spans="1:8">
      <c r="A6404" s="211" t="s">
        <v>502</v>
      </c>
      <c r="B6404" s="216" t="str">
        <f ca="1">_xlfn.CONCAT(B6384,A6404)</f>
        <v>235B10A6-S</v>
      </c>
      <c r="C6404" s="17"/>
      <c r="D6404" s="184"/>
      <c r="E6404" s="197"/>
      <c r="F6404" s="19"/>
      <c r="G6404" s="20"/>
    </row>
    <row r="6405" spans="1:8">
      <c r="A6405" s="211" t="s">
        <v>503</v>
      </c>
      <c r="B6405" s="216" t="str">
        <f ca="1">_xlfn.CONCAT(B6384,A6405)</f>
        <v>235B10A6-T</v>
      </c>
      <c r="C6405" s="17"/>
      <c r="D6405" s="184"/>
      <c r="E6405" s="197"/>
      <c r="F6405" s="19"/>
      <c r="G6405" s="20"/>
    </row>
    <row r="6406" spans="1:8" ht="14.25" thickBot="1">
      <c r="A6406" s="211" t="s">
        <v>504</v>
      </c>
      <c r="B6406" s="216" t="str">
        <f ca="1">_xlfn.CONCAT(B6384,A6406)</f>
        <v>235B10A6-U</v>
      </c>
      <c r="C6406" s="17"/>
      <c r="D6406" s="184"/>
      <c r="E6406" s="197"/>
      <c r="F6406" s="19"/>
      <c r="G6406" s="20"/>
    </row>
    <row r="6407" spans="1:8" ht="14.25" thickBot="1">
      <c r="A6407" s="211" t="s">
        <v>505</v>
      </c>
      <c r="B6407" s="216" t="str">
        <f ca="1">_xlfn.CONCAT(B6384,A6407)</f>
        <v>235B10A6-V</v>
      </c>
      <c r="C6407" s="17" t="s">
        <v>17</v>
      </c>
      <c r="D6407" s="192" t="s">
        <v>17</v>
      </c>
      <c r="E6407" s="18"/>
      <c r="F6407" s="22" t="s">
        <v>18</v>
      </c>
      <c r="G6407" s="23">
        <f>SUM(G6386:G6406)</f>
        <v>1460</v>
      </c>
    </row>
    <row r="6408" spans="1:8" ht="15.75" thickBot="1">
      <c r="A6408" s="211" t="s">
        <v>506</v>
      </c>
      <c r="B6408" s="216" t="str">
        <f ca="1">_xlfn.CONCAT(B6384,A6408)</f>
        <v>235B10A6-W</v>
      </c>
      <c r="C6408" s="10" t="s">
        <v>19</v>
      </c>
      <c r="D6408" s="190"/>
      <c r="E6408" s="11"/>
      <c r="F6408" s="12"/>
      <c r="G6408" s="13"/>
    </row>
    <row r="6409" spans="1:8" ht="14.25" thickBot="1">
      <c r="A6409" s="211" t="s">
        <v>507</v>
      </c>
      <c r="B6409" s="216" t="str">
        <f ca="1">_xlfn.CONCAT(B6384,A6409)</f>
        <v>235B10A6-X</v>
      </c>
      <c r="C6409" s="14" t="s">
        <v>1</v>
      </c>
      <c r="D6409" s="15"/>
      <c r="E6409" s="15" t="s">
        <v>20</v>
      </c>
      <c r="F6409" s="16" t="s">
        <v>21</v>
      </c>
      <c r="G6409" s="15" t="s">
        <v>5</v>
      </c>
      <c r="H6409" s="215"/>
    </row>
    <row r="6410" spans="1:8">
      <c r="A6410" s="211" t="s">
        <v>508</v>
      </c>
      <c r="B6410" s="216" t="str">
        <f ca="1">_xlfn.CONCAT(B6384,A6410)</f>
        <v>235B10A6-Y</v>
      </c>
      <c r="C6410" s="24" t="s">
        <v>22</v>
      </c>
      <c r="D6410" s="184"/>
      <c r="E6410" s="25">
        <f>_xlfn.XLOOKUP(C6410,'H-MO'!B$7:B$30,'H-MO'!D$7:D$30,,0,1)</f>
        <v>2436.5624999999995</v>
      </c>
      <c r="F6410" s="19">
        <v>0.16600000000000001</v>
      </c>
      <c r="G6410" s="33">
        <f t="shared" ref="G6410:G6415" si="179">+E6410*F6410</f>
        <v>404.46937499999996</v>
      </c>
    </row>
    <row r="6411" spans="1:8">
      <c r="A6411" s="211" t="s">
        <v>509</v>
      </c>
      <c r="B6411" s="216" t="str">
        <f ca="1">_xlfn.CONCAT(B6384,A6411)</f>
        <v>235B10A6-Z</v>
      </c>
      <c r="C6411" s="24" t="s">
        <v>23</v>
      </c>
      <c r="D6411" s="184"/>
      <c r="E6411" s="25">
        <f>_xlfn.XLOOKUP(C6411,'H-MO'!B$7:B$30,'H-MO'!D$7:D$30,,0,1)</f>
        <v>1461.9374999999998</v>
      </c>
      <c r="F6411" s="19">
        <v>0.01</v>
      </c>
      <c r="G6411" s="33">
        <f t="shared" si="179"/>
        <v>14.619374999999998</v>
      </c>
    </row>
    <row r="6412" spans="1:8">
      <c r="A6412" s="211" t="s">
        <v>510</v>
      </c>
      <c r="B6412" s="216" t="str">
        <f ca="1">_xlfn.CONCAT(B6384,A6412)</f>
        <v>235B10A6-aa</v>
      </c>
      <c r="C6412" s="24" t="s">
        <v>24</v>
      </c>
      <c r="D6412" s="185"/>
      <c r="E6412" s="25">
        <f>_xlfn.XLOOKUP(C6412,'H-MO'!B$7:B$30,'H-MO'!D$7:D$30,,0,1)</f>
        <v>29238.749999999996</v>
      </c>
      <c r="F6412" s="28">
        <v>2E-3</v>
      </c>
      <c r="G6412" s="33">
        <f t="shared" si="179"/>
        <v>58.477499999999992</v>
      </c>
    </row>
    <row r="6413" spans="1:8">
      <c r="A6413" s="211" t="s">
        <v>511</v>
      </c>
      <c r="B6413" s="216" t="str">
        <f ca="1">_xlfn.CONCAT(B6384,A6413)</f>
        <v>235B10A6-ab</v>
      </c>
      <c r="C6413" s="24" t="s">
        <v>25</v>
      </c>
      <c r="D6413" s="185"/>
      <c r="E6413" s="25">
        <f>_xlfn.XLOOKUP(C6413,'H-MO'!B$7:B$30,'H-MO'!D$7:D$30,,0,1)</f>
        <v>2761.4374999999995</v>
      </c>
      <c r="F6413" s="28">
        <v>0.01</v>
      </c>
      <c r="G6413" s="33">
        <f t="shared" si="179"/>
        <v>27.614374999999995</v>
      </c>
    </row>
    <row r="6414" spans="1:8">
      <c r="A6414" s="211" t="s">
        <v>512</v>
      </c>
      <c r="B6414" s="216" t="str">
        <f ca="1">_xlfn.CONCAT(B6384,A6414)</f>
        <v>235B10A6-ac</v>
      </c>
      <c r="C6414" s="24"/>
      <c r="D6414" s="185"/>
      <c r="E6414" s="29"/>
      <c r="F6414" s="28"/>
      <c r="G6414" s="33">
        <f t="shared" si="179"/>
        <v>0</v>
      </c>
    </row>
    <row r="6415" spans="1:8" ht="14.25" thickBot="1">
      <c r="A6415" s="211" t="s">
        <v>513</v>
      </c>
      <c r="B6415" s="216" t="str">
        <f ca="1">_xlfn.CONCAT(B6384,A6415)</f>
        <v>235B10A6-ad</v>
      </c>
      <c r="C6415" s="24"/>
      <c r="D6415" s="185"/>
      <c r="E6415" s="29"/>
      <c r="F6415" s="28"/>
      <c r="G6415" s="33">
        <f t="shared" si="179"/>
        <v>0</v>
      </c>
    </row>
    <row r="6416" spans="1:8" ht="14.25" thickBot="1">
      <c r="A6416" s="211" t="s">
        <v>514</v>
      </c>
      <c r="B6416" s="216" t="str">
        <f ca="1">_xlfn.CONCAT(B6384,A6416)</f>
        <v>235B10A6-ae</v>
      </c>
      <c r="C6416" s="17"/>
      <c r="D6416" s="192"/>
      <c r="E6416" s="18"/>
      <c r="F6416" s="22" t="s">
        <v>26</v>
      </c>
      <c r="G6416" s="23">
        <f>SUM(G6410:G6415)</f>
        <v>505.18062499999996</v>
      </c>
    </row>
    <row r="6417" spans="1:8" ht="15.75" thickBot="1">
      <c r="A6417" s="211" t="s">
        <v>515</v>
      </c>
      <c r="B6417" s="216" t="str">
        <f ca="1">_xlfn.CONCAT(B6384,A6417)</f>
        <v>235B10A6-af</v>
      </c>
      <c r="C6417" s="10" t="s">
        <v>27</v>
      </c>
      <c r="D6417" s="190"/>
      <c r="E6417" s="11"/>
      <c r="F6417" s="12"/>
      <c r="G6417" s="13"/>
    </row>
    <row r="6418" spans="1:8" ht="14.25" thickBot="1">
      <c r="A6418" s="211" t="s">
        <v>516</v>
      </c>
      <c r="B6418" s="216" t="str">
        <f ca="1">_xlfn.CONCAT(B6384,A6418)</f>
        <v>235B10A6-ag</v>
      </c>
      <c r="C6418" s="14" t="s">
        <v>1</v>
      </c>
      <c r="D6418" s="15" t="s">
        <v>28</v>
      </c>
      <c r="E6418" s="15" t="s">
        <v>20</v>
      </c>
      <c r="F6418" s="16" t="s">
        <v>21</v>
      </c>
      <c r="G6418" s="15" t="s">
        <v>5</v>
      </c>
      <c r="H6418" s="215"/>
    </row>
    <row r="6419" spans="1:8">
      <c r="A6419" s="211" t="s">
        <v>517</v>
      </c>
      <c r="B6419" s="216" t="str">
        <f ca="1">_xlfn.CONCAT(B6384,A6419)</f>
        <v>235B10A6-ah</v>
      </c>
      <c r="C6419" s="30" t="s">
        <v>29</v>
      </c>
      <c r="D6419" s="186">
        <f>'H-MO'!$N$77</f>
        <v>725918.52892505517</v>
      </c>
      <c r="E6419" s="31">
        <f>+D6419/8</f>
        <v>90739.816115631897</v>
      </c>
      <c r="F6419" s="32">
        <v>0.2</v>
      </c>
      <c r="G6419" s="33">
        <f>+E6419*F6419</f>
        <v>18147.963223126379</v>
      </c>
    </row>
    <row r="6420" spans="1:8">
      <c r="A6420" s="211" t="s">
        <v>518</v>
      </c>
      <c r="B6420" s="216" t="str">
        <f ca="1">_xlfn.CONCAT(B6384,A6420)</f>
        <v>235B10A6-ai</v>
      </c>
      <c r="C6420" s="34" t="s">
        <v>30</v>
      </c>
      <c r="D6420" s="187">
        <f>'H-MO'!$N$86</f>
        <v>685561.39085756091</v>
      </c>
      <c r="E6420" s="29">
        <f>+D6420/8</f>
        <v>85695.173857195114</v>
      </c>
      <c r="F6420" s="28"/>
      <c r="G6420" s="33">
        <f>+E6420*F6420</f>
        <v>0</v>
      </c>
    </row>
    <row r="6421" spans="1:8" ht="14.25" thickBot="1">
      <c r="A6421" s="211" t="s">
        <v>519</v>
      </c>
      <c r="B6421" s="216" t="str">
        <f ca="1">_xlfn.CONCAT(B6384,A6421)</f>
        <v>235B10A6-aj</v>
      </c>
      <c r="C6421" s="34"/>
      <c r="D6421" s="187"/>
      <c r="E6421" s="29"/>
      <c r="F6421" s="28"/>
      <c r="G6421" s="33">
        <f>+E6421*F6421</f>
        <v>0</v>
      </c>
    </row>
    <row r="6422" spans="1:8" ht="14.25" thickBot="1">
      <c r="A6422" s="211" t="s">
        <v>520</v>
      </c>
      <c r="B6422" s="216" t="str">
        <f ca="1">_xlfn.CONCAT(B6384,A6422)</f>
        <v>235B10A6-ak</v>
      </c>
      <c r="C6422" s="34"/>
      <c r="D6422" s="185"/>
      <c r="E6422" s="26"/>
      <c r="F6422" s="36" t="s">
        <v>31</v>
      </c>
      <c r="G6422" s="23">
        <f>SUM(G6419:G6421)</f>
        <v>18147.963223126379</v>
      </c>
    </row>
    <row r="6423" spans="1:8" ht="14.25" thickBot="1">
      <c r="A6423" s="211" t="s">
        <v>521</v>
      </c>
      <c r="B6423" s="216" t="str">
        <f ca="1">_xlfn.CONCAT(B6384,A6423)</f>
        <v>235B10A6-al</v>
      </c>
      <c r="C6423" s="37"/>
      <c r="E6423" s="38"/>
      <c r="F6423" s="22"/>
      <c r="G6423" s="39"/>
    </row>
    <row r="6424" spans="1:8" ht="16.5" thickBot="1">
      <c r="A6424" s="211" t="s">
        <v>522</v>
      </c>
      <c r="B6424" s="216" t="str">
        <f ca="1">_xlfn.CONCAT(B6384,A6424)</f>
        <v>235B10A6-am</v>
      </c>
      <c r="C6424" s="40"/>
      <c r="D6424" s="193"/>
      <c r="E6424" s="41"/>
      <c r="F6424" s="42"/>
      <c r="G6424" s="43">
        <f>+G6407+G6416+G6422</f>
        <v>20113.143848126379</v>
      </c>
    </row>
    <row r="6425" spans="1:8" ht="21.75" thickBot="1">
      <c r="B6425" s="212" t="s">
        <v>550</v>
      </c>
      <c r="C6425" s="2"/>
      <c r="D6425" s="183"/>
      <c r="F6425" s="4"/>
      <c r="G6425" s="5"/>
    </row>
    <row r="6426" spans="1:8" ht="18.75">
      <c r="A6426" s="213"/>
      <c r="B6426" s="214">
        <v>146</v>
      </c>
      <c r="C6426" s="242" t="str">
        <f ca="1">_xlfn.XLOOKUP(B6426,Cantidades!$A$10:$A$314,Cantidades!$C$10:$C$314,,0,1)</f>
        <v>Instalacion de medidor Trifasico</v>
      </c>
      <c r="D6426" s="243"/>
      <c r="E6426" s="243"/>
      <c r="F6426" s="243"/>
      <c r="G6426" s="244"/>
      <c r="H6426" s="213"/>
    </row>
    <row r="6427" spans="1:8" ht="19.5" thickBot="1">
      <c r="A6427" s="215"/>
      <c r="B6427" s="216" t="s">
        <v>550</v>
      </c>
      <c r="C6427" s="177"/>
      <c r="D6427" s="189"/>
      <c r="E6427" s="178"/>
      <c r="F6427" s="179" t="s">
        <v>636</v>
      </c>
      <c r="G6427" s="209" t="str">
        <f ca="1">B6428</f>
        <v>77B2DCE-</v>
      </c>
      <c r="H6427" s="215"/>
    </row>
    <row r="6428" spans="1:8" ht="15.75" thickBot="1">
      <c r="B6428" s="212" t="str">
        <f ca="1">_xlfn.XLOOKUP(C6426,Cantidades!$C$1:$C$314,Cantidades!$B$1:$B$314,"",0,1)</f>
        <v>77B2DCE-</v>
      </c>
      <c r="C6428" s="10" t="s">
        <v>0</v>
      </c>
      <c r="D6428" s="190"/>
      <c r="E6428" s="11"/>
      <c r="F6428" s="12"/>
      <c r="G6428" s="13"/>
    </row>
    <row r="6429" spans="1:8" ht="14.25" thickBot="1">
      <c r="A6429" s="215"/>
      <c r="B6429" s="216" t="s">
        <v>550</v>
      </c>
      <c r="C6429" s="14" t="s">
        <v>1</v>
      </c>
      <c r="D6429" s="15" t="s">
        <v>2</v>
      </c>
      <c r="E6429" s="15" t="s">
        <v>3</v>
      </c>
      <c r="F6429" s="16" t="s">
        <v>4</v>
      </c>
      <c r="G6429" s="15" t="s">
        <v>5</v>
      </c>
      <c r="H6429" s="215"/>
    </row>
    <row r="6430" spans="1:8" ht="15">
      <c r="A6430" s="211" t="s">
        <v>484</v>
      </c>
      <c r="B6430" s="216" t="str">
        <f ca="1">_xlfn.CONCAT(B6428,A6430)</f>
        <v>77B2DCE-A</v>
      </c>
      <c r="C6430" s="17" t="str">
        <f>_xlfn.XLOOKUP(H6430,'Materiales unitario'!$A$1:$A$2500,'Materiales unitario'!B$1:B$2500,,0,1)</f>
        <v>Insumos menores</v>
      </c>
      <c r="D6430" s="184" t="str">
        <f>_xlfn.XLOOKUP(H6430,'Materiales unitario'!A$1:A$2500,'Materiales unitario'!C$1:C$2500,,0,1)</f>
        <v>un</v>
      </c>
      <c r="E6430" s="197">
        <f>_xlfn.XLOOKUP(H6430,'Materiales unitario'!$A$1:$A$2500,'Materiales unitario'!D$1:D$2500,,0,1)</f>
        <v>7300</v>
      </c>
      <c r="F6430" s="19">
        <v>0.7</v>
      </c>
      <c r="G6430" s="20">
        <f>+E6430*F6430</f>
        <v>5110</v>
      </c>
      <c r="H6430" s="217" t="s">
        <v>532</v>
      </c>
    </row>
    <row r="6431" spans="1:8" ht="15">
      <c r="A6431" s="211" t="s">
        <v>485</v>
      </c>
      <c r="B6431" s="216" t="str">
        <f ca="1">_xlfn.CONCAT(B6428,A6431)</f>
        <v>77B2DCE-B</v>
      </c>
      <c r="C6431" s="17"/>
      <c r="D6431" s="184"/>
      <c r="E6431" s="197"/>
      <c r="F6431" s="19"/>
      <c r="G6431" s="20"/>
      <c r="H6431" s="217"/>
    </row>
    <row r="6432" spans="1:8" ht="15">
      <c r="A6432" s="211" t="s">
        <v>486</v>
      </c>
      <c r="B6432" s="216" t="str">
        <f ca="1">_xlfn.CONCAT(B6428,A6432)</f>
        <v>77B2DCE-C</v>
      </c>
      <c r="C6432" s="17"/>
      <c r="D6432" s="184"/>
      <c r="E6432" s="197"/>
      <c r="F6432" s="19"/>
      <c r="G6432" s="20"/>
      <c r="H6432" s="217"/>
    </row>
    <row r="6433" spans="1:8" ht="15">
      <c r="A6433" s="211" t="s">
        <v>487</v>
      </c>
      <c r="B6433" s="216" t="str">
        <f ca="1">_xlfn.CONCAT(B6428,A6433)</f>
        <v>77B2DCE-D</v>
      </c>
      <c r="C6433" s="17"/>
      <c r="D6433" s="184"/>
      <c r="E6433" s="197"/>
      <c r="F6433" s="19"/>
      <c r="G6433" s="20"/>
      <c r="H6433" s="217"/>
    </row>
    <row r="6434" spans="1:8" ht="15">
      <c r="A6434" s="211" t="s">
        <v>488</v>
      </c>
      <c r="B6434" s="216" t="str">
        <f ca="1">_xlfn.CONCAT(B6428,A6434)</f>
        <v>77B2DCE-E</v>
      </c>
      <c r="C6434" s="17"/>
      <c r="D6434" s="184"/>
      <c r="E6434" s="197"/>
      <c r="F6434" s="19"/>
      <c r="G6434" s="20"/>
      <c r="H6434" s="217"/>
    </row>
    <row r="6435" spans="1:8" ht="15">
      <c r="A6435" s="211" t="s">
        <v>489</v>
      </c>
      <c r="B6435" s="216" t="str">
        <f ca="1">_xlfn.CONCAT(B6428,A6435)</f>
        <v>77B2DCE-F</v>
      </c>
      <c r="C6435" s="17"/>
      <c r="D6435" s="184"/>
      <c r="E6435" s="197"/>
      <c r="F6435" s="19"/>
      <c r="G6435" s="20"/>
      <c r="H6435" s="217"/>
    </row>
    <row r="6436" spans="1:8" ht="15">
      <c r="A6436" s="211" t="s">
        <v>490</v>
      </c>
      <c r="B6436" s="216" t="str">
        <f ca="1">_xlfn.CONCAT(B6428,A6436)</f>
        <v>77B2DCE-G</v>
      </c>
      <c r="C6436" s="17"/>
      <c r="D6436" s="184"/>
      <c r="E6436" s="197"/>
      <c r="F6436" s="19"/>
      <c r="G6436" s="20"/>
      <c r="H6436" s="217"/>
    </row>
    <row r="6437" spans="1:8" ht="15">
      <c r="A6437" s="211" t="s">
        <v>491</v>
      </c>
      <c r="B6437" s="216" t="str">
        <f ca="1">_xlfn.CONCAT(B6428,A6437)</f>
        <v>77B2DCE-H</v>
      </c>
      <c r="C6437" s="17"/>
      <c r="D6437" s="184"/>
      <c r="E6437" s="197"/>
      <c r="F6437" s="19"/>
      <c r="G6437" s="20"/>
      <c r="H6437" s="217"/>
    </row>
    <row r="6438" spans="1:8" ht="15">
      <c r="A6438" s="211" t="s">
        <v>492</v>
      </c>
      <c r="B6438" s="216" t="str">
        <f ca="1">_xlfn.CONCAT(B6428,A6438)</f>
        <v>77B2DCE-I</v>
      </c>
      <c r="C6438" s="17"/>
      <c r="D6438" s="184"/>
      <c r="E6438" s="197"/>
      <c r="F6438" s="19"/>
      <c r="G6438" s="20"/>
      <c r="H6438" s="217"/>
    </row>
    <row r="6439" spans="1:8" ht="15">
      <c r="A6439" s="211" t="s">
        <v>493</v>
      </c>
      <c r="B6439" s="216" t="str">
        <f ca="1">_xlfn.CONCAT(B6428,A6439)</f>
        <v>77B2DCE-J</v>
      </c>
      <c r="C6439" s="17"/>
      <c r="D6439" s="184"/>
      <c r="E6439" s="197"/>
      <c r="F6439" s="19"/>
      <c r="G6439" s="20"/>
      <c r="H6439" s="217"/>
    </row>
    <row r="6440" spans="1:8" ht="15">
      <c r="A6440" s="211" t="s">
        <v>494</v>
      </c>
      <c r="B6440" s="216" t="str">
        <f ca="1">_xlfn.CONCAT(B6428,A6440)</f>
        <v>77B2DCE-K</v>
      </c>
      <c r="C6440" s="17"/>
      <c r="D6440" s="184"/>
      <c r="E6440" s="197"/>
      <c r="F6440" s="19"/>
      <c r="G6440" s="20"/>
      <c r="H6440" s="217"/>
    </row>
    <row r="6441" spans="1:8" ht="15">
      <c r="A6441" s="211" t="s">
        <v>495</v>
      </c>
      <c r="B6441" s="216" t="str">
        <f ca="1">_xlfn.CONCAT(B6428,A6441)</f>
        <v>77B2DCE-L</v>
      </c>
      <c r="C6441" s="17"/>
      <c r="D6441" s="184"/>
      <c r="E6441" s="197"/>
      <c r="F6441" s="19"/>
      <c r="G6441" s="20"/>
      <c r="H6441" s="217"/>
    </row>
    <row r="6442" spans="1:8" ht="15">
      <c r="A6442" s="211" t="s">
        <v>496</v>
      </c>
      <c r="B6442" s="216" t="str">
        <f ca="1">_xlfn.CONCAT(B6428,A6442)</f>
        <v>77B2DCE-M</v>
      </c>
      <c r="C6442" s="17"/>
      <c r="D6442" s="184"/>
      <c r="E6442" s="197"/>
      <c r="F6442" s="19"/>
      <c r="G6442" s="20"/>
      <c r="H6442" s="217"/>
    </row>
    <row r="6443" spans="1:8">
      <c r="A6443" s="211" t="s">
        <v>497</v>
      </c>
      <c r="B6443" s="216" t="str">
        <f ca="1">_xlfn.CONCAT(B6428,A6443)</f>
        <v>77B2DCE-N</v>
      </c>
      <c r="C6443" s="17"/>
      <c r="D6443" s="184"/>
      <c r="E6443" s="197"/>
      <c r="F6443" s="19"/>
      <c r="G6443" s="20"/>
    </row>
    <row r="6444" spans="1:8">
      <c r="A6444" s="211" t="s">
        <v>498</v>
      </c>
      <c r="B6444" s="216" t="str">
        <f ca="1">_xlfn.CONCAT(B6428,A6444)</f>
        <v>77B2DCE-O</v>
      </c>
      <c r="C6444" s="17"/>
      <c r="D6444" s="184"/>
      <c r="E6444" s="197"/>
      <c r="F6444" s="19"/>
      <c r="G6444" s="20"/>
    </row>
    <row r="6445" spans="1:8">
      <c r="A6445" s="211" t="s">
        <v>499</v>
      </c>
      <c r="B6445" s="216" t="str">
        <f ca="1">_xlfn.CONCAT(B6428,A6445)</f>
        <v>77B2DCE-P</v>
      </c>
      <c r="C6445" s="17"/>
      <c r="D6445" s="184"/>
      <c r="E6445" s="197"/>
      <c r="F6445" s="19"/>
      <c r="G6445" s="20"/>
    </row>
    <row r="6446" spans="1:8">
      <c r="A6446" s="211" t="s">
        <v>500</v>
      </c>
      <c r="B6446" s="216" t="str">
        <f ca="1">_xlfn.CONCAT(B6428,A6446)</f>
        <v>77B2DCE-Q</v>
      </c>
      <c r="C6446" s="17"/>
      <c r="D6446" s="184"/>
      <c r="E6446" s="197"/>
      <c r="F6446" s="19"/>
      <c r="G6446" s="20"/>
    </row>
    <row r="6447" spans="1:8">
      <c r="A6447" s="211" t="s">
        <v>501</v>
      </c>
      <c r="B6447" s="216" t="str">
        <f ca="1">_xlfn.CONCAT(B6428,A6447)</f>
        <v>77B2DCE-R</v>
      </c>
      <c r="C6447" s="17"/>
      <c r="D6447" s="184"/>
      <c r="E6447" s="197"/>
      <c r="F6447" s="19"/>
      <c r="G6447" s="20"/>
    </row>
    <row r="6448" spans="1:8">
      <c r="A6448" s="211" t="s">
        <v>502</v>
      </c>
      <c r="B6448" s="216" t="str">
        <f ca="1">_xlfn.CONCAT(B6428,A6448)</f>
        <v>77B2DCE-S</v>
      </c>
      <c r="C6448" s="17"/>
      <c r="D6448" s="184"/>
      <c r="E6448" s="197"/>
      <c r="F6448" s="19"/>
      <c r="G6448" s="20"/>
    </row>
    <row r="6449" spans="1:8">
      <c r="A6449" s="211" t="s">
        <v>503</v>
      </c>
      <c r="B6449" s="216" t="str">
        <f ca="1">_xlfn.CONCAT(B6428,A6449)</f>
        <v>77B2DCE-T</v>
      </c>
      <c r="C6449" s="17"/>
      <c r="D6449" s="184"/>
      <c r="E6449" s="197"/>
      <c r="F6449" s="19"/>
      <c r="G6449" s="20"/>
    </row>
    <row r="6450" spans="1:8" ht="14.25" thickBot="1">
      <c r="A6450" s="211" t="s">
        <v>504</v>
      </c>
      <c r="B6450" s="216" t="str">
        <f ca="1">_xlfn.CONCAT(B6428,A6450)</f>
        <v>77B2DCE-U</v>
      </c>
      <c r="C6450" s="17"/>
      <c r="D6450" s="184"/>
      <c r="E6450" s="197"/>
      <c r="F6450" s="19"/>
      <c r="G6450" s="20"/>
    </row>
    <row r="6451" spans="1:8" ht="14.25" thickBot="1">
      <c r="A6451" s="211" t="s">
        <v>505</v>
      </c>
      <c r="B6451" s="216" t="str">
        <f ca="1">_xlfn.CONCAT(B6428,A6451)</f>
        <v>77B2DCE-V</v>
      </c>
      <c r="C6451" s="17" t="s">
        <v>17</v>
      </c>
      <c r="D6451" s="192" t="s">
        <v>17</v>
      </c>
      <c r="E6451" s="18"/>
      <c r="F6451" s="22" t="s">
        <v>18</v>
      </c>
      <c r="G6451" s="23">
        <f>SUM(G6430:G6450)</f>
        <v>5110</v>
      </c>
    </row>
    <row r="6452" spans="1:8" ht="15.75" thickBot="1">
      <c r="A6452" s="211" t="s">
        <v>506</v>
      </c>
      <c r="B6452" s="216" t="str">
        <f ca="1">_xlfn.CONCAT(B6428,A6452)</f>
        <v>77B2DCE-W</v>
      </c>
      <c r="C6452" s="10" t="s">
        <v>19</v>
      </c>
      <c r="D6452" s="190"/>
      <c r="E6452" s="11"/>
      <c r="F6452" s="12"/>
      <c r="G6452" s="13"/>
    </row>
    <row r="6453" spans="1:8" ht="14.25" thickBot="1">
      <c r="A6453" s="211" t="s">
        <v>507</v>
      </c>
      <c r="B6453" s="216" t="str">
        <f ca="1">_xlfn.CONCAT(B6428,A6453)</f>
        <v>77B2DCE-X</v>
      </c>
      <c r="C6453" s="14" t="s">
        <v>1</v>
      </c>
      <c r="D6453" s="15"/>
      <c r="E6453" s="15" t="s">
        <v>20</v>
      </c>
      <c r="F6453" s="16" t="s">
        <v>21</v>
      </c>
      <c r="G6453" s="15" t="s">
        <v>5</v>
      </c>
      <c r="H6453" s="215"/>
    </row>
    <row r="6454" spans="1:8">
      <c r="A6454" s="211" t="s">
        <v>508</v>
      </c>
      <c r="B6454" s="216" t="str">
        <f ca="1">_xlfn.CONCAT(B6428,A6454)</f>
        <v>77B2DCE-Y</v>
      </c>
      <c r="C6454" s="24" t="s">
        <v>22</v>
      </c>
      <c r="D6454" s="184"/>
      <c r="E6454" s="25">
        <f>_xlfn.XLOOKUP(C6454,'H-MO'!B$7:B$30,'H-MO'!D$7:D$30,,0,1)</f>
        <v>2436.5624999999995</v>
      </c>
      <c r="F6454" s="19">
        <v>0.38</v>
      </c>
      <c r="G6454" s="33">
        <f t="shared" ref="G6454:G6459" si="180">+E6454*F6454</f>
        <v>925.89374999999984</v>
      </c>
    </row>
    <row r="6455" spans="1:8">
      <c r="A6455" s="211" t="s">
        <v>509</v>
      </c>
      <c r="B6455" s="216" t="str">
        <f ca="1">_xlfn.CONCAT(B6428,A6455)</f>
        <v>77B2DCE-Z</v>
      </c>
      <c r="C6455" s="24" t="s">
        <v>23</v>
      </c>
      <c r="D6455" s="184"/>
      <c r="E6455" s="25">
        <f>_xlfn.XLOOKUP(C6455,'H-MO'!B$7:B$30,'H-MO'!D$7:D$30,,0,1)</f>
        <v>1461.9374999999998</v>
      </c>
      <c r="F6455" s="19">
        <v>0.2</v>
      </c>
      <c r="G6455" s="33">
        <f t="shared" si="180"/>
        <v>292.38749999999999</v>
      </c>
    </row>
    <row r="6456" spans="1:8">
      <c r="A6456" s="211" t="s">
        <v>510</v>
      </c>
      <c r="B6456" s="216" t="str">
        <f ca="1">_xlfn.CONCAT(B6428,A6456)</f>
        <v>77B2DCE-aa</v>
      </c>
      <c r="C6456" s="24" t="s">
        <v>24</v>
      </c>
      <c r="D6456" s="185"/>
      <c r="E6456" s="25">
        <f>_xlfn.XLOOKUP(C6456,'H-MO'!B$7:B$30,'H-MO'!D$7:D$30,,0,1)</f>
        <v>29238.749999999996</v>
      </c>
      <c r="F6456" s="28">
        <v>2E-3</v>
      </c>
      <c r="G6456" s="33">
        <f t="shared" si="180"/>
        <v>58.477499999999992</v>
      </c>
    </row>
    <row r="6457" spans="1:8">
      <c r="A6457" s="211" t="s">
        <v>511</v>
      </c>
      <c r="B6457" s="216" t="str">
        <f ca="1">_xlfn.CONCAT(B6428,A6457)</f>
        <v>77B2DCE-ab</v>
      </c>
      <c r="C6457" s="24" t="s">
        <v>25</v>
      </c>
      <c r="D6457" s="185"/>
      <c r="E6457" s="25">
        <f>_xlfn.XLOOKUP(C6457,'H-MO'!B$7:B$30,'H-MO'!D$7:D$30,,0,1)</f>
        <v>2761.4374999999995</v>
      </c>
      <c r="F6457" s="28">
        <v>0.01</v>
      </c>
      <c r="G6457" s="33">
        <f t="shared" si="180"/>
        <v>27.614374999999995</v>
      </c>
    </row>
    <row r="6458" spans="1:8">
      <c r="A6458" s="211" t="s">
        <v>512</v>
      </c>
      <c r="B6458" s="216" t="str">
        <f ca="1">_xlfn.CONCAT(B6428,A6458)</f>
        <v>77B2DCE-ac</v>
      </c>
      <c r="C6458" s="24"/>
      <c r="D6458" s="185"/>
      <c r="E6458" s="29"/>
      <c r="F6458" s="28"/>
      <c r="G6458" s="33">
        <f t="shared" si="180"/>
        <v>0</v>
      </c>
    </row>
    <row r="6459" spans="1:8" ht="14.25" thickBot="1">
      <c r="A6459" s="211" t="s">
        <v>513</v>
      </c>
      <c r="B6459" s="216" t="str">
        <f ca="1">_xlfn.CONCAT(B6428,A6459)</f>
        <v>77B2DCE-ad</v>
      </c>
      <c r="C6459" s="24"/>
      <c r="D6459" s="185"/>
      <c r="E6459" s="29"/>
      <c r="F6459" s="28"/>
      <c r="G6459" s="33">
        <f t="shared" si="180"/>
        <v>0</v>
      </c>
    </row>
    <row r="6460" spans="1:8" ht="14.25" thickBot="1">
      <c r="A6460" s="211" t="s">
        <v>514</v>
      </c>
      <c r="B6460" s="216" t="str">
        <f ca="1">_xlfn.CONCAT(B6428,A6460)</f>
        <v>77B2DCE-ae</v>
      </c>
      <c r="C6460" s="17"/>
      <c r="D6460" s="192"/>
      <c r="E6460" s="18"/>
      <c r="F6460" s="22" t="s">
        <v>26</v>
      </c>
      <c r="G6460" s="23">
        <f>SUM(G6454:G6459)</f>
        <v>1304.3731249999996</v>
      </c>
    </row>
    <row r="6461" spans="1:8" ht="15.75" thickBot="1">
      <c r="A6461" s="211" t="s">
        <v>515</v>
      </c>
      <c r="B6461" s="216" t="str">
        <f ca="1">_xlfn.CONCAT(B6428,A6461)</f>
        <v>77B2DCE-af</v>
      </c>
      <c r="C6461" s="10" t="s">
        <v>27</v>
      </c>
      <c r="D6461" s="190"/>
      <c r="E6461" s="11"/>
      <c r="F6461" s="12"/>
      <c r="G6461" s="13"/>
    </row>
    <row r="6462" spans="1:8" ht="14.25" thickBot="1">
      <c r="A6462" s="211" t="s">
        <v>516</v>
      </c>
      <c r="B6462" s="216" t="str">
        <f ca="1">_xlfn.CONCAT(B6428,A6462)</f>
        <v>77B2DCE-ag</v>
      </c>
      <c r="C6462" s="14" t="s">
        <v>1</v>
      </c>
      <c r="D6462" s="15" t="s">
        <v>28</v>
      </c>
      <c r="E6462" s="15" t="s">
        <v>20</v>
      </c>
      <c r="F6462" s="16" t="s">
        <v>21</v>
      </c>
      <c r="G6462" s="15" t="s">
        <v>5</v>
      </c>
      <c r="H6462" s="215"/>
    </row>
    <row r="6463" spans="1:8">
      <c r="A6463" s="211" t="s">
        <v>517</v>
      </c>
      <c r="B6463" s="216" t="str">
        <f ca="1">_xlfn.CONCAT(B6428,A6463)</f>
        <v>77B2DCE-ah</v>
      </c>
      <c r="C6463" s="30" t="s">
        <v>29</v>
      </c>
      <c r="D6463" s="186">
        <f>'H-MO'!$N$77</f>
        <v>725918.52892505517</v>
      </c>
      <c r="E6463" s="31">
        <f>+D6463/8</f>
        <v>90739.816115631897</v>
      </c>
      <c r="F6463" s="32">
        <v>0.38</v>
      </c>
      <c r="G6463" s="33">
        <f>+E6463*F6463</f>
        <v>34481.130123940122</v>
      </c>
    </row>
    <row r="6464" spans="1:8">
      <c r="A6464" s="211" t="s">
        <v>518</v>
      </c>
      <c r="B6464" s="216" t="str">
        <f ca="1">_xlfn.CONCAT(B6428,A6464)</f>
        <v>77B2DCE-ai</v>
      </c>
      <c r="C6464" s="34" t="s">
        <v>30</v>
      </c>
      <c r="D6464" s="187">
        <f>'H-MO'!$N$86</f>
        <v>685561.39085756091</v>
      </c>
      <c r="E6464" s="29">
        <f>+D6464/8</f>
        <v>85695.173857195114</v>
      </c>
      <c r="F6464" s="28"/>
      <c r="G6464" s="33">
        <f>+E6464*F6464</f>
        <v>0</v>
      </c>
    </row>
    <row r="6465" spans="1:8" ht="14.25" thickBot="1">
      <c r="A6465" s="211" t="s">
        <v>519</v>
      </c>
      <c r="B6465" s="216" t="str">
        <f ca="1">_xlfn.CONCAT(B6428,A6465)</f>
        <v>77B2DCE-aj</v>
      </c>
      <c r="C6465" s="34"/>
      <c r="D6465" s="187"/>
      <c r="E6465" s="29"/>
      <c r="F6465" s="28"/>
      <c r="G6465" s="33">
        <f>+E6465*F6465</f>
        <v>0</v>
      </c>
    </row>
    <row r="6466" spans="1:8" ht="14.25" thickBot="1">
      <c r="A6466" s="211" t="s">
        <v>520</v>
      </c>
      <c r="B6466" s="216" t="str">
        <f ca="1">_xlfn.CONCAT(B6428,A6466)</f>
        <v>77B2DCE-ak</v>
      </c>
      <c r="C6466" s="34"/>
      <c r="D6466" s="185"/>
      <c r="E6466" s="26"/>
      <c r="F6466" s="36" t="s">
        <v>31</v>
      </c>
      <c r="G6466" s="23">
        <f>SUM(G6463:G6465)</f>
        <v>34481.130123940122</v>
      </c>
    </row>
    <row r="6467" spans="1:8" ht="14.25" thickBot="1">
      <c r="A6467" s="211" t="s">
        <v>521</v>
      </c>
      <c r="B6467" s="216" t="str">
        <f ca="1">_xlfn.CONCAT(B6428,A6467)</f>
        <v>77B2DCE-al</v>
      </c>
      <c r="C6467" s="37"/>
      <c r="E6467" s="38"/>
      <c r="F6467" s="22"/>
      <c r="G6467" s="39"/>
    </row>
    <row r="6468" spans="1:8" ht="16.5" thickBot="1">
      <c r="A6468" s="211" t="s">
        <v>522</v>
      </c>
      <c r="B6468" s="216" t="str">
        <f ca="1">_xlfn.CONCAT(B6428,A6468)</f>
        <v>77B2DCE-am</v>
      </c>
      <c r="C6468" s="40"/>
      <c r="D6468" s="193"/>
      <c r="E6468" s="41"/>
      <c r="F6468" s="42"/>
      <c r="G6468" s="43">
        <f>+G6451+G6460+G6466</f>
        <v>40895.50324894012</v>
      </c>
    </row>
    <row r="6469" spans="1:8" ht="21.75" thickBot="1">
      <c r="B6469" s="212" t="s">
        <v>550</v>
      </c>
      <c r="C6469" s="2"/>
      <c r="D6469" s="183"/>
      <c r="F6469" s="4"/>
      <c r="G6469" s="5"/>
    </row>
    <row r="6470" spans="1:8" ht="18.75">
      <c r="A6470" s="213"/>
      <c r="B6470" s="214">
        <v>147</v>
      </c>
      <c r="C6470" s="242" t="str">
        <f ca="1">_xlfn.XLOOKUP(B6470,Cantidades!$A$10:$A$314,Cantidades!$C$10:$C$314,,0,1)</f>
        <v>Suministro e instalacion de  bandeja tipo ducto cerrado 30x8</v>
      </c>
      <c r="D6470" s="243"/>
      <c r="E6470" s="243"/>
      <c r="F6470" s="243"/>
      <c r="G6470" s="244"/>
      <c r="H6470" s="213"/>
    </row>
    <row r="6471" spans="1:8" ht="19.5" thickBot="1">
      <c r="A6471" s="215"/>
      <c r="B6471" s="216" t="s">
        <v>550</v>
      </c>
      <c r="C6471" s="177"/>
      <c r="D6471" s="189"/>
      <c r="E6471" s="178"/>
      <c r="F6471" s="179" t="s">
        <v>636</v>
      </c>
      <c r="G6471" s="209" t="str">
        <f ca="1">B6472</f>
        <v>18C142BD-</v>
      </c>
      <c r="H6471" s="215"/>
    </row>
    <row r="6472" spans="1:8" ht="15.75" thickBot="1">
      <c r="B6472" s="212" t="str">
        <f ca="1">_xlfn.XLOOKUP(C6470,Cantidades!$C$1:$C$314,Cantidades!$B$1:$B$314,"",0,1)</f>
        <v>18C142BD-</v>
      </c>
      <c r="C6472" s="10" t="s">
        <v>0</v>
      </c>
      <c r="D6472" s="190"/>
      <c r="E6472" s="11"/>
      <c r="F6472" s="12"/>
      <c r="G6472" s="13"/>
    </row>
    <row r="6473" spans="1:8" ht="14.25" thickBot="1">
      <c r="A6473" s="215"/>
      <c r="B6473" s="216" t="s">
        <v>550</v>
      </c>
      <c r="C6473" s="14" t="s">
        <v>1</v>
      </c>
      <c r="D6473" s="15" t="s">
        <v>2</v>
      </c>
      <c r="E6473" s="15" t="s">
        <v>3</v>
      </c>
      <c r="F6473" s="16" t="s">
        <v>4</v>
      </c>
      <c r="G6473" s="15" t="s">
        <v>5</v>
      </c>
      <c r="H6473" s="215"/>
    </row>
    <row r="6474" spans="1:8" ht="15">
      <c r="A6474" s="211" t="s">
        <v>484</v>
      </c>
      <c r="B6474" s="216" t="str">
        <f ca="1">_xlfn.CONCAT(B6472,A6474)</f>
        <v>18C142BD-A</v>
      </c>
      <c r="C6474" s="17" t="str">
        <f>_xlfn.XLOOKUP(H6474,'Materiales unitario'!$A$1:$A$2500,'Materiales unitario'!B$1:B$2500,,0,1)</f>
        <v>Insumos menores</v>
      </c>
      <c r="D6474" s="184" t="str">
        <f>_xlfn.XLOOKUP(H6474,'Materiales unitario'!A$1:A$2500,'Materiales unitario'!C$1:C$2500,,0,1)</f>
        <v>un</v>
      </c>
      <c r="E6474" s="197">
        <f>_xlfn.XLOOKUP(H6474,'Materiales unitario'!$A$1:$A$2500,'Materiales unitario'!D$1:D$2500,,0,1)</f>
        <v>7300</v>
      </c>
      <c r="F6474" s="19">
        <v>0.75</v>
      </c>
      <c r="G6474" s="20">
        <f>+E6474*F6474</f>
        <v>5475</v>
      </c>
      <c r="H6474" s="217" t="s">
        <v>532</v>
      </c>
    </row>
    <row r="6475" spans="1:8" ht="15">
      <c r="A6475" s="211" t="s">
        <v>485</v>
      </c>
      <c r="B6475" s="216" t="str">
        <f ca="1">_xlfn.CONCAT(B6472,A6475)</f>
        <v>18C142BD-B</v>
      </c>
      <c r="C6475" s="17" t="str">
        <f>_xlfn.XLOOKUP(H6475,'Materiales unitario'!$A$1:$A$2500,'Materiales unitario'!B$1:B$2500,,0,1)</f>
        <v>Bandeja Portacable Galvaniza 2.4mx8cx30c.</v>
      </c>
      <c r="D6475" s="184" t="str">
        <f>_xlfn.XLOOKUP(H6475,'Materiales unitario'!A$1:A$2500,'Materiales unitario'!C$1:C$2500,,0,1)</f>
        <v>ml</v>
      </c>
      <c r="E6475" s="197">
        <f>_xlfn.XLOOKUP(H6475,'Materiales unitario'!$A$1:$A$2500,'Materiales unitario'!D$1:D$2500,,0,1)</f>
        <v>93750</v>
      </c>
      <c r="F6475" s="19">
        <v>0.75</v>
      </c>
      <c r="G6475" s="20">
        <f>+E6475*F6475</f>
        <v>70312.5</v>
      </c>
      <c r="H6475" s="217" t="s">
        <v>1267</v>
      </c>
    </row>
    <row r="6476" spans="1:8" ht="15">
      <c r="A6476" s="211" t="s">
        <v>486</v>
      </c>
      <c r="B6476" s="216" t="str">
        <f ca="1">_xlfn.CONCAT(B6472,A6476)</f>
        <v>18C142BD-C</v>
      </c>
      <c r="C6476" s="17"/>
      <c r="D6476" s="184"/>
      <c r="E6476" s="197"/>
      <c r="F6476" s="19"/>
      <c r="G6476" s="20"/>
      <c r="H6476" s="217"/>
    </row>
    <row r="6477" spans="1:8" ht="15">
      <c r="A6477" s="211" t="s">
        <v>487</v>
      </c>
      <c r="B6477" s="216" t="str">
        <f ca="1">_xlfn.CONCAT(B6472,A6477)</f>
        <v>18C142BD-D</v>
      </c>
      <c r="C6477" s="17"/>
      <c r="D6477" s="184"/>
      <c r="E6477" s="197"/>
      <c r="F6477" s="19"/>
      <c r="G6477" s="20"/>
      <c r="H6477" s="217"/>
    </row>
    <row r="6478" spans="1:8" ht="15">
      <c r="A6478" s="211" t="s">
        <v>488</v>
      </c>
      <c r="B6478" s="216" t="str">
        <f ca="1">_xlfn.CONCAT(B6472,A6478)</f>
        <v>18C142BD-E</v>
      </c>
      <c r="C6478" s="17"/>
      <c r="D6478" s="184"/>
      <c r="E6478" s="197"/>
      <c r="F6478" s="19"/>
      <c r="G6478" s="20"/>
      <c r="H6478" s="217"/>
    </row>
    <row r="6479" spans="1:8" ht="15">
      <c r="A6479" s="211" t="s">
        <v>489</v>
      </c>
      <c r="B6479" s="216" t="str">
        <f ca="1">_xlfn.CONCAT(B6472,A6479)</f>
        <v>18C142BD-F</v>
      </c>
      <c r="C6479" s="17"/>
      <c r="D6479" s="184"/>
      <c r="E6479" s="197"/>
      <c r="F6479" s="19"/>
      <c r="G6479" s="20"/>
      <c r="H6479" s="217"/>
    </row>
    <row r="6480" spans="1:8" ht="15">
      <c r="A6480" s="211" t="s">
        <v>490</v>
      </c>
      <c r="B6480" s="216" t="str">
        <f ca="1">_xlfn.CONCAT(B6472,A6480)</f>
        <v>18C142BD-G</v>
      </c>
      <c r="C6480" s="17"/>
      <c r="D6480" s="184"/>
      <c r="E6480" s="197"/>
      <c r="F6480" s="19"/>
      <c r="G6480" s="20"/>
      <c r="H6480" s="217"/>
    </row>
    <row r="6481" spans="1:8" ht="15">
      <c r="A6481" s="211" t="s">
        <v>491</v>
      </c>
      <c r="B6481" s="216" t="str">
        <f ca="1">_xlfn.CONCAT(B6472,A6481)</f>
        <v>18C142BD-H</v>
      </c>
      <c r="C6481" s="17"/>
      <c r="D6481" s="184"/>
      <c r="E6481" s="197"/>
      <c r="F6481" s="19"/>
      <c r="G6481" s="20"/>
      <c r="H6481" s="217"/>
    </row>
    <row r="6482" spans="1:8" ht="15">
      <c r="A6482" s="211" t="s">
        <v>492</v>
      </c>
      <c r="B6482" s="216" t="str">
        <f ca="1">_xlfn.CONCAT(B6472,A6482)</f>
        <v>18C142BD-I</v>
      </c>
      <c r="C6482" s="17"/>
      <c r="D6482" s="184"/>
      <c r="E6482" s="197"/>
      <c r="F6482" s="19"/>
      <c r="G6482" s="20"/>
      <c r="H6482" s="217"/>
    </row>
    <row r="6483" spans="1:8" ht="15">
      <c r="A6483" s="211" t="s">
        <v>493</v>
      </c>
      <c r="B6483" s="216" t="str">
        <f ca="1">_xlfn.CONCAT(B6472,A6483)</f>
        <v>18C142BD-J</v>
      </c>
      <c r="C6483" s="17"/>
      <c r="D6483" s="184"/>
      <c r="E6483" s="197"/>
      <c r="F6483" s="19"/>
      <c r="G6483" s="20"/>
      <c r="H6483" s="217"/>
    </row>
    <row r="6484" spans="1:8" ht="15">
      <c r="A6484" s="211" t="s">
        <v>494</v>
      </c>
      <c r="B6484" s="216" t="str">
        <f ca="1">_xlfn.CONCAT(B6472,A6484)</f>
        <v>18C142BD-K</v>
      </c>
      <c r="C6484" s="17"/>
      <c r="D6484" s="184"/>
      <c r="E6484" s="197"/>
      <c r="F6484" s="19"/>
      <c r="G6484" s="20"/>
      <c r="H6484" s="217"/>
    </row>
    <row r="6485" spans="1:8" ht="15">
      <c r="A6485" s="211" t="s">
        <v>495</v>
      </c>
      <c r="B6485" s="216" t="str">
        <f ca="1">_xlfn.CONCAT(B6472,A6485)</f>
        <v>18C142BD-L</v>
      </c>
      <c r="C6485" s="17"/>
      <c r="D6485" s="184"/>
      <c r="E6485" s="197"/>
      <c r="F6485" s="19"/>
      <c r="G6485" s="20"/>
      <c r="H6485" s="217"/>
    </row>
    <row r="6486" spans="1:8" ht="15">
      <c r="A6486" s="211" t="s">
        <v>496</v>
      </c>
      <c r="B6486" s="216" t="str">
        <f ca="1">_xlfn.CONCAT(B6472,A6486)</f>
        <v>18C142BD-M</v>
      </c>
      <c r="C6486" s="17"/>
      <c r="D6486" s="184"/>
      <c r="E6486" s="197"/>
      <c r="F6486" s="19"/>
      <c r="G6486" s="20"/>
      <c r="H6486" s="217"/>
    </row>
    <row r="6487" spans="1:8">
      <c r="A6487" s="211" t="s">
        <v>497</v>
      </c>
      <c r="B6487" s="216" t="str">
        <f ca="1">_xlfn.CONCAT(B6472,A6487)</f>
        <v>18C142BD-N</v>
      </c>
      <c r="C6487" s="17"/>
      <c r="D6487" s="184"/>
      <c r="E6487" s="197"/>
      <c r="F6487" s="19"/>
      <c r="G6487" s="20"/>
    </row>
    <row r="6488" spans="1:8">
      <c r="A6488" s="211" t="s">
        <v>498</v>
      </c>
      <c r="B6488" s="216" t="str">
        <f ca="1">_xlfn.CONCAT(B6472,A6488)</f>
        <v>18C142BD-O</v>
      </c>
      <c r="C6488" s="17"/>
      <c r="D6488" s="184"/>
      <c r="E6488" s="197"/>
      <c r="F6488" s="19"/>
      <c r="G6488" s="20"/>
    </row>
    <row r="6489" spans="1:8">
      <c r="A6489" s="211" t="s">
        <v>499</v>
      </c>
      <c r="B6489" s="216" t="str">
        <f ca="1">_xlfn.CONCAT(B6472,A6489)</f>
        <v>18C142BD-P</v>
      </c>
      <c r="C6489" s="17"/>
      <c r="D6489" s="184"/>
      <c r="E6489" s="197"/>
      <c r="F6489" s="19"/>
      <c r="G6489" s="20"/>
    </row>
    <row r="6490" spans="1:8">
      <c r="A6490" s="211" t="s">
        <v>500</v>
      </c>
      <c r="B6490" s="216" t="str">
        <f ca="1">_xlfn.CONCAT(B6472,A6490)</f>
        <v>18C142BD-Q</v>
      </c>
      <c r="C6490" s="17"/>
      <c r="D6490" s="184"/>
      <c r="E6490" s="197"/>
      <c r="F6490" s="19"/>
      <c r="G6490" s="20"/>
    </row>
    <row r="6491" spans="1:8">
      <c r="A6491" s="211" t="s">
        <v>501</v>
      </c>
      <c r="B6491" s="216" t="str">
        <f ca="1">_xlfn.CONCAT(B6472,A6491)</f>
        <v>18C142BD-R</v>
      </c>
      <c r="C6491" s="17"/>
      <c r="D6491" s="184"/>
      <c r="E6491" s="197"/>
      <c r="F6491" s="19"/>
      <c r="G6491" s="20"/>
    </row>
    <row r="6492" spans="1:8">
      <c r="A6492" s="211" t="s">
        <v>502</v>
      </c>
      <c r="B6492" s="216" t="str">
        <f ca="1">_xlfn.CONCAT(B6472,A6492)</f>
        <v>18C142BD-S</v>
      </c>
      <c r="C6492" s="17"/>
      <c r="D6492" s="184"/>
      <c r="E6492" s="197"/>
      <c r="F6492" s="19"/>
      <c r="G6492" s="20"/>
    </row>
    <row r="6493" spans="1:8">
      <c r="A6493" s="211" t="s">
        <v>503</v>
      </c>
      <c r="B6493" s="216" t="str">
        <f ca="1">_xlfn.CONCAT(B6472,A6493)</f>
        <v>18C142BD-T</v>
      </c>
      <c r="C6493" s="17"/>
      <c r="D6493" s="184"/>
      <c r="E6493" s="197"/>
      <c r="F6493" s="19"/>
      <c r="G6493" s="20"/>
    </row>
    <row r="6494" spans="1:8" ht="14.25" thickBot="1">
      <c r="A6494" s="211" t="s">
        <v>504</v>
      </c>
      <c r="B6494" s="216" t="str">
        <f ca="1">_xlfn.CONCAT(B6472,A6494)</f>
        <v>18C142BD-U</v>
      </c>
      <c r="C6494" s="17"/>
      <c r="D6494" s="184"/>
      <c r="E6494" s="197"/>
      <c r="F6494" s="19"/>
      <c r="G6494" s="20"/>
    </row>
    <row r="6495" spans="1:8" ht="14.25" thickBot="1">
      <c r="A6495" s="211" t="s">
        <v>505</v>
      </c>
      <c r="B6495" s="216" t="str">
        <f ca="1">_xlfn.CONCAT(B6472,A6495)</f>
        <v>18C142BD-V</v>
      </c>
      <c r="C6495" s="17" t="s">
        <v>17</v>
      </c>
      <c r="D6495" s="192" t="s">
        <v>17</v>
      </c>
      <c r="E6495" s="18"/>
      <c r="F6495" s="22" t="s">
        <v>18</v>
      </c>
      <c r="G6495" s="23">
        <f>SUM(G6474:G6494)</f>
        <v>75787.5</v>
      </c>
    </row>
    <row r="6496" spans="1:8" ht="15.75" thickBot="1">
      <c r="A6496" s="211" t="s">
        <v>506</v>
      </c>
      <c r="B6496" s="216" t="str">
        <f ca="1">_xlfn.CONCAT(B6472,A6496)</f>
        <v>18C142BD-W</v>
      </c>
      <c r="C6496" s="10" t="s">
        <v>19</v>
      </c>
      <c r="D6496" s="190"/>
      <c r="E6496" s="11"/>
      <c r="F6496" s="12"/>
      <c r="G6496" s="13"/>
    </row>
    <row r="6497" spans="1:8" ht="14.25" thickBot="1">
      <c r="A6497" s="211" t="s">
        <v>507</v>
      </c>
      <c r="B6497" s="216" t="str">
        <f ca="1">_xlfn.CONCAT(B6472,A6497)</f>
        <v>18C142BD-X</v>
      </c>
      <c r="C6497" s="14" t="s">
        <v>1</v>
      </c>
      <c r="D6497" s="15"/>
      <c r="E6497" s="15" t="s">
        <v>20</v>
      </c>
      <c r="F6497" s="16" t="s">
        <v>21</v>
      </c>
      <c r="G6497" s="15" t="s">
        <v>5</v>
      </c>
      <c r="H6497" s="215"/>
    </row>
    <row r="6498" spans="1:8">
      <c r="A6498" s="211" t="s">
        <v>508</v>
      </c>
      <c r="B6498" s="216" t="str">
        <f ca="1">_xlfn.CONCAT(B6472,A6498)</f>
        <v>18C142BD-Y</v>
      </c>
      <c r="C6498" s="24" t="s">
        <v>22</v>
      </c>
      <c r="D6498" s="184"/>
      <c r="E6498" s="25">
        <f>_xlfn.XLOOKUP(C6498,'H-MO'!B$7:B$30,'H-MO'!D$7:D$30,,0,1)</f>
        <v>2436.5624999999995</v>
      </c>
      <c r="F6498" s="19">
        <v>0.3</v>
      </c>
      <c r="G6498" s="33">
        <f t="shared" ref="G6498:G6503" si="181">+E6498*F6498</f>
        <v>730.96874999999989</v>
      </c>
    </row>
    <row r="6499" spans="1:8">
      <c r="A6499" s="211" t="s">
        <v>509</v>
      </c>
      <c r="B6499" s="216" t="str">
        <f ca="1">_xlfn.CONCAT(B6472,A6499)</f>
        <v>18C142BD-Z</v>
      </c>
      <c r="C6499" s="24" t="s">
        <v>23</v>
      </c>
      <c r="D6499" s="184"/>
      <c r="E6499" s="25">
        <f>_xlfn.XLOOKUP(C6499,'H-MO'!B$7:B$30,'H-MO'!D$7:D$30,,0,1)</f>
        <v>1461.9374999999998</v>
      </c>
      <c r="F6499" s="19">
        <v>0.1</v>
      </c>
      <c r="G6499" s="33">
        <f t="shared" si="181"/>
        <v>146.19374999999999</v>
      </c>
    </row>
    <row r="6500" spans="1:8">
      <c r="A6500" s="211" t="s">
        <v>510</v>
      </c>
      <c r="B6500" s="216" t="str">
        <f ca="1">_xlfn.CONCAT(B6472,A6500)</f>
        <v>18C142BD-aa</v>
      </c>
      <c r="C6500" s="24" t="s">
        <v>24</v>
      </c>
      <c r="D6500" s="185"/>
      <c r="E6500" s="25">
        <f>_xlfn.XLOOKUP(C6500,'H-MO'!B$7:B$30,'H-MO'!D$7:D$30,,0,1)</f>
        <v>29238.749999999996</v>
      </c>
      <c r="F6500" s="28">
        <v>2E-3</v>
      </c>
      <c r="G6500" s="33">
        <f t="shared" si="181"/>
        <v>58.477499999999992</v>
      </c>
    </row>
    <row r="6501" spans="1:8">
      <c r="A6501" s="211" t="s">
        <v>511</v>
      </c>
      <c r="B6501" s="216" t="str">
        <f ca="1">_xlfn.CONCAT(B6472,A6501)</f>
        <v>18C142BD-ab</v>
      </c>
      <c r="C6501" s="24" t="s">
        <v>25</v>
      </c>
      <c r="D6501" s="185"/>
      <c r="E6501" s="25">
        <f>_xlfn.XLOOKUP(C6501,'H-MO'!B$7:B$30,'H-MO'!D$7:D$30,,0,1)</f>
        <v>2761.4374999999995</v>
      </c>
      <c r="F6501" s="28">
        <v>0.01</v>
      </c>
      <c r="G6501" s="33">
        <f t="shared" si="181"/>
        <v>27.614374999999995</v>
      </c>
    </row>
    <row r="6502" spans="1:8">
      <c r="A6502" s="211" t="s">
        <v>512</v>
      </c>
      <c r="B6502" s="216" t="str">
        <f ca="1">_xlfn.CONCAT(B6472,A6502)</f>
        <v>18C142BD-ac</v>
      </c>
      <c r="C6502" s="24"/>
      <c r="D6502" s="185"/>
      <c r="E6502" s="29"/>
      <c r="F6502" s="28"/>
      <c r="G6502" s="33">
        <f t="shared" si="181"/>
        <v>0</v>
      </c>
    </row>
    <row r="6503" spans="1:8" ht="14.25" thickBot="1">
      <c r="A6503" s="211" t="s">
        <v>513</v>
      </c>
      <c r="B6503" s="216" t="str">
        <f ca="1">_xlfn.CONCAT(B6472,A6503)</f>
        <v>18C142BD-ad</v>
      </c>
      <c r="C6503" s="24"/>
      <c r="D6503" s="185"/>
      <c r="E6503" s="29"/>
      <c r="F6503" s="28"/>
      <c r="G6503" s="33">
        <f t="shared" si="181"/>
        <v>0</v>
      </c>
    </row>
    <row r="6504" spans="1:8" ht="14.25" thickBot="1">
      <c r="A6504" s="211" t="s">
        <v>514</v>
      </c>
      <c r="B6504" s="216" t="str">
        <f ca="1">_xlfn.CONCAT(B6472,A6504)</f>
        <v>18C142BD-ae</v>
      </c>
      <c r="C6504" s="17"/>
      <c r="D6504" s="192"/>
      <c r="E6504" s="18"/>
      <c r="F6504" s="22" t="s">
        <v>26</v>
      </c>
      <c r="G6504" s="23">
        <f>SUM(G6498:G6503)</f>
        <v>963.25437499999987</v>
      </c>
    </row>
    <row r="6505" spans="1:8" ht="15.75" thickBot="1">
      <c r="A6505" s="211" t="s">
        <v>515</v>
      </c>
      <c r="B6505" s="216" t="str">
        <f ca="1">_xlfn.CONCAT(B6472,A6505)</f>
        <v>18C142BD-af</v>
      </c>
      <c r="C6505" s="10" t="s">
        <v>27</v>
      </c>
      <c r="D6505" s="190"/>
      <c r="E6505" s="11"/>
      <c r="F6505" s="12"/>
      <c r="G6505" s="13"/>
    </row>
    <row r="6506" spans="1:8" ht="14.25" thickBot="1">
      <c r="A6506" s="211" t="s">
        <v>516</v>
      </c>
      <c r="B6506" s="216" t="str">
        <f ca="1">_xlfn.CONCAT(B6472,A6506)</f>
        <v>18C142BD-ag</v>
      </c>
      <c r="C6506" s="14" t="s">
        <v>1</v>
      </c>
      <c r="D6506" s="15" t="s">
        <v>28</v>
      </c>
      <c r="E6506" s="15" t="s">
        <v>20</v>
      </c>
      <c r="F6506" s="16" t="s">
        <v>21</v>
      </c>
      <c r="G6506" s="15" t="s">
        <v>5</v>
      </c>
      <c r="H6506" s="215"/>
    </row>
    <row r="6507" spans="1:8">
      <c r="A6507" s="211" t="s">
        <v>517</v>
      </c>
      <c r="B6507" s="216" t="str">
        <f ca="1">_xlfn.CONCAT(B6472,A6507)</f>
        <v>18C142BD-ah</v>
      </c>
      <c r="C6507" s="30" t="s">
        <v>29</v>
      </c>
      <c r="D6507" s="186">
        <f>'H-MO'!$N$77</f>
        <v>725918.52892505517</v>
      </c>
      <c r="E6507" s="31">
        <f>+D6507/8</f>
        <v>90739.816115631897</v>
      </c>
      <c r="F6507" s="32">
        <v>0.27</v>
      </c>
      <c r="G6507" s="33">
        <f>+E6507*F6507</f>
        <v>24499.750351220613</v>
      </c>
    </row>
    <row r="6508" spans="1:8">
      <c r="A6508" s="211" t="s">
        <v>518</v>
      </c>
      <c r="B6508" s="216" t="str">
        <f ca="1">_xlfn.CONCAT(B6472,A6508)</f>
        <v>18C142BD-ai</v>
      </c>
      <c r="C6508" s="34" t="s">
        <v>30</v>
      </c>
      <c r="D6508" s="187">
        <f>'H-MO'!$N$86</f>
        <v>685561.39085756091</v>
      </c>
      <c r="E6508" s="29">
        <f>+D6508/8</f>
        <v>85695.173857195114</v>
      </c>
      <c r="F6508" s="28"/>
      <c r="G6508" s="33">
        <f>+E6508*F6508</f>
        <v>0</v>
      </c>
    </row>
    <row r="6509" spans="1:8" ht="14.25" thickBot="1">
      <c r="A6509" s="211" t="s">
        <v>519</v>
      </c>
      <c r="B6509" s="216" t="str">
        <f ca="1">_xlfn.CONCAT(B6472,A6509)</f>
        <v>18C142BD-aj</v>
      </c>
      <c r="C6509" s="34"/>
      <c r="D6509" s="187"/>
      <c r="E6509" s="29"/>
      <c r="F6509" s="28"/>
      <c r="G6509" s="33">
        <f>+E6509*F6509</f>
        <v>0</v>
      </c>
    </row>
    <row r="6510" spans="1:8" ht="14.25" thickBot="1">
      <c r="A6510" s="211" t="s">
        <v>520</v>
      </c>
      <c r="B6510" s="216" t="str">
        <f ca="1">_xlfn.CONCAT(B6472,A6510)</f>
        <v>18C142BD-ak</v>
      </c>
      <c r="C6510" s="34"/>
      <c r="D6510" s="185"/>
      <c r="E6510" s="26"/>
      <c r="F6510" s="36" t="s">
        <v>31</v>
      </c>
      <c r="G6510" s="23">
        <f>SUM(G6507:G6509)</f>
        <v>24499.750351220613</v>
      </c>
    </row>
    <row r="6511" spans="1:8" ht="14.25" thickBot="1">
      <c r="A6511" s="211" t="s">
        <v>521</v>
      </c>
      <c r="B6511" s="216" t="str">
        <f ca="1">_xlfn.CONCAT(B6472,A6511)</f>
        <v>18C142BD-al</v>
      </c>
      <c r="C6511" s="37"/>
      <c r="E6511" s="38"/>
      <c r="F6511" s="22"/>
      <c r="G6511" s="39"/>
    </row>
    <row r="6512" spans="1:8" ht="16.5" thickBot="1">
      <c r="A6512" s="211" t="s">
        <v>522</v>
      </c>
      <c r="B6512" s="216" t="str">
        <f ca="1">_xlfn.CONCAT(B6472,A6512)</f>
        <v>18C142BD-am</v>
      </c>
      <c r="C6512" s="40"/>
      <c r="D6512" s="193"/>
      <c r="E6512" s="41"/>
      <c r="F6512" s="42"/>
      <c r="G6512" s="43">
        <f>+G6495+G6504+G6510</f>
        <v>101250.50472622062</v>
      </c>
    </row>
    <row r="6513" spans="1:8" ht="21.75" thickBot="1">
      <c r="B6513" s="212" t="s">
        <v>550</v>
      </c>
      <c r="C6513" s="2"/>
      <c r="D6513" s="183"/>
      <c r="F6513" s="4"/>
      <c r="G6513" s="5"/>
    </row>
    <row r="6514" spans="1:8" ht="18.75">
      <c r="A6514" s="213"/>
      <c r="B6514" s="214">
        <v>148</v>
      </c>
      <c r="C6514" s="242" t="str">
        <f ca="1">_xlfn.XLOOKUP(B6514,Cantidades!$A$10:$A$314,Cantidades!$C$10:$C$314,,0,1)</f>
        <v>Suministro e instalacion de  Caja de paso metalica 80x80</v>
      </c>
      <c r="D6514" s="243"/>
      <c r="E6514" s="243"/>
      <c r="F6514" s="243"/>
      <c r="G6514" s="244"/>
      <c r="H6514" s="213"/>
    </row>
    <row r="6515" spans="1:8" ht="19.5" thickBot="1">
      <c r="A6515" s="215"/>
      <c r="B6515" s="216" t="s">
        <v>550</v>
      </c>
      <c r="C6515" s="177"/>
      <c r="D6515" s="189"/>
      <c r="E6515" s="178"/>
      <c r="F6515" s="179" t="s">
        <v>636</v>
      </c>
      <c r="G6515" s="209" t="str">
        <f ca="1">B6516</f>
        <v>D044C2D-</v>
      </c>
      <c r="H6515" s="215"/>
    </row>
    <row r="6516" spans="1:8" ht="15.75" thickBot="1">
      <c r="B6516" s="212" t="str">
        <f ca="1">_xlfn.XLOOKUP(C6514,Cantidades!$C$1:$C$314,Cantidades!$B$1:$B$314,"",0,1)</f>
        <v>D044C2D-</v>
      </c>
      <c r="C6516" s="10" t="s">
        <v>0</v>
      </c>
      <c r="D6516" s="190"/>
      <c r="E6516" s="11"/>
      <c r="F6516" s="12"/>
      <c r="G6516" s="13"/>
    </row>
    <row r="6517" spans="1:8" ht="14.25" thickBot="1">
      <c r="A6517" s="215"/>
      <c r="B6517" s="216" t="s">
        <v>550</v>
      </c>
      <c r="C6517" s="14" t="s">
        <v>1</v>
      </c>
      <c r="D6517" s="15" t="s">
        <v>2</v>
      </c>
      <c r="E6517" s="15" t="s">
        <v>3</v>
      </c>
      <c r="F6517" s="16" t="s">
        <v>4</v>
      </c>
      <c r="G6517" s="15" t="s">
        <v>5</v>
      </c>
      <c r="H6517" s="215"/>
    </row>
    <row r="6518" spans="1:8" ht="15">
      <c r="A6518" s="211" t="s">
        <v>484</v>
      </c>
      <c r="B6518" s="216" t="str">
        <f ca="1">_xlfn.CONCAT(B6516,A6518)</f>
        <v>D044C2D-A</v>
      </c>
      <c r="C6518" s="17" t="str">
        <f>_xlfn.XLOOKUP(H6518,'Materiales unitario'!$A$1:$A$2500,'Materiales unitario'!B$1:B$2500,,0,1)</f>
        <v>Accesorios de anclaje y fijacion.</v>
      </c>
      <c r="D6518" s="184" t="str">
        <f>_xlfn.XLOOKUP(H6518,'Materiales unitario'!A$1:A$2500,'Materiales unitario'!C$1:C$2500,,0,1)</f>
        <v>un</v>
      </c>
      <c r="E6518" s="197">
        <f>_xlfn.XLOOKUP(H6518,'Materiales unitario'!$A$1:$A$2500,'Materiales unitario'!D$1:D$2500,,0,1)</f>
        <v>10000</v>
      </c>
      <c r="F6518" s="19">
        <v>1.05</v>
      </c>
      <c r="G6518" s="20">
        <f>+E6518*F6518</f>
        <v>10500</v>
      </c>
      <c r="H6518" s="217" t="s">
        <v>222</v>
      </c>
    </row>
    <row r="6519" spans="1:8" ht="15">
      <c r="A6519" s="211" t="s">
        <v>485</v>
      </c>
      <c r="B6519" s="216" t="str">
        <f ca="1">_xlfn.CONCAT(B6516,A6519)</f>
        <v>D044C2D-B</v>
      </c>
      <c r="C6519" s="17" t="str">
        <f>_xlfn.XLOOKUP(H6519,'Materiales unitario'!$A$1:$A$2500,'Materiales unitario'!B$1:B$2500,,0,1)</f>
        <v>Caja de paso metálica 80 x 80 x 40 cm</v>
      </c>
      <c r="D6519" s="184" t="str">
        <f>_xlfn.XLOOKUP(H6519,'Materiales unitario'!A$1:A$2500,'Materiales unitario'!C$1:C$2500,,0,1)</f>
        <v>un</v>
      </c>
      <c r="E6519" s="197">
        <f>_xlfn.XLOOKUP(H6519,'Materiales unitario'!$A$1:$A$2500,'Materiales unitario'!D$1:D$2500,,0,1)</f>
        <v>411348</v>
      </c>
      <c r="F6519" s="19">
        <v>1</v>
      </c>
      <c r="G6519" s="20">
        <f>+E6519*F6519</f>
        <v>411348</v>
      </c>
      <c r="H6519" s="217" t="s">
        <v>1274</v>
      </c>
    </row>
    <row r="6520" spans="1:8" ht="15">
      <c r="A6520" s="211" t="s">
        <v>486</v>
      </c>
      <c r="B6520" s="216" t="str">
        <f ca="1">_xlfn.CONCAT(B6516,A6520)</f>
        <v>D044C2D-C</v>
      </c>
      <c r="C6520" s="17"/>
      <c r="D6520" s="184"/>
      <c r="E6520" s="197"/>
      <c r="F6520" s="19"/>
      <c r="G6520" s="20"/>
      <c r="H6520" s="217"/>
    </row>
    <row r="6521" spans="1:8" ht="15">
      <c r="A6521" s="211" t="s">
        <v>487</v>
      </c>
      <c r="B6521" s="216" t="str">
        <f ca="1">_xlfn.CONCAT(B6516,A6521)</f>
        <v>D044C2D-D</v>
      </c>
      <c r="C6521" s="17"/>
      <c r="D6521" s="184"/>
      <c r="E6521" s="197"/>
      <c r="F6521" s="19"/>
      <c r="G6521" s="20"/>
      <c r="H6521" s="217"/>
    </row>
    <row r="6522" spans="1:8" ht="15">
      <c r="A6522" s="211" t="s">
        <v>488</v>
      </c>
      <c r="B6522" s="216" t="str">
        <f ca="1">_xlfn.CONCAT(B6516,A6522)</f>
        <v>D044C2D-E</v>
      </c>
      <c r="C6522" s="17"/>
      <c r="D6522" s="184"/>
      <c r="E6522" s="197"/>
      <c r="F6522" s="19"/>
      <c r="G6522" s="20"/>
      <c r="H6522" s="217"/>
    </row>
    <row r="6523" spans="1:8" ht="15">
      <c r="A6523" s="211" t="s">
        <v>489</v>
      </c>
      <c r="B6523" s="216" t="str">
        <f ca="1">_xlfn.CONCAT(B6516,A6523)</f>
        <v>D044C2D-F</v>
      </c>
      <c r="C6523" s="17"/>
      <c r="D6523" s="184"/>
      <c r="E6523" s="197"/>
      <c r="F6523" s="19"/>
      <c r="G6523" s="20"/>
      <c r="H6523" s="217"/>
    </row>
    <row r="6524" spans="1:8" ht="15">
      <c r="A6524" s="211" t="s">
        <v>490</v>
      </c>
      <c r="B6524" s="216" t="str">
        <f ca="1">_xlfn.CONCAT(B6516,A6524)</f>
        <v>D044C2D-G</v>
      </c>
      <c r="C6524" s="17"/>
      <c r="D6524" s="184"/>
      <c r="E6524" s="197"/>
      <c r="F6524" s="19"/>
      <c r="G6524" s="20"/>
      <c r="H6524" s="217"/>
    </row>
    <row r="6525" spans="1:8" ht="15">
      <c r="A6525" s="211" t="s">
        <v>491</v>
      </c>
      <c r="B6525" s="216" t="str">
        <f ca="1">_xlfn.CONCAT(B6516,A6525)</f>
        <v>D044C2D-H</v>
      </c>
      <c r="C6525" s="17"/>
      <c r="D6525" s="184"/>
      <c r="E6525" s="197"/>
      <c r="F6525" s="19"/>
      <c r="G6525" s="20"/>
      <c r="H6525" s="217"/>
    </row>
    <row r="6526" spans="1:8" ht="15">
      <c r="A6526" s="211" t="s">
        <v>492</v>
      </c>
      <c r="B6526" s="216" t="str">
        <f ca="1">_xlfn.CONCAT(B6516,A6526)</f>
        <v>D044C2D-I</v>
      </c>
      <c r="C6526" s="17"/>
      <c r="D6526" s="184"/>
      <c r="E6526" s="197"/>
      <c r="F6526" s="19"/>
      <c r="G6526" s="20"/>
      <c r="H6526" s="217"/>
    </row>
    <row r="6527" spans="1:8" ht="15">
      <c r="A6527" s="211" t="s">
        <v>493</v>
      </c>
      <c r="B6527" s="216" t="str">
        <f ca="1">_xlfn.CONCAT(B6516,A6527)</f>
        <v>D044C2D-J</v>
      </c>
      <c r="C6527" s="17"/>
      <c r="D6527" s="184"/>
      <c r="E6527" s="197"/>
      <c r="F6527" s="19"/>
      <c r="G6527" s="20"/>
      <c r="H6527" s="217"/>
    </row>
    <row r="6528" spans="1:8" ht="15">
      <c r="A6528" s="211" t="s">
        <v>494</v>
      </c>
      <c r="B6528" s="216" t="str">
        <f ca="1">_xlfn.CONCAT(B6516,A6528)</f>
        <v>D044C2D-K</v>
      </c>
      <c r="C6528" s="17"/>
      <c r="D6528" s="184"/>
      <c r="E6528" s="197"/>
      <c r="F6528" s="19"/>
      <c r="G6528" s="20"/>
      <c r="H6528" s="217"/>
    </row>
    <row r="6529" spans="1:8" ht="15">
      <c r="A6529" s="211" t="s">
        <v>495</v>
      </c>
      <c r="B6529" s="216" t="str">
        <f ca="1">_xlfn.CONCAT(B6516,A6529)</f>
        <v>D044C2D-L</v>
      </c>
      <c r="C6529" s="17"/>
      <c r="D6529" s="184"/>
      <c r="E6529" s="197"/>
      <c r="F6529" s="19"/>
      <c r="G6529" s="20"/>
      <c r="H6529" s="217"/>
    </row>
    <row r="6530" spans="1:8" ht="15">
      <c r="A6530" s="211" t="s">
        <v>496</v>
      </c>
      <c r="B6530" s="216" t="str">
        <f ca="1">_xlfn.CONCAT(B6516,A6530)</f>
        <v>D044C2D-M</v>
      </c>
      <c r="C6530" s="17"/>
      <c r="D6530" s="184"/>
      <c r="E6530" s="197"/>
      <c r="F6530" s="19"/>
      <c r="G6530" s="20"/>
      <c r="H6530" s="217"/>
    </row>
    <row r="6531" spans="1:8">
      <c r="A6531" s="211" t="s">
        <v>497</v>
      </c>
      <c r="B6531" s="216" t="str">
        <f ca="1">_xlfn.CONCAT(B6516,A6531)</f>
        <v>D044C2D-N</v>
      </c>
      <c r="C6531" s="17"/>
      <c r="D6531" s="184"/>
      <c r="E6531" s="197"/>
      <c r="F6531" s="19"/>
      <c r="G6531" s="20"/>
    </row>
    <row r="6532" spans="1:8">
      <c r="A6532" s="211" t="s">
        <v>498</v>
      </c>
      <c r="B6532" s="216" t="str">
        <f ca="1">_xlfn.CONCAT(B6516,A6532)</f>
        <v>D044C2D-O</v>
      </c>
      <c r="C6532" s="17"/>
      <c r="D6532" s="184"/>
      <c r="E6532" s="197"/>
      <c r="F6532" s="19"/>
      <c r="G6532" s="20"/>
    </row>
    <row r="6533" spans="1:8">
      <c r="A6533" s="211" t="s">
        <v>499</v>
      </c>
      <c r="B6533" s="216" t="str">
        <f ca="1">_xlfn.CONCAT(B6516,A6533)</f>
        <v>D044C2D-P</v>
      </c>
      <c r="C6533" s="17"/>
      <c r="D6533" s="184"/>
      <c r="E6533" s="197"/>
      <c r="F6533" s="19"/>
      <c r="G6533" s="20"/>
    </row>
    <row r="6534" spans="1:8">
      <c r="A6534" s="211" t="s">
        <v>500</v>
      </c>
      <c r="B6534" s="216" t="str">
        <f ca="1">_xlfn.CONCAT(B6516,A6534)</f>
        <v>D044C2D-Q</v>
      </c>
      <c r="C6534" s="17"/>
      <c r="D6534" s="184"/>
      <c r="E6534" s="197"/>
      <c r="F6534" s="19"/>
      <c r="G6534" s="20"/>
    </row>
    <row r="6535" spans="1:8">
      <c r="A6535" s="211" t="s">
        <v>501</v>
      </c>
      <c r="B6535" s="216" t="str">
        <f ca="1">_xlfn.CONCAT(B6516,A6535)</f>
        <v>D044C2D-R</v>
      </c>
      <c r="C6535" s="17"/>
      <c r="D6535" s="184"/>
      <c r="E6535" s="197"/>
      <c r="F6535" s="19"/>
      <c r="G6535" s="20"/>
    </row>
    <row r="6536" spans="1:8">
      <c r="A6536" s="211" t="s">
        <v>502</v>
      </c>
      <c r="B6536" s="216" t="str">
        <f ca="1">_xlfn.CONCAT(B6516,A6536)</f>
        <v>D044C2D-S</v>
      </c>
      <c r="C6536" s="17"/>
      <c r="D6536" s="184"/>
      <c r="E6536" s="197"/>
      <c r="F6536" s="19"/>
      <c r="G6536" s="20"/>
    </row>
    <row r="6537" spans="1:8">
      <c r="A6537" s="211" t="s">
        <v>503</v>
      </c>
      <c r="B6537" s="216" t="str">
        <f ca="1">_xlfn.CONCAT(B6516,A6537)</f>
        <v>D044C2D-T</v>
      </c>
      <c r="C6537" s="17"/>
      <c r="D6537" s="184"/>
      <c r="E6537" s="197"/>
      <c r="F6537" s="19"/>
      <c r="G6537" s="20"/>
    </row>
    <row r="6538" spans="1:8" ht="14.25" thickBot="1">
      <c r="A6538" s="211" t="s">
        <v>504</v>
      </c>
      <c r="B6538" s="216" t="str">
        <f ca="1">_xlfn.CONCAT(B6516,A6538)</f>
        <v>D044C2D-U</v>
      </c>
      <c r="C6538" s="17"/>
      <c r="D6538" s="184"/>
      <c r="E6538" s="197"/>
      <c r="F6538" s="19"/>
      <c r="G6538" s="20"/>
    </row>
    <row r="6539" spans="1:8" ht="14.25" thickBot="1">
      <c r="A6539" s="211" t="s">
        <v>505</v>
      </c>
      <c r="B6539" s="216" t="str">
        <f ca="1">_xlfn.CONCAT(B6516,A6539)</f>
        <v>D044C2D-V</v>
      </c>
      <c r="C6539" s="17" t="s">
        <v>17</v>
      </c>
      <c r="D6539" s="192" t="s">
        <v>17</v>
      </c>
      <c r="E6539" s="18"/>
      <c r="F6539" s="22" t="s">
        <v>18</v>
      </c>
      <c r="G6539" s="23">
        <f>SUM(G6518:G6538)</f>
        <v>421848</v>
      </c>
    </row>
    <row r="6540" spans="1:8" ht="15.75" thickBot="1">
      <c r="A6540" s="211" t="s">
        <v>506</v>
      </c>
      <c r="B6540" s="216" t="str">
        <f ca="1">_xlfn.CONCAT(B6516,A6540)</f>
        <v>D044C2D-W</v>
      </c>
      <c r="C6540" s="10" t="s">
        <v>19</v>
      </c>
      <c r="D6540" s="190"/>
      <c r="E6540" s="11"/>
      <c r="F6540" s="12"/>
      <c r="G6540" s="13"/>
    </row>
    <row r="6541" spans="1:8" ht="14.25" thickBot="1">
      <c r="A6541" s="211" t="s">
        <v>507</v>
      </c>
      <c r="B6541" s="216" t="str">
        <f ca="1">_xlfn.CONCAT(B6516,A6541)</f>
        <v>D044C2D-X</v>
      </c>
      <c r="C6541" s="14" t="s">
        <v>1</v>
      </c>
      <c r="D6541" s="15"/>
      <c r="E6541" s="15" t="s">
        <v>20</v>
      </c>
      <c r="F6541" s="16" t="s">
        <v>21</v>
      </c>
      <c r="G6541" s="15" t="s">
        <v>5</v>
      </c>
      <c r="H6541" s="215"/>
    </row>
    <row r="6542" spans="1:8">
      <c r="A6542" s="211" t="s">
        <v>508</v>
      </c>
      <c r="B6542" s="216" t="str">
        <f ca="1">_xlfn.CONCAT(B6516,A6542)</f>
        <v>D044C2D-Y</v>
      </c>
      <c r="C6542" s="24" t="s">
        <v>22</v>
      </c>
      <c r="D6542" s="184"/>
      <c r="E6542" s="25">
        <f>_xlfn.XLOOKUP(C6542,'H-MO'!B$7:B$30,'H-MO'!D$7:D$30,,0,1)</f>
        <v>2436.5624999999995</v>
      </c>
      <c r="F6542" s="19">
        <v>0.31031652173913044</v>
      </c>
      <c r="G6542" s="33">
        <f t="shared" ref="G6542:G6547" si="182">+E6542*F6542</f>
        <v>756.10559999999987</v>
      </c>
    </row>
    <row r="6543" spans="1:8">
      <c r="A6543" s="211" t="s">
        <v>509</v>
      </c>
      <c r="B6543" s="216" t="str">
        <f ca="1">_xlfn.CONCAT(B6516,A6543)</f>
        <v>D044C2D-Z</v>
      </c>
      <c r="C6543" s="24" t="s">
        <v>23</v>
      </c>
      <c r="D6543" s="184"/>
      <c r="E6543" s="25">
        <f>_xlfn.XLOOKUP(C6543,'H-MO'!B$7:B$30,'H-MO'!D$7:D$30,,0,1)</f>
        <v>1461.9374999999998</v>
      </c>
      <c r="F6543" s="19">
        <v>0.77579130434782617</v>
      </c>
      <c r="G6543" s="33">
        <f t="shared" si="182"/>
        <v>1134.1584</v>
      </c>
    </row>
    <row r="6544" spans="1:8">
      <c r="A6544" s="211" t="s">
        <v>510</v>
      </c>
      <c r="B6544" s="216" t="str">
        <f ca="1">_xlfn.CONCAT(B6516,A6544)</f>
        <v>D044C2D-aa</v>
      </c>
      <c r="C6544" s="24" t="s">
        <v>24</v>
      </c>
      <c r="D6544" s="185"/>
      <c r="E6544" s="25">
        <f>_xlfn.XLOOKUP(C6544,'H-MO'!B$7:B$30,'H-MO'!D$7:D$30,,0,1)</f>
        <v>29238.749999999996</v>
      </c>
      <c r="F6544" s="28">
        <v>1.2929855072463768E-2</v>
      </c>
      <c r="G6544" s="33">
        <f t="shared" si="182"/>
        <v>378.05279999999993</v>
      </c>
    </row>
    <row r="6545" spans="1:8">
      <c r="A6545" s="211" t="s">
        <v>511</v>
      </c>
      <c r="B6545" s="216" t="str">
        <f ca="1">_xlfn.CONCAT(B6516,A6545)</f>
        <v>D044C2D-ab</v>
      </c>
      <c r="C6545" s="24" t="s">
        <v>25</v>
      </c>
      <c r="D6545" s="185"/>
      <c r="E6545" s="25">
        <f>_xlfn.XLOOKUP(C6545,'H-MO'!B$7:B$30,'H-MO'!D$7:D$30,,0,1)</f>
        <v>2761.4374999999995</v>
      </c>
      <c r="F6545" s="28">
        <v>0.27380869565217392</v>
      </c>
      <c r="G6545" s="33">
        <f t="shared" si="182"/>
        <v>756.10559999999987</v>
      </c>
    </row>
    <row r="6546" spans="1:8">
      <c r="A6546" s="211" t="s">
        <v>512</v>
      </c>
      <c r="B6546" s="216" t="str">
        <f ca="1">_xlfn.CONCAT(B6516,A6546)</f>
        <v>D044C2D-ac</v>
      </c>
      <c r="C6546" s="24"/>
      <c r="D6546" s="185"/>
      <c r="E6546" s="29"/>
      <c r="F6546" s="28"/>
      <c r="G6546" s="33">
        <f t="shared" si="182"/>
        <v>0</v>
      </c>
    </row>
    <row r="6547" spans="1:8" ht="14.25" thickBot="1">
      <c r="A6547" s="211" t="s">
        <v>513</v>
      </c>
      <c r="B6547" s="216" t="str">
        <f ca="1">_xlfn.CONCAT(B6516,A6547)</f>
        <v>D044C2D-ad</v>
      </c>
      <c r="C6547" s="24"/>
      <c r="D6547" s="185"/>
      <c r="E6547" s="29"/>
      <c r="F6547" s="28"/>
      <c r="G6547" s="33">
        <f t="shared" si="182"/>
        <v>0</v>
      </c>
    </row>
    <row r="6548" spans="1:8" ht="14.25" thickBot="1">
      <c r="A6548" s="211" t="s">
        <v>514</v>
      </c>
      <c r="B6548" s="216" t="str">
        <f ca="1">_xlfn.CONCAT(B6516,A6548)</f>
        <v>D044C2D-ae</v>
      </c>
      <c r="C6548" s="17"/>
      <c r="D6548" s="192"/>
      <c r="E6548" s="18"/>
      <c r="F6548" s="22" t="s">
        <v>26</v>
      </c>
      <c r="G6548" s="23">
        <f>SUM(G6542:G6547)</f>
        <v>3024.4223999999995</v>
      </c>
    </row>
    <row r="6549" spans="1:8" ht="15.75" thickBot="1">
      <c r="A6549" s="211" t="s">
        <v>515</v>
      </c>
      <c r="B6549" s="216" t="str">
        <f ca="1">_xlfn.CONCAT(B6516,A6549)</f>
        <v>D044C2D-af</v>
      </c>
      <c r="C6549" s="10" t="s">
        <v>27</v>
      </c>
      <c r="D6549" s="190"/>
      <c r="E6549" s="11"/>
      <c r="F6549" s="12"/>
      <c r="G6549" s="13"/>
    </row>
    <row r="6550" spans="1:8" ht="14.25" thickBot="1">
      <c r="A6550" s="211" t="s">
        <v>516</v>
      </c>
      <c r="B6550" s="216" t="str">
        <f ca="1">_xlfn.CONCAT(B6516,A6550)</f>
        <v>D044C2D-ag</v>
      </c>
      <c r="C6550" s="14" t="s">
        <v>1</v>
      </c>
      <c r="D6550" s="15" t="s">
        <v>28</v>
      </c>
      <c r="E6550" s="15" t="s">
        <v>20</v>
      </c>
      <c r="F6550" s="16" t="s">
        <v>21</v>
      </c>
      <c r="G6550" s="15" t="s">
        <v>5</v>
      </c>
      <c r="H6550" s="215"/>
    </row>
    <row r="6551" spans="1:8">
      <c r="A6551" s="211" t="s">
        <v>517</v>
      </c>
      <c r="B6551" s="216" t="str">
        <f ca="1">_xlfn.CONCAT(B6516,A6551)</f>
        <v>D044C2D-ah</v>
      </c>
      <c r="C6551" s="30" t="s">
        <v>29</v>
      </c>
      <c r="D6551" s="186">
        <f>'H-MO'!$N$77</f>
        <v>725918.52892505517</v>
      </c>
      <c r="E6551" s="31">
        <f>+D6551/8</f>
        <v>90739.816115631897</v>
      </c>
      <c r="F6551" s="32">
        <v>0.8</v>
      </c>
      <c r="G6551" s="33">
        <f>+E6551*F6551</f>
        <v>72591.852892505514</v>
      </c>
    </row>
    <row r="6552" spans="1:8">
      <c r="A6552" s="211" t="s">
        <v>518</v>
      </c>
      <c r="B6552" s="216" t="str">
        <f ca="1">_xlfn.CONCAT(B6516,A6552)</f>
        <v>D044C2D-ai</v>
      </c>
      <c r="C6552" s="34" t="s">
        <v>30</v>
      </c>
      <c r="D6552" s="187">
        <f>'H-MO'!$N$86</f>
        <v>685561.39085756091</v>
      </c>
      <c r="E6552" s="29">
        <f>+D6552/8</f>
        <v>85695.173857195114</v>
      </c>
      <c r="F6552" s="28"/>
      <c r="G6552" s="33">
        <f>+E6552*F6552</f>
        <v>0</v>
      </c>
    </row>
    <row r="6553" spans="1:8" ht="14.25" thickBot="1">
      <c r="A6553" s="211" t="s">
        <v>519</v>
      </c>
      <c r="B6553" s="216" t="str">
        <f ca="1">_xlfn.CONCAT(B6516,A6553)</f>
        <v>D044C2D-aj</v>
      </c>
      <c r="C6553" s="34"/>
      <c r="D6553" s="187"/>
      <c r="E6553" s="29"/>
      <c r="F6553" s="28"/>
      <c r="G6553" s="33">
        <f>+E6553*F6553</f>
        <v>0</v>
      </c>
    </row>
    <row r="6554" spans="1:8" ht="14.25" thickBot="1">
      <c r="A6554" s="211" t="s">
        <v>520</v>
      </c>
      <c r="B6554" s="216" t="str">
        <f ca="1">_xlfn.CONCAT(B6516,A6554)</f>
        <v>D044C2D-ak</v>
      </c>
      <c r="C6554" s="34"/>
      <c r="D6554" s="185"/>
      <c r="E6554" s="26"/>
      <c r="F6554" s="36" t="s">
        <v>31</v>
      </c>
      <c r="G6554" s="23">
        <f>SUM(G6551:G6553)</f>
        <v>72591.852892505514</v>
      </c>
    </row>
    <row r="6555" spans="1:8" ht="14.25" thickBot="1">
      <c r="A6555" s="211" t="s">
        <v>521</v>
      </c>
      <c r="B6555" s="216" t="str">
        <f ca="1">_xlfn.CONCAT(B6516,A6555)</f>
        <v>D044C2D-al</v>
      </c>
      <c r="C6555" s="37"/>
      <c r="E6555" s="38"/>
      <c r="F6555" s="22"/>
      <c r="G6555" s="39"/>
    </row>
    <row r="6556" spans="1:8" ht="16.5" thickBot="1">
      <c r="A6556" s="211" t="s">
        <v>522</v>
      </c>
      <c r="B6556" s="216" t="str">
        <f ca="1">_xlfn.CONCAT(B6516,A6556)</f>
        <v>D044C2D-am</v>
      </c>
      <c r="C6556" s="40"/>
      <c r="D6556" s="193"/>
      <c r="E6556" s="41"/>
      <c r="F6556" s="42"/>
      <c r="G6556" s="43">
        <f>+G6539+G6548+G6554</f>
        <v>497464.27529250551</v>
      </c>
    </row>
    <row r="6557" spans="1:8" ht="21.75" thickBot="1">
      <c r="B6557" s="212" t="s">
        <v>550</v>
      </c>
      <c r="C6557" s="2"/>
      <c r="D6557" s="183"/>
      <c r="F6557" s="4"/>
      <c r="G6557" s="5"/>
    </row>
    <row r="6558" spans="1:8" ht="18.75">
      <c r="A6558" s="213"/>
      <c r="B6558" s="214">
        <v>149</v>
      </c>
      <c r="C6558" s="242" t="str">
        <f ca="1">_xlfn.XLOOKUP(B6558,Cantidades!$A$10:$A$314,Cantidades!$C$10:$C$314,,0,1)</f>
        <v>Suministro e instalación de salida luminaria hermética. Incluye caja rawelt, cable #12 AWG de cobre, tubería EMT, Luminaria SYLVANIA ref. P25608  de 36 W y demás accesorios para su correcta instalación,  fincionamiento y señalización.</v>
      </c>
      <c r="D6558" s="243"/>
      <c r="E6558" s="243"/>
      <c r="F6558" s="243"/>
      <c r="G6558" s="244"/>
      <c r="H6558" s="213"/>
    </row>
    <row r="6559" spans="1:8" ht="19.5" thickBot="1">
      <c r="A6559" s="215"/>
      <c r="B6559" s="216" t="s">
        <v>550</v>
      </c>
      <c r="C6559" s="177"/>
      <c r="D6559" s="189"/>
      <c r="E6559" s="178"/>
      <c r="F6559" s="179" t="s">
        <v>636</v>
      </c>
      <c r="G6559" s="209" t="str">
        <f ca="1">B6560</f>
        <v>133BA2FB-</v>
      </c>
      <c r="H6559" s="215"/>
    </row>
    <row r="6560" spans="1:8" ht="15.75" thickBot="1">
      <c r="B6560" s="212" t="str">
        <f ca="1">_xlfn.XLOOKUP(C6558,Cantidades!$C$1:$C$314,Cantidades!$B$1:$B$314,"",0,1)</f>
        <v>133BA2FB-</v>
      </c>
      <c r="C6560" s="10" t="s">
        <v>0</v>
      </c>
      <c r="D6560" s="190"/>
      <c r="E6560" s="11"/>
      <c r="F6560" s="12"/>
      <c r="G6560" s="13"/>
    </row>
    <row r="6561" spans="1:8" ht="14.25" thickBot="1">
      <c r="A6561" s="215"/>
      <c r="B6561" s="216" t="s">
        <v>550</v>
      </c>
      <c r="C6561" s="14" t="s">
        <v>1</v>
      </c>
      <c r="D6561" s="15" t="s">
        <v>2</v>
      </c>
      <c r="E6561" s="15" t="s">
        <v>3</v>
      </c>
      <c r="F6561" s="16" t="s">
        <v>4</v>
      </c>
      <c r="G6561" s="15" t="s">
        <v>5</v>
      </c>
      <c r="H6561" s="215"/>
    </row>
    <row r="6562" spans="1:8" ht="15">
      <c r="A6562" s="211" t="s">
        <v>484</v>
      </c>
      <c r="B6562" s="216" t="str">
        <f ca="1">_xlfn.CONCAT(B6560,A6562)</f>
        <v>133BA2FB-A</v>
      </c>
      <c r="C6562" s="17" t="str">
        <f>_xlfn.XLOOKUP(H6562,'Materiales unitario'!$A$1:$A$2500,'Materiales unitario'!B$1:B$2500,,0,1)</f>
        <v>Tubo metálico ø1/2" EMT</v>
      </c>
      <c r="D6562" s="184" t="str">
        <f>_xlfn.XLOOKUP(H6562,'Materiales unitario'!A$1:A$2500,'Materiales unitario'!C$1:C$2500,,0,1)</f>
        <v>ml</v>
      </c>
      <c r="E6562" s="197">
        <f>_xlfn.XLOOKUP(H6562,'Materiales unitario'!$A$1:$A$2500,'Materiales unitario'!D$1:D$2500,,0,1)</f>
        <v>6013.333333333333</v>
      </c>
      <c r="F6562" s="19">
        <v>3.8</v>
      </c>
      <c r="G6562" s="20">
        <f>+E6562*F6562</f>
        <v>22850.666666666664</v>
      </c>
      <c r="H6562" s="217" t="s">
        <v>387</v>
      </c>
    </row>
    <row r="6563" spans="1:8" ht="15">
      <c r="A6563" s="211" t="s">
        <v>485</v>
      </c>
      <c r="B6563" s="216" t="str">
        <f ca="1">_xlfn.CONCAT(B6560,A6563)</f>
        <v>133BA2FB-B</v>
      </c>
      <c r="C6563" s="17" t="str">
        <f>_xlfn.XLOOKUP(H6563,'Materiales unitario'!$A$1:$A$2500,'Materiales unitario'!B$1:B$2500,,0,1)</f>
        <v>Tubo metálico ø3/4" EMT</v>
      </c>
      <c r="D6563" s="184" t="str">
        <f>_xlfn.XLOOKUP(H6563,'Materiales unitario'!A$1:A$2500,'Materiales unitario'!C$1:C$2500,,0,1)</f>
        <v>ml</v>
      </c>
      <c r="E6563" s="197">
        <f>_xlfn.XLOOKUP(H6563,'Materiales unitario'!$A$1:$A$2500,'Materiales unitario'!D$1:D$2500,,0,1)</f>
        <v>11733</v>
      </c>
      <c r="F6563" s="19">
        <v>1.2</v>
      </c>
      <c r="G6563" s="20">
        <f t="shared" ref="G6563:G6572" si="183">+E6563*F6563</f>
        <v>14079.6</v>
      </c>
      <c r="H6563" s="217" t="s">
        <v>388</v>
      </c>
    </row>
    <row r="6564" spans="1:8" ht="15">
      <c r="A6564" s="211" t="s">
        <v>486</v>
      </c>
      <c r="B6564" s="216" t="str">
        <f ca="1">_xlfn.CONCAT(B6560,A6564)</f>
        <v>133BA2FB-C</v>
      </c>
      <c r="C6564" s="17" t="str">
        <f>_xlfn.XLOOKUP(H6564,'Materiales unitario'!$A$1:$A$2500,'Materiales unitario'!B$1:B$2500,,0,1)</f>
        <v xml:space="preserve">Terminal metálico ø1/2" EMT </v>
      </c>
      <c r="D6564" s="184" t="str">
        <f>_xlfn.XLOOKUP(H6564,'Materiales unitario'!A$1:A$2500,'Materiales unitario'!C$1:C$2500,,0,1)</f>
        <v>un</v>
      </c>
      <c r="E6564" s="197">
        <f>_xlfn.XLOOKUP(H6564,'Materiales unitario'!$A$1:$A$2500,'Materiales unitario'!D$1:D$2500,,0,1)</f>
        <v>2000</v>
      </c>
      <c r="F6564" s="19">
        <v>2</v>
      </c>
      <c r="G6564" s="20">
        <f t="shared" si="183"/>
        <v>4000</v>
      </c>
      <c r="H6564" s="217" t="s">
        <v>370</v>
      </c>
    </row>
    <row r="6565" spans="1:8" ht="15">
      <c r="A6565" s="211" t="s">
        <v>487</v>
      </c>
      <c r="B6565" s="216" t="str">
        <f ca="1">_xlfn.CONCAT(B6560,A6565)</f>
        <v>133BA2FB-D</v>
      </c>
      <c r="C6565" s="17" t="str">
        <f>_xlfn.XLOOKUP(H6565,'Materiales unitario'!$A$1:$A$2500,'Materiales unitario'!B$1:B$2500,,0,1)</f>
        <v xml:space="preserve">Terminal metálico ø3/4" EMT </v>
      </c>
      <c r="D6565" s="184" t="str">
        <f>_xlfn.XLOOKUP(H6565,'Materiales unitario'!A$1:A$2500,'Materiales unitario'!C$1:C$2500,,0,1)</f>
        <v>un</v>
      </c>
      <c r="E6565" s="197">
        <f>_xlfn.XLOOKUP(H6565,'Materiales unitario'!$A$1:$A$2500,'Materiales unitario'!D$1:D$2500,,0,1)</f>
        <v>2200</v>
      </c>
      <c r="F6565" s="19">
        <v>0.3</v>
      </c>
      <c r="G6565" s="20">
        <f t="shared" si="183"/>
        <v>660</v>
      </c>
      <c r="H6565" s="217" t="s">
        <v>371</v>
      </c>
    </row>
    <row r="6566" spans="1:8" ht="15">
      <c r="A6566" s="211" t="s">
        <v>488</v>
      </c>
      <c r="B6566" s="216" t="str">
        <f ca="1">_xlfn.CONCAT(B6560,A6566)</f>
        <v>133BA2FB-E</v>
      </c>
      <c r="C6566" s="17" t="str">
        <f>_xlfn.XLOOKUP(H6566,'Materiales unitario'!$A$1:$A$2500,'Materiales unitario'!B$1:B$2500,,0,1)</f>
        <v>Caja rawelt 5 huecos</v>
      </c>
      <c r="D6566" s="184" t="str">
        <f>_xlfn.XLOOKUP(H6566,'Materiales unitario'!A$1:A$2500,'Materiales unitario'!C$1:C$2500,,0,1)</f>
        <v>un</v>
      </c>
      <c r="E6566" s="197">
        <f>_xlfn.XLOOKUP(H6566,'Materiales unitario'!$A$1:$A$2500,'Materiales unitario'!D$1:D$2500,,0,1)</f>
        <v>18630</v>
      </c>
      <c r="F6566" s="19">
        <v>1</v>
      </c>
      <c r="G6566" s="20">
        <f t="shared" si="183"/>
        <v>18630</v>
      </c>
      <c r="H6566" s="217" t="s">
        <v>1279</v>
      </c>
    </row>
    <row r="6567" spans="1:8" ht="15">
      <c r="A6567" s="211" t="s">
        <v>489</v>
      </c>
      <c r="B6567" s="216" t="str">
        <f ca="1">_xlfn.CONCAT(B6560,A6567)</f>
        <v>133BA2FB-F</v>
      </c>
      <c r="C6567" s="17" t="str">
        <f>_xlfn.XLOOKUP(H6567,'Materiales unitario'!$A$1:$A$2500,'Materiales unitario'!B$1:B$2500,,0,1)</f>
        <v xml:space="preserve">Tornillo lámina #14x1/2" goloso </v>
      </c>
      <c r="D6567" s="184" t="str">
        <f>_xlfn.XLOOKUP(H6567,'Materiales unitario'!A$1:A$2500,'Materiales unitario'!C$1:C$2500,,0,1)</f>
        <v>un</v>
      </c>
      <c r="E6567" s="197">
        <f>_xlfn.XLOOKUP(H6567,'Materiales unitario'!$A$1:$A$2500,'Materiales unitario'!D$1:D$2500,,0,1)</f>
        <v>200</v>
      </c>
      <c r="F6567" s="19">
        <v>2</v>
      </c>
      <c r="G6567" s="20">
        <f t="shared" si="183"/>
        <v>400</v>
      </c>
      <c r="H6567" s="217" t="s">
        <v>608</v>
      </c>
    </row>
    <row r="6568" spans="1:8" ht="15">
      <c r="A6568" s="211" t="s">
        <v>490</v>
      </c>
      <c r="B6568" s="216" t="str">
        <f ca="1">_xlfn.CONCAT(B6560,A6568)</f>
        <v>133BA2FB-G</v>
      </c>
      <c r="C6568" s="17" t="str">
        <f>_xlfn.XLOOKUP(H6568,'Materiales unitario'!$A$1:$A$2500,'Materiales unitario'!B$1:B$2500,,0,1)</f>
        <v>Tapa ciega redonda galvanizada</v>
      </c>
      <c r="D6568" s="184" t="str">
        <f>_xlfn.XLOOKUP(H6568,'Materiales unitario'!A$1:A$2500,'Materiales unitario'!C$1:C$2500,,0,1)</f>
        <v>un</v>
      </c>
      <c r="E6568" s="197">
        <f>_xlfn.XLOOKUP(H6568,'Materiales unitario'!$A$1:$A$2500,'Materiales unitario'!D$1:D$2500,,0,1)</f>
        <v>1230</v>
      </c>
      <c r="F6568" s="19">
        <v>1</v>
      </c>
      <c r="G6568" s="20">
        <f t="shared" si="183"/>
        <v>1230</v>
      </c>
      <c r="H6568" s="217" t="s">
        <v>1281</v>
      </c>
    </row>
    <row r="6569" spans="1:8" ht="15">
      <c r="A6569" s="211" t="s">
        <v>491</v>
      </c>
      <c r="B6569" s="216" t="str">
        <f ca="1">_xlfn.CONCAT(B6560,A6569)</f>
        <v>133BA2FB-H</v>
      </c>
      <c r="C6569" s="17" t="str">
        <f>_xlfn.XLOOKUP(H6569,'Materiales unitario'!$A$1:$A$2500,'Materiales unitario'!B$1:B$2500,,0,1)</f>
        <v>Conector de resorte rojo "R" 18-10 AWG</v>
      </c>
      <c r="D6569" s="184" t="str">
        <f>_xlfn.XLOOKUP(H6569,'Materiales unitario'!A$1:A$2500,'Materiales unitario'!C$1:C$2500,,0,1)</f>
        <v>un</v>
      </c>
      <c r="E6569" s="197">
        <f>_xlfn.XLOOKUP(H6569,'Materiales unitario'!$A$1:$A$2500,'Materiales unitario'!D$1:D$2500,,0,1)</f>
        <v>280</v>
      </c>
      <c r="F6569" s="19">
        <v>3</v>
      </c>
      <c r="G6569" s="20">
        <f t="shared" si="183"/>
        <v>840</v>
      </c>
      <c r="H6569" s="217" t="s">
        <v>302</v>
      </c>
    </row>
    <row r="6570" spans="1:8" ht="15">
      <c r="A6570" s="211" t="s">
        <v>492</v>
      </c>
      <c r="B6570" s="216" t="str">
        <f ca="1">_xlfn.CONCAT(B6560,A6570)</f>
        <v>133BA2FB-I</v>
      </c>
      <c r="C6570" s="17" t="str">
        <f>_xlfn.XLOOKUP(H6570,'Materiales unitario'!$A$1:$A$2500,'Materiales unitario'!B$1:B$2500,,0,1)</f>
        <v>Cable de cobre aislado #12 AWG-THHN/THWN Color negro</v>
      </c>
      <c r="D6570" s="184" t="str">
        <f>_xlfn.XLOOKUP(H6570,'Materiales unitario'!A$1:A$2500,'Materiales unitario'!C$1:C$2500,,0,1)</f>
        <v>ml</v>
      </c>
      <c r="E6570" s="197">
        <f>_xlfn.XLOOKUP(H6570,'Materiales unitario'!$A$1:$A$2500,'Materiales unitario'!D$1:D$2500,,0,1)</f>
        <v>3020</v>
      </c>
      <c r="F6570" s="19">
        <v>18</v>
      </c>
      <c r="G6570" s="20">
        <f t="shared" si="183"/>
        <v>54360</v>
      </c>
      <c r="H6570" s="217" t="s">
        <v>267</v>
      </c>
    </row>
    <row r="6571" spans="1:8" ht="15">
      <c r="A6571" s="211" t="s">
        <v>493</v>
      </c>
      <c r="B6571" s="216" t="str">
        <f ca="1">_xlfn.CONCAT(B6560,A6571)</f>
        <v>133BA2FB-J</v>
      </c>
      <c r="C6571" s="17" t="str">
        <f>_xlfn.XLOOKUP(H6571,'Materiales unitario'!$A$1:$A$2500,'Materiales unitario'!B$1:B$2500,,0,1)</f>
        <v>Cable flexible encauchetado ST-C 3x16 AWG</v>
      </c>
      <c r="D6571" s="184" t="str">
        <f>_xlfn.XLOOKUP(H6571,'Materiales unitario'!A$1:A$2500,'Materiales unitario'!C$1:C$2500,,0,1)</f>
        <v>ml</v>
      </c>
      <c r="E6571" s="197">
        <f>_xlfn.XLOOKUP(H6571,'Materiales unitario'!$A$1:$A$2500,'Materiales unitario'!D$1:D$2500,,0,1)</f>
        <v>4730</v>
      </c>
      <c r="F6571" s="19">
        <v>2</v>
      </c>
      <c r="G6571" s="20">
        <f t="shared" si="183"/>
        <v>9460</v>
      </c>
      <c r="H6571" s="217" t="s">
        <v>278</v>
      </c>
    </row>
    <row r="6572" spans="1:8" ht="15">
      <c r="A6572" s="211" t="s">
        <v>494</v>
      </c>
      <c r="B6572" s="216" t="str">
        <f ca="1">_xlfn.CONCAT(B6560,A6572)</f>
        <v>133BA2FB-K</v>
      </c>
      <c r="C6572" s="17" t="str">
        <f>_xlfn.XLOOKUP(H6572,'Materiales unitario'!$A$1:$A$2500,'Materiales unitario'!B$1:B$2500,,0,1)</f>
        <v>Luminaria Hermetica SYLVANIA ref. P25608</v>
      </c>
      <c r="D6572" s="184" t="str">
        <f>_xlfn.XLOOKUP(H6572,'Materiales unitario'!A$1:A$2500,'Materiales unitario'!C$1:C$2500,,0,1)</f>
        <v>un</v>
      </c>
      <c r="E6572" s="197">
        <f>_xlfn.XLOOKUP(H6572,'Materiales unitario'!$A$1:$A$2500,'Materiales unitario'!D$1:D$2500,,0,1)</f>
        <v>89780</v>
      </c>
      <c r="F6572" s="19">
        <v>1</v>
      </c>
      <c r="G6572" s="20">
        <f t="shared" si="183"/>
        <v>89780</v>
      </c>
      <c r="H6572" s="217" t="s">
        <v>1283</v>
      </c>
    </row>
    <row r="6573" spans="1:8" ht="15">
      <c r="A6573" s="211" t="s">
        <v>495</v>
      </c>
      <c r="B6573" s="216" t="str">
        <f ca="1">_xlfn.CONCAT(B6560,A6573)</f>
        <v>133BA2FB-L</v>
      </c>
      <c r="C6573" s="17"/>
      <c r="D6573" s="184"/>
      <c r="E6573" s="197"/>
      <c r="F6573" s="19"/>
      <c r="G6573" s="20"/>
      <c r="H6573" s="217"/>
    </row>
    <row r="6574" spans="1:8" ht="15">
      <c r="A6574" s="211" t="s">
        <v>496</v>
      </c>
      <c r="B6574" s="216" t="str">
        <f ca="1">_xlfn.CONCAT(B6560,A6574)</f>
        <v>133BA2FB-M</v>
      </c>
      <c r="C6574" s="17"/>
      <c r="D6574" s="184"/>
      <c r="E6574" s="197"/>
      <c r="F6574" s="19"/>
      <c r="G6574" s="20"/>
      <c r="H6574" s="217"/>
    </row>
    <row r="6575" spans="1:8">
      <c r="A6575" s="211" t="s">
        <v>497</v>
      </c>
      <c r="B6575" s="216" t="str">
        <f ca="1">_xlfn.CONCAT(B6560,A6575)</f>
        <v>133BA2FB-N</v>
      </c>
      <c r="C6575" s="17"/>
      <c r="D6575" s="184"/>
      <c r="E6575" s="197"/>
      <c r="F6575" s="19"/>
      <c r="G6575" s="20"/>
    </row>
    <row r="6576" spans="1:8">
      <c r="A6576" s="211" t="s">
        <v>498</v>
      </c>
      <c r="B6576" s="216" t="str">
        <f ca="1">_xlfn.CONCAT(B6560,A6576)</f>
        <v>133BA2FB-O</v>
      </c>
      <c r="C6576" s="17"/>
      <c r="D6576" s="184"/>
      <c r="E6576" s="197"/>
      <c r="F6576" s="19"/>
      <c r="G6576" s="20"/>
    </row>
    <row r="6577" spans="1:8">
      <c r="A6577" s="211" t="s">
        <v>499</v>
      </c>
      <c r="B6577" s="216" t="str">
        <f ca="1">_xlfn.CONCAT(B6560,A6577)</f>
        <v>133BA2FB-P</v>
      </c>
      <c r="C6577" s="17"/>
      <c r="D6577" s="184"/>
      <c r="E6577" s="197"/>
      <c r="F6577" s="19"/>
      <c r="G6577" s="20"/>
    </row>
    <row r="6578" spans="1:8">
      <c r="A6578" s="211" t="s">
        <v>500</v>
      </c>
      <c r="B6578" s="216" t="str">
        <f ca="1">_xlfn.CONCAT(B6560,A6578)</f>
        <v>133BA2FB-Q</v>
      </c>
      <c r="C6578" s="17"/>
      <c r="D6578" s="184"/>
      <c r="E6578" s="197"/>
      <c r="F6578" s="19"/>
      <c r="G6578" s="20"/>
    </row>
    <row r="6579" spans="1:8">
      <c r="A6579" s="211" t="s">
        <v>501</v>
      </c>
      <c r="B6579" s="216" t="str">
        <f ca="1">_xlfn.CONCAT(B6560,A6579)</f>
        <v>133BA2FB-R</v>
      </c>
      <c r="C6579" s="17"/>
      <c r="D6579" s="184"/>
      <c r="E6579" s="197"/>
      <c r="F6579" s="19"/>
      <c r="G6579" s="20"/>
    </row>
    <row r="6580" spans="1:8">
      <c r="A6580" s="211" t="s">
        <v>502</v>
      </c>
      <c r="B6580" s="216" t="str">
        <f ca="1">_xlfn.CONCAT(B6560,A6580)</f>
        <v>133BA2FB-S</v>
      </c>
      <c r="C6580" s="17"/>
      <c r="D6580" s="184"/>
      <c r="E6580" s="197"/>
      <c r="F6580" s="19"/>
      <c r="G6580" s="20"/>
    </row>
    <row r="6581" spans="1:8">
      <c r="A6581" s="211" t="s">
        <v>503</v>
      </c>
      <c r="B6581" s="216" t="str">
        <f ca="1">_xlfn.CONCAT(B6560,A6581)</f>
        <v>133BA2FB-T</v>
      </c>
      <c r="C6581" s="17"/>
      <c r="D6581" s="184"/>
      <c r="E6581" s="197"/>
      <c r="F6581" s="19"/>
      <c r="G6581" s="20"/>
    </row>
    <row r="6582" spans="1:8" ht="14.25" thickBot="1">
      <c r="A6582" s="211" t="s">
        <v>504</v>
      </c>
      <c r="B6582" s="216" t="str">
        <f ca="1">_xlfn.CONCAT(B6560,A6582)</f>
        <v>133BA2FB-U</v>
      </c>
      <c r="C6582" s="17"/>
      <c r="D6582" s="184"/>
      <c r="E6582" s="197"/>
      <c r="F6582" s="19"/>
      <c r="G6582" s="20"/>
    </row>
    <row r="6583" spans="1:8" ht="14.25" thickBot="1">
      <c r="A6583" s="211" t="s">
        <v>505</v>
      </c>
      <c r="B6583" s="216" t="str">
        <f ca="1">_xlfn.CONCAT(B6560,A6583)</f>
        <v>133BA2FB-V</v>
      </c>
      <c r="C6583" s="17" t="s">
        <v>17</v>
      </c>
      <c r="D6583" s="192" t="s">
        <v>17</v>
      </c>
      <c r="E6583" s="18"/>
      <c r="F6583" s="22" t="s">
        <v>18</v>
      </c>
      <c r="G6583" s="23">
        <f>SUM(G6562:G6582)</f>
        <v>216290.26666666666</v>
      </c>
    </row>
    <row r="6584" spans="1:8" ht="15.75" thickBot="1">
      <c r="A6584" s="211" t="s">
        <v>506</v>
      </c>
      <c r="B6584" s="216" t="str">
        <f ca="1">_xlfn.CONCAT(B6560,A6584)</f>
        <v>133BA2FB-W</v>
      </c>
      <c r="C6584" s="10" t="s">
        <v>19</v>
      </c>
      <c r="D6584" s="190"/>
      <c r="E6584" s="11"/>
      <c r="F6584" s="12"/>
      <c r="G6584" s="13"/>
    </row>
    <row r="6585" spans="1:8" ht="14.25" thickBot="1">
      <c r="A6585" s="211" t="s">
        <v>507</v>
      </c>
      <c r="B6585" s="216" t="str">
        <f ca="1">_xlfn.CONCAT(B6560,A6585)</f>
        <v>133BA2FB-X</v>
      </c>
      <c r="C6585" s="14" t="s">
        <v>1</v>
      </c>
      <c r="D6585" s="15"/>
      <c r="E6585" s="15" t="s">
        <v>20</v>
      </c>
      <c r="F6585" s="16" t="s">
        <v>21</v>
      </c>
      <c r="G6585" s="15" t="s">
        <v>5</v>
      </c>
      <c r="H6585" s="215"/>
    </row>
    <row r="6586" spans="1:8">
      <c r="A6586" s="211" t="s">
        <v>508</v>
      </c>
      <c r="B6586" s="216" t="str">
        <f ca="1">_xlfn.CONCAT(B6560,A6586)</f>
        <v>133BA2FB-Y</v>
      </c>
      <c r="C6586" s="24" t="s">
        <v>22</v>
      </c>
      <c r="D6586" s="184"/>
      <c r="E6586" s="25">
        <f>_xlfn.XLOOKUP(C6586,'H-MO'!B$7:B$30,'H-MO'!D$7:D$30,,0,1)</f>
        <v>2436.5624999999995</v>
      </c>
      <c r="F6586" s="19">
        <v>0.3</v>
      </c>
      <c r="G6586" s="33">
        <f t="shared" ref="G6586:G6591" si="184">+E6586*F6586</f>
        <v>730.96874999999989</v>
      </c>
    </row>
    <row r="6587" spans="1:8">
      <c r="A6587" s="211" t="s">
        <v>509</v>
      </c>
      <c r="B6587" s="216" t="str">
        <f ca="1">_xlfn.CONCAT(B6560,A6587)</f>
        <v>133BA2FB-Z</v>
      </c>
      <c r="C6587" s="24" t="s">
        <v>23</v>
      </c>
      <c r="D6587" s="184"/>
      <c r="E6587" s="25">
        <f>_xlfn.XLOOKUP(C6587,'H-MO'!B$7:B$30,'H-MO'!D$7:D$30,,0,1)</f>
        <v>1461.9374999999998</v>
      </c>
      <c r="F6587" s="19">
        <v>9.7711304347826086E-2</v>
      </c>
      <c r="G6587" s="33">
        <f t="shared" si="184"/>
        <v>142.84781999999998</v>
      </c>
    </row>
    <row r="6588" spans="1:8">
      <c r="A6588" s="211" t="s">
        <v>510</v>
      </c>
      <c r="B6588" s="216" t="str">
        <f ca="1">_xlfn.CONCAT(B6560,A6588)</f>
        <v>133BA2FB-aa</v>
      </c>
      <c r="C6588" s="24" t="s">
        <v>24</v>
      </c>
      <c r="D6588" s="185"/>
      <c r="E6588" s="25">
        <f>_xlfn.XLOOKUP(C6588,'H-MO'!B$7:B$30,'H-MO'!D$7:D$30,,0,1)</f>
        <v>29238.749999999996</v>
      </c>
      <c r="F6588" s="28">
        <v>1.6285217391304348E-3</v>
      </c>
      <c r="G6588" s="33">
        <f t="shared" si="184"/>
        <v>47.615939999999995</v>
      </c>
    </row>
    <row r="6589" spans="1:8">
      <c r="A6589" s="211" t="s">
        <v>511</v>
      </c>
      <c r="B6589" s="216" t="str">
        <f ca="1">_xlfn.CONCAT(B6560,A6589)</f>
        <v>133BA2FB-ab</v>
      </c>
      <c r="C6589" s="24" t="s">
        <v>25</v>
      </c>
      <c r="D6589" s="185"/>
      <c r="E6589" s="25">
        <f>_xlfn.XLOOKUP(C6589,'H-MO'!B$7:B$30,'H-MO'!D$7:D$30,,0,1)</f>
        <v>2761.4374999999995</v>
      </c>
      <c r="F6589" s="28">
        <v>1</v>
      </c>
      <c r="G6589" s="33">
        <f t="shared" si="184"/>
        <v>2761.4374999999995</v>
      </c>
    </row>
    <row r="6590" spans="1:8">
      <c r="A6590" s="211" t="s">
        <v>512</v>
      </c>
      <c r="B6590" s="216" t="str">
        <f ca="1">_xlfn.CONCAT(B6560,A6590)</f>
        <v>133BA2FB-ac</v>
      </c>
      <c r="C6590" s="24"/>
      <c r="D6590" s="185"/>
      <c r="E6590" s="29"/>
      <c r="F6590" s="28"/>
      <c r="G6590" s="33">
        <f t="shared" si="184"/>
        <v>0</v>
      </c>
    </row>
    <row r="6591" spans="1:8" ht="14.25" thickBot="1">
      <c r="A6591" s="211" t="s">
        <v>513</v>
      </c>
      <c r="B6591" s="216" t="str">
        <f ca="1">_xlfn.CONCAT(B6560,A6591)</f>
        <v>133BA2FB-ad</v>
      </c>
      <c r="C6591" s="24"/>
      <c r="D6591" s="185"/>
      <c r="E6591" s="29"/>
      <c r="F6591" s="28"/>
      <c r="G6591" s="33">
        <f t="shared" si="184"/>
        <v>0</v>
      </c>
    </row>
    <row r="6592" spans="1:8" ht="14.25" thickBot="1">
      <c r="A6592" s="211" t="s">
        <v>514</v>
      </c>
      <c r="B6592" s="216" t="str">
        <f ca="1">_xlfn.CONCAT(B6560,A6592)</f>
        <v>133BA2FB-ae</v>
      </c>
      <c r="C6592" s="17"/>
      <c r="D6592" s="192"/>
      <c r="E6592" s="18"/>
      <c r="F6592" s="22" t="s">
        <v>26</v>
      </c>
      <c r="G6592" s="23">
        <f>SUM(G6586:G6591)</f>
        <v>3682.8700099999996</v>
      </c>
    </row>
    <row r="6593" spans="1:8" ht="15.75" thickBot="1">
      <c r="A6593" s="211" t="s">
        <v>515</v>
      </c>
      <c r="B6593" s="216" t="str">
        <f ca="1">_xlfn.CONCAT(B6560,A6593)</f>
        <v>133BA2FB-af</v>
      </c>
      <c r="C6593" s="10" t="s">
        <v>27</v>
      </c>
      <c r="D6593" s="190"/>
      <c r="E6593" s="11"/>
      <c r="F6593" s="12"/>
      <c r="G6593" s="13"/>
    </row>
    <row r="6594" spans="1:8" ht="14.25" thickBot="1">
      <c r="A6594" s="211" t="s">
        <v>516</v>
      </c>
      <c r="B6594" s="216" t="str">
        <f ca="1">_xlfn.CONCAT(B6560,A6594)</f>
        <v>133BA2FB-ag</v>
      </c>
      <c r="C6594" s="14" t="s">
        <v>1</v>
      </c>
      <c r="D6594" s="15" t="s">
        <v>28</v>
      </c>
      <c r="E6594" s="15" t="s">
        <v>20</v>
      </c>
      <c r="F6594" s="16" t="s">
        <v>21</v>
      </c>
      <c r="G6594" s="15" t="s">
        <v>5</v>
      </c>
      <c r="H6594" s="215"/>
    </row>
    <row r="6595" spans="1:8">
      <c r="A6595" s="211" t="s">
        <v>517</v>
      </c>
      <c r="B6595" s="216" t="str">
        <f ca="1">_xlfn.CONCAT(B6560,A6595)</f>
        <v>133BA2FB-ah</v>
      </c>
      <c r="C6595" s="30" t="s">
        <v>29</v>
      </c>
      <c r="D6595" s="186">
        <f>'H-MO'!$N$77</f>
        <v>725918.52892505517</v>
      </c>
      <c r="E6595" s="31">
        <f>+D6595/8</f>
        <v>90739.816115631897</v>
      </c>
      <c r="F6595" s="32">
        <v>0.5</v>
      </c>
      <c r="G6595" s="33">
        <f>+E6595*F6595</f>
        <v>45369.908057815948</v>
      </c>
    </row>
    <row r="6596" spans="1:8">
      <c r="A6596" s="211" t="s">
        <v>518</v>
      </c>
      <c r="B6596" s="216" t="str">
        <f ca="1">_xlfn.CONCAT(B6560,A6596)</f>
        <v>133BA2FB-ai</v>
      </c>
      <c r="C6596" s="34" t="s">
        <v>30</v>
      </c>
      <c r="D6596" s="187">
        <f>'H-MO'!$N$86</f>
        <v>685561.39085756091</v>
      </c>
      <c r="E6596" s="29">
        <f>+D6596/8</f>
        <v>85695.173857195114</v>
      </c>
      <c r="F6596" s="28">
        <v>0.05</v>
      </c>
      <c r="G6596" s="33">
        <f>+E6596*F6596</f>
        <v>4284.7586928597557</v>
      </c>
    </row>
    <row r="6597" spans="1:8" ht="14.25" thickBot="1">
      <c r="A6597" s="211" t="s">
        <v>519</v>
      </c>
      <c r="B6597" s="216" t="str">
        <f ca="1">_xlfn.CONCAT(B6560,A6597)</f>
        <v>133BA2FB-aj</v>
      </c>
      <c r="C6597" s="34"/>
      <c r="D6597" s="187"/>
      <c r="E6597" s="29"/>
      <c r="F6597" s="28"/>
      <c r="G6597" s="33">
        <f>+E6597*F6597</f>
        <v>0</v>
      </c>
    </row>
    <row r="6598" spans="1:8" ht="14.25" thickBot="1">
      <c r="A6598" s="211" t="s">
        <v>520</v>
      </c>
      <c r="B6598" s="216" t="str">
        <f ca="1">_xlfn.CONCAT(B6560,A6598)</f>
        <v>133BA2FB-ak</v>
      </c>
      <c r="C6598" s="34"/>
      <c r="D6598" s="185"/>
      <c r="E6598" s="26"/>
      <c r="F6598" s="36" t="s">
        <v>31</v>
      </c>
      <c r="G6598" s="23">
        <f>SUM(G6595:G6597)</f>
        <v>49654.666750675708</v>
      </c>
    </row>
    <row r="6599" spans="1:8" ht="14.25" thickBot="1">
      <c r="A6599" s="211" t="s">
        <v>521</v>
      </c>
      <c r="B6599" s="216" t="str">
        <f ca="1">_xlfn.CONCAT(B6560,A6599)</f>
        <v>133BA2FB-al</v>
      </c>
      <c r="C6599" s="37"/>
      <c r="E6599" s="38"/>
      <c r="F6599" s="22"/>
      <c r="G6599" s="39"/>
    </row>
    <row r="6600" spans="1:8" ht="16.5" thickBot="1">
      <c r="A6600" s="211" t="s">
        <v>522</v>
      </c>
      <c r="B6600" s="216" t="str">
        <f ca="1">_xlfn.CONCAT(B6560,A6600)</f>
        <v>133BA2FB-am</v>
      </c>
      <c r="C6600" s="40"/>
      <c r="D6600" s="193"/>
      <c r="E6600" s="41"/>
      <c r="F6600" s="42"/>
      <c r="G6600" s="43">
        <f>+G6583+G6592+G6598</f>
        <v>269627.80342734238</v>
      </c>
    </row>
    <row r="6601" spans="1:8" ht="21.75" thickBot="1">
      <c r="B6601" s="212" t="s">
        <v>550</v>
      </c>
      <c r="C6601" s="2"/>
      <c r="D6601" s="183"/>
      <c r="F6601" s="4"/>
      <c r="G6601" s="5"/>
    </row>
    <row r="6602" spans="1:8" ht="18.75">
      <c r="A6602" s="213"/>
      <c r="B6602" s="214">
        <v>150</v>
      </c>
      <c r="C6602" s="242" t="str">
        <f ca="1">_xlfn.XLOOKUP(B6602,Cantidades!$A$10:$A$314,Cantidades!$C$10:$C$314,,0,1)</f>
        <v>Modificación de puerta de ingreso a cuarto eléctrico para que abra hacia el exterior</v>
      </c>
      <c r="D6602" s="243"/>
      <c r="E6602" s="243"/>
      <c r="F6602" s="243"/>
      <c r="G6602" s="244"/>
      <c r="H6602" s="213"/>
    </row>
    <row r="6603" spans="1:8" ht="19.5" thickBot="1">
      <c r="A6603" s="215"/>
      <c r="B6603" s="216" t="s">
        <v>550</v>
      </c>
      <c r="C6603" s="177"/>
      <c r="D6603" s="189"/>
      <c r="E6603" s="178"/>
      <c r="F6603" s="179" t="s">
        <v>636</v>
      </c>
      <c r="G6603" s="209" t="str">
        <f ca="1">B6604</f>
        <v>317F9E59-</v>
      </c>
      <c r="H6603" s="215"/>
    </row>
    <row r="6604" spans="1:8" ht="15.75" thickBot="1">
      <c r="B6604" s="212" t="str">
        <f ca="1">_xlfn.XLOOKUP(C6602,Cantidades!$C$1:$C$314,Cantidades!$B$1:$B$314,"",0,1)</f>
        <v>317F9E59-</v>
      </c>
      <c r="C6604" s="10" t="s">
        <v>0</v>
      </c>
      <c r="D6604" s="190"/>
      <c r="E6604" s="11"/>
      <c r="F6604" s="12"/>
      <c r="G6604" s="13"/>
    </row>
    <row r="6605" spans="1:8" ht="14.25" thickBot="1">
      <c r="A6605" s="215"/>
      <c r="B6605" s="216" t="s">
        <v>550</v>
      </c>
      <c r="C6605" s="14" t="s">
        <v>1</v>
      </c>
      <c r="D6605" s="15" t="s">
        <v>2</v>
      </c>
      <c r="E6605" s="15" t="s">
        <v>3</v>
      </c>
      <c r="F6605" s="16" t="s">
        <v>4</v>
      </c>
      <c r="G6605" s="15" t="s">
        <v>5</v>
      </c>
      <c r="H6605" s="215"/>
    </row>
    <row r="6606" spans="1:8" ht="15">
      <c r="A6606" s="211" t="s">
        <v>484</v>
      </c>
      <c r="B6606" s="216" t="str">
        <f ca="1">_xlfn.CONCAT(B6604,A6606)</f>
        <v>317F9E59-A</v>
      </c>
      <c r="C6606" s="17" t="str">
        <f>_xlfn.XLOOKUP(H6606,'Materiales unitario'!$A$1:$A$2500,'Materiales unitario'!B$1:B$2500,,0,1)</f>
        <v>Accesorios de anclaje y fijacion.</v>
      </c>
      <c r="D6606" s="184" t="str">
        <f>_xlfn.XLOOKUP(H6606,'Materiales unitario'!A$1:A$2500,'Materiales unitario'!C$1:C$2500,,0,1)</f>
        <v>un</v>
      </c>
      <c r="E6606" s="197">
        <f>_xlfn.XLOOKUP(H6606,'Materiales unitario'!$A$1:$A$2500,'Materiales unitario'!D$1:D$2500,,0,1)</f>
        <v>10000</v>
      </c>
      <c r="F6606" s="19">
        <v>3</v>
      </c>
      <c r="G6606" s="20">
        <f>+E6606*F6606</f>
        <v>30000</v>
      </c>
      <c r="H6606" s="217" t="s">
        <v>222</v>
      </c>
    </row>
    <row r="6607" spans="1:8" ht="15">
      <c r="A6607" s="211" t="s">
        <v>485</v>
      </c>
      <c r="B6607" s="216" t="str">
        <f ca="1">_xlfn.CONCAT(B6604,A6607)</f>
        <v>317F9E59-B</v>
      </c>
      <c r="C6607" s="17" t="str">
        <f>_xlfn.XLOOKUP(H6607,'Materiales unitario'!$A$1:$A$2500,'Materiales unitario'!B$1:B$2500,,0,1)</f>
        <v>Insumos menores</v>
      </c>
      <c r="D6607" s="184" t="str">
        <f>_xlfn.XLOOKUP(H6607,'Materiales unitario'!A$1:A$2500,'Materiales unitario'!C$1:C$2500,,0,1)</f>
        <v>un</v>
      </c>
      <c r="E6607" s="197">
        <f>_xlfn.XLOOKUP(H6607,'Materiales unitario'!$A$1:$A$2500,'Materiales unitario'!D$1:D$2500,,0,1)</f>
        <v>7300</v>
      </c>
      <c r="F6607" s="19">
        <v>7</v>
      </c>
      <c r="G6607" s="20">
        <f>+E6607*F6607</f>
        <v>51100</v>
      </c>
      <c r="H6607" s="217" t="s">
        <v>532</v>
      </c>
    </row>
    <row r="6608" spans="1:8" ht="15">
      <c r="A6608" s="211" t="s">
        <v>486</v>
      </c>
      <c r="B6608" s="216" t="str">
        <f ca="1">_xlfn.CONCAT(B6604,A6608)</f>
        <v>317F9E59-C</v>
      </c>
      <c r="C6608" s="17"/>
      <c r="D6608" s="184"/>
      <c r="E6608" s="197"/>
      <c r="F6608" s="19"/>
      <c r="G6608" s="20"/>
      <c r="H6608" s="217"/>
    </row>
    <row r="6609" spans="1:8" ht="15">
      <c r="A6609" s="211" t="s">
        <v>487</v>
      </c>
      <c r="B6609" s="216" t="str">
        <f ca="1">_xlfn.CONCAT(B6604,A6609)</f>
        <v>317F9E59-D</v>
      </c>
      <c r="C6609" s="17"/>
      <c r="D6609" s="184"/>
      <c r="E6609" s="197"/>
      <c r="F6609" s="19"/>
      <c r="G6609" s="20"/>
      <c r="H6609" s="217"/>
    </row>
    <row r="6610" spans="1:8" ht="15">
      <c r="A6610" s="211" t="s">
        <v>488</v>
      </c>
      <c r="B6610" s="216" t="str">
        <f ca="1">_xlfn.CONCAT(B6604,A6610)</f>
        <v>317F9E59-E</v>
      </c>
      <c r="C6610" s="17"/>
      <c r="D6610" s="184"/>
      <c r="E6610" s="197"/>
      <c r="F6610" s="19"/>
      <c r="G6610" s="20"/>
      <c r="H6610" s="217"/>
    </row>
    <row r="6611" spans="1:8" ht="15">
      <c r="A6611" s="211" t="s">
        <v>489</v>
      </c>
      <c r="B6611" s="216" t="str">
        <f ca="1">_xlfn.CONCAT(B6604,A6611)</f>
        <v>317F9E59-F</v>
      </c>
      <c r="C6611" s="17"/>
      <c r="D6611" s="184"/>
      <c r="E6611" s="197"/>
      <c r="F6611" s="19"/>
      <c r="G6611" s="20"/>
      <c r="H6611" s="217"/>
    </row>
    <row r="6612" spans="1:8" ht="15">
      <c r="A6612" s="211" t="s">
        <v>490</v>
      </c>
      <c r="B6612" s="216" t="str">
        <f ca="1">_xlfn.CONCAT(B6604,A6612)</f>
        <v>317F9E59-G</v>
      </c>
      <c r="C6612" s="17"/>
      <c r="D6612" s="184"/>
      <c r="E6612" s="197"/>
      <c r="F6612" s="19"/>
      <c r="G6612" s="20"/>
      <c r="H6612" s="217"/>
    </row>
    <row r="6613" spans="1:8" ht="15">
      <c r="A6613" s="211" t="s">
        <v>491</v>
      </c>
      <c r="B6613" s="216" t="str">
        <f ca="1">_xlfn.CONCAT(B6604,A6613)</f>
        <v>317F9E59-H</v>
      </c>
      <c r="C6613" s="17"/>
      <c r="D6613" s="184"/>
      <c r="E6613" s="197"/>
      <c r="F6613" s="19"/>
      <c r="G6613" s="20"/>
      <c r="H6613" s="217"/>
    </row>
    <row r="6614" spans="1:8" ht="15">
      <c r="A6614" s="211" t="s">
        <v>492</v>
      </c>
      <c r="B6614" s="216" t="str">
        <f ca="1">_xlfn.CONCAT(B6604,A6614)</f>
        <v>317F9E59-I</v>
      </c>
      <c r="C6614" s="17"/>
      <c r="D6614" s="184"/>
      <c r="E6614" s="197"/>
      <c r="F6614" s="19"/>
      <c r="G6614" s="20"/>
      <c r="H6614" s="217"/>
    </row>
    <row r="6615" spans="1:8" ht="15">
      <c r="A6615" s="211" t="s">
        <v>493</v>
      </c>
      <c r="B6615" s="216" t="str">
        <f ca="1">_xlfn.CONCAT(B6604,A6615)</f>
        <v>317F9E59-J</v>
      </c>
      <c r="C6615" s="17"/>
      <c r="D6615" s="184"/>
      <c r="E6615" s="197"/>
      <c r="F6615" s="19"/>
      <c r="G6615" s="20"/>
      <c r="H6615" s="217"/>
    </row>
    <row r="6616" spans="1:8" ht="15">
      <c r="A6616" s="211" t="s">
        <v>494</v>
      </c>
      <c r="B6616" s="216" t="str">
        <f ca="1">_xlfn.CONCAT(B6604,A6616)</f>
        <v>317F9E59-K</v>
      </c>
      <c r="C6616" s="17"/>
      <c r="D6616" s="184"/>
      <c r="E6616" s="197"/>
      <c r="F6616" s="19"/>
      <c r="G6616" s="20"/>
      <c r="H6616" s="217"/>
    </row>
    <row r="6617" spans="1:8" ht="15">
      <c r="A6617" s="211" t="s">
        <v>495</v>
      </c>
      <c r="B6617" s="216" t="str">
        <f ca="1">_xlfn.CONCAT(B6604,A6617)</f>
        <v>317F9E59-L</v>
      </c>
      <c r="C6617" s="17"/>
      <c r="D6617" s="184"/>
      <c r="E6617" s="197"/>
      <c r="F6617" s="19"/>
      <c r="G6617" s="20"/>
      <c r="H6617" s="217"/>
    </row>
    <row r="6618" spans="1:8" ht="15">
      <c r="A6618" s="211" t="s">
        <v>496</v>
      </c>
      <c r="B6618" s="216" t="str">
        <f ca="1">_xlfn.CONCAT(B6604,A6618)</f>
        <v>317F9E59-M</v>
      </c>
      <c r="C6618" s="17"/>
      <c r="D6618" s="184"/>
      <c r="E6618" s="197"/>
      <c r="F6618" s="19"/>
      <c r="G6618" s="20"/>
      <c r="H6618" s="217"/>
    </row>
    <row r="6619" spans="1:8">
      <c r="A6619" s="211" t="s">
        <v>497</v>
      </c>
      <c r="B6619" s="216" t="str">
        <f ca="1">_xlfn.CONCAT(B6604,A6619)</f>
        <v>317F9E59-N</v>
      </c>
      <c r="C6619" s="17"/>
      <c r="D6619" s="184"/>
      <c r="E6619" s="197"/>
      <c r="F6619" s="19"/>
      <c r="G6619" s="20"/>
    </row>
    <row r="6620" spans="1:8">
      <c r="A6620" s="211" t="s">
        <v>498</v>
      </c>
      <c r="B6620" s="216" t="str">
        <f ca="1">_xlfn.CONCAT(B6604,A6620)</f>
        <v>317F9E59-O</v>
      </c>
      <c r="C6620" s="17"/>
      <c r="D6620" s="184"/>
      <c r="E6620" s="197"/>
      <c r="F6620" s="19"/>
      <c r="G6620" s="20"/>
    </row>
    <row r="6621" spans="1:8">
      <c r="A6621" s="211" t="s">
        <v>499</v>
      </c>
      <c r="B6621" s="216" t="str">
        <f ca="1">_xlfn.CONCAT(B6604,A6621)</f>
        <v>317F9E59-P</v>
      </c>
      <c r="C6621" s="17"/>
      <c r="D6621" s="184"/>
      <c r="E6621" s="197"/>
      <c r="F6621" s="19"/>
      <c r="G6621" s="20"/>
    </row>
    <row r="6622" spans="1:8">
      <c r="A6622" s="211" t="s">
        <v>500</v>
      </c>
      <c r="B6622" s="216" t="str">
        <f ca="1">_xlfn.CONCAT(B6604,A6622)</f>
        <v>317F9E59-Q</v>
      </c>
      <c r="C6622" s="17"/>
      <c r="D6622" s="184"/>
      <c r="E6622" s="197"/>
      <c r="F6622" s="19"/>
      <c r="G6622" s="20"/>
    </row>
    <row r="6623" spans="1:8">
      <c r="A6623" s="211" t="s">
        <v>501</v>
      </c>
      <c r="B6623" s="216" t="str">
        <f ca="1">_xlfn.CONCAT(B6604,A6623)</f>
        <v>317F9E59-R</v>
      </c>
      <c r="C6623" s="17"/>
      <c r="D6623" s="184"/>
      <c r="E6623" s="197"/>
      <c r="F6623" s="19"/>
      <c r="G6623" s="20"/>
    </row>
    <row r="6624" spans="1:8">
      <c r="A6624" s="211" t="s">
        <v>502</v>
      </c>
      <c r="B6624" s="216" t="str">
        <f ca="1">_xlfn.CONCAT(B6604,A6624)</f>
        <v>317F9E59-S</v>
      </c>
      <c r="C6624" s="17"/>
      <c r="D6624" s="184"/>
      <c r="E6624" s="197"/>
      <c r="F6624" s="19"/>
      <c r="G6624" s="20"/>
    </row>
    <row r="6625" spans="1:8">
      <c r="A6625" s="211" t="s">
        <v>503</v>
      </c>
      <c r="B6625" s="216" t="str">
        <f ca="1">_xlfn.CONCAT(B6604,A6625)</f>
        <v>317F9E59-T</v>
      </c>
      <c r="C6625" s="17"/>
      <c r="D6625" s="184"/>
      <c r="E6625" s="197"/>
      <c r="F6625" s="19"/>
      <c r="G6625" s="20"/>
    </row>
    <row r="6626" spans="1:8" ht="14.25" thickBot="1">
      <c r="A6626" s="211" t="s">
        <v>504</v>
      </c>
      <c r="B6626" s="216" t="str">
        <f ca="1">_xlfn.CONCAT(B6604,A6626)</f>
        <v>317F9E59-U</v>
      </c>
      <c r="C6626" s="17"/>
      <c r="D6626" s="184"/>
      <c r="E6626" s="197"/>
      <c r="F6626" s="19"/>
      <c r="G6626" s="20"/>
    </row>
    <row r="6627" spans="1:8" ht="14.25" thickBot="1">
      <c r="A6627" s="211" t="s">
        <v>505</v>
      </c>
      <c r="B6627" s="216" t="str">
        <f ca="1">_xlfn.CONCAT(B6604,A6627)</f>
        <v>317F9E59-V</v>
      </c>
      <c r="C6627" s="17" t="s">
        <v>17</v>
      </c>
      <c r="D6627" s="192" t="s">
        <v>17</v>
      </c>
      <c r="E6627" s="18"/>
      <c r="F6627" s="22" t="s">
        <v>18</v>
      </c>
      <c r="G6627" s="23">
        <f>SUM(G6606:G6626)</f>
        <v>81100</v>
      </c>
    </row>
    <row r="6628" spans="1:8" ht="15.75" thickBot="1">
      <c r="A6628" s="211" t="s">
        <v>506</v>
      </c>
      <c r="B6628" s="216" t="str">
        <f ca="1">_xlfn.CONCAT(B6604,A6628)</f>
        <v>317F9E59-W</v>
      </c>
      <c r="C6628" s="10" t="s">
        <v>19</v>
      </c>
      <c r="D6628" s="190"/>
      <c r="E6628" s="11"/>
      <c r="F6628" s="12"/>
      <c r="G6628" s="13"/>
    </row>
    <row r="6629" spans="1:8" ht="14.25" thickBot="1">
      <c r="A6629" s="211" t="s">
        <v>507</v>
      </c>
      <c r="B6629" s="216" t="str">
        <f ca="1">_xlfn.CONCAT(B6604,A6629)</f>
        <v>317F9E59-X</v>
      </c>
      <c r="C6629" s="14" t="s">
        <v>1</v>
      </c>
      <c r="D6629" s="15"/>
      <c r="E6629" s="15" t="s">
        <v>20</v>
      </c>
      <c r="F6629" s="16" t="s">
        <v>21</v>
      </c>
      <c r="G6629" s="15" t="s">
        <v>5</v>
      </c>
      <c r="H6629" s="215"/>
    </row>
    <row r="6630" spans="1:8">
      <c r="A6630" s="211" t="s">
        <v>508</v>
      </c>
      <c r="B6630" s="216" t="str">
        <f ca="1">_xlfn.CONCAT(B6604,A6630)</f>
        <v>317F9E59-Y</v>
      </c>
      <c r="C6630" s="24" t="s">
        <v>22</v>
      </c>
      <c r="D6630" s="184"/>
      <c r="E6630" s="25">
        <f>_xlfn.XLOOKUP(C6630,'H-MO'!B$7:B$30,'H-MO'!D$7:D$30,,0,1)</f>
        <v>2436.5624999999995</v>
      </c>
      <c r="F6630" s="19">
        <v>6</v>
      </c>
      <c r="G6630" s="33">
        <f t="shared" ref="G6630:G6635" si="185">+E6630*F6630</f>
        <v>14619.374999999996</v>
      </c>
    </row>
    <row r="6631" spans="1:8">
      <c r="A6631" s="211" t="s">
        <v>509</v>
      </c>
      <c r="B6631" s="216" t="str">
        <f ca="1">_xlfn.CONCAT(B6604,A6631)</f>
        <v>317F9E59-Z</v>
      </c>
      <c r="C6631" s="24" t="s">
        <v>23</v>
      </c>
      <c r="D6631" s="184"/>
      <c r="E6631" s="25">
        <f>_xlfn.XLOOKUP(C6631,'H-MO'!B$7:B$30,'H-MO'!D$7:D$30,,0,1)</f>
        <v>1461.9374999999998</v>
      </c>
      <c r="F6631" s="19">
        <v>2</v>
      </c>
      <c r="G6631" s="33">
        <f t="shared" si="185"/>
        <v>2923.8749999999995</v>
      </c>
    </row>
    <row r="6632" spans="1:8">
      <c r="A6632" s="211" t="s">
        <v>510</v>
      </c>
      <c r="B6632" s="216" t="str">
        <f ca="1">_xlfn.CONCAT(B6604,A6632)</f>
        <v>317F9E59-aa</v>
      </c>
      <c r="C6632" s="24" t="s">
        <v>24</v>
      </c>
      <c r="D6632" s="185"/>
      <c r="E6632" s="25">
        <f>_xlfn.XLOOKUP(C6632,'H-MO'!B$7:B$30,'H-MO'!D$7:D$30,,0,1)</f>
        <v>29238.749999999996</v>
      </c>
      <c r="F6632" s="28">
        <v>1</v>
      </c>
      <c r="G6632" s="33">
        <f t="shared" si="185"/>
        <v>29238.749999999996</v>
      </c>
    </row>
    <row r="6633" spans="1:8">
      <c r="A6633" s="211" t="s">
        <v>511</v>
      </c>
      <c r="B6633" s="216" t="str">
        <f ca="1">_xlfn.CONCAT(B6604,A6633)</f>
        <v>317F9E59-ab</v>
      </c>
      <c r="C6633" s="24" t="s">
        <v>25</v>
      </c>
      <c r="D6633" s="185"/>
      <c r="E6633" s="25">
        <f>_xlfn.XLOOKUP(C6633,'H-MO'!B$7:B$30,'H-MO'!D$7:D$30,,0,1)</f>
        <v>2761.4374999999995</v>
      </c>
      <c r="F6633" s="28">
        <v>0.1</v>
      </c>
      <c r="G6633" s="33">
        <f t="shared" si="185"/>
        <v>276.14374999999995</v>
      </c>
    </row>
    <row r="6634" spans="1:8">
      <c r="A6634" s="211" t="s">
        <v>512</v>
      </c>
      <c r="B6634" s="216" t="str">
        <f ca="1">_xlfn.CONCAT(B6604,A6634)</f>
        <v>317F9E59-ac</v>
      </c>
      <c r="C6634" s="24"/>
      <c r="D6634" s="185"/>
      <c r="E6634" s="29"/>
      <c r="F6634" s="28"/>
      <c r="G6634" s="33">
        <f t="shared" si="185"/>
        <v>0</v>
      </c>
    </row>
    <row r="6635" spans="1:8" ht="14.25" thickBot="1">
      <c r="A6635" s="211" t="s">
        <v>513</v>
      </c>
      <c r="B6635" s="216" t="str">
        <f ca="1">_xlfn.CONCAT(B6604,A6635)</f>
        <v>317F9E59-ad</v>
      </c>
      <c r="C6635" s="24"/>
      <c r="D6635" s="185"/>
      <c r="E6635" s="29"/>
      <c r="F6635" s="28"/>
      <c r="G6635" s="33">
        <f t="shared" si="185"/>
        <v>0</v>
      </c>
    </row>
    <row r="6636" spans="1:8" ht="14.25" thickBot="1">
      <c r="A6636" s="211" t="s">
        <v>514</v>
      </c>
      <c r="B6636" s="216" t="str">
        <f ca="1">_xlfn.CONCAT(B6604,A6636)</f>
        <v>317F9E59-ae</v>
      </c>
      <c r="C6636" s="17"/>
      <c r="D6636" s="192"/>
      <c r="E6636" s="18"/>
      <c r="F6636" s="22" t="s">
        <v>26</v>
      </c>
      <c r="G6636" s="23">
        <f>SUM(G6630:G6635)</f>
        <v>47058.143749999996</v>
      </c>
    </row>
    <row r="6637" spans="1:8" ht="15.75" thickBot="1">
      <c r="A6637" s="211" t="s">
        <v>515</v>
      </c>
      <c r="B6637" s="216" t="str">
        <f ca="1">_xlfn.CONCAT(B6604,A6637)</f>
        <v>317F9E59-af</v>
      </c>
      <c r="C6637" s="10" t="s">
        <v>27</v>
      </c>
      <c r="D6637" s="190"/>
      <c r="E6637" s="11"/>
      <c r="F6637" s="12"/>
      <c r="G6637" s="13"/>
    </row>
    <row r="6638" spans="1:8" ht="14.25" thickBot="1">
      <c r="A6638" s="211" t="s">
        <v>516</v>
      </c>
      <c r="B6638" s="216" t="str">
        <f ca="1">_xlfn.CONCAT(B6604,A6638)</f>
        <v>317F9E59-ag</v>
      </c>
      <c r="C6638" s="14" t="s">
        <v>1</v>
      </c>
      <c r="D6638" s="15" t="s">
        <v>28</v>
      </c>
      <c r="E6638" s="15" t="s">
        <v>20</v>
      </c>
      <c r="F6638" s="16" t="s">
        <v>21</v>
      </c>
      <c r="G6638" s="15" t="s">
        <v>5</v>
      </c>
      <c r="H6638" s="215"/>
    </row>
    <row r="6639" spans="1:8">
      <c r="A6639" s="211" t="s">
        <v>517</v>
      </c>
      <c r="B6639" s="216" t="str">
        <f ca="1">_xlfn.CONCAT(B6604,A6639)</f>
        <v>317F9E59-ah</v>
      </c>
      <c r="C6639" s="30" t="s">
        <v>29</v>
      </c>
      <c r="D6639" s="186">
        <f>'H-MO'!$N$77</f>
        <v>725918.52892505517</v>
      </c>
      <c r="E6639" s="31">
        <f>+D6639/8</f>
        <v>90739.816115631897</v>
      </c>
      <c r="F6639" s="32"/>
      <c r="G6639" s="33">
        <f>+E6639*F6639</f>
        <v>0</v>
      </c>
    </row>
    <row r="6640" spans="1:8">
      <c r="A6640" s="211" t="s">
        <v>518</v>
      </c>
      <c r="B6640" s="216" t="str">
        <f ca="1">_xlfn.CONCAT(B6604,A6640)</f>
        <v>317F9E59-ai</v>
      </c>
      <c r="C6640" s="34" t="s">
        <v>30</v>
      </c>
      <c r="D6640" s="187">
        <f>'H-MO'!$N$86</f>
        <v>685561.39085756091</v>
      </c>
      <c r="E6640" s="29">
        <f>+D6640/8</f>
        <v>85695.173857195114</v>
      </c>
      <c r="F6640" s="28">
        <v>2.2999999999999998</v>
      </c>
      <c r="G6640" s="33">
        <f>+E6640*F6640</f>
        <v>197098.89987154875</v>
      </c>
    </row>
    <row r="6641" spans="1:8" ht="14.25" thickBot="1">
      <c r="A6641" s="211" t="s">
        <v>519</v>
      </c>
      <c r="B6641" s="216" t="str">
        <f ca="1">_xlfn.CONCAT(B6604,A6641)</f>
        <v>317F9E59-aj</v>
      </c>
      <c r="C6641" s="34"/>
      <c r="D6641" s="187"/>
      <c r="E6641" s="29"/>
      <c r="F6641" s="28"/>
      <c r="G6641" s="33">
        <f>+E6641*F6641</f>
        <v>0</v>
      </c>
    </row>
    <row r="6642" spans="1:8" ht="14.25" thickBot="1">
      <c r="A6642" s="211" t="s">
        <v>520</v>
      </c>
      <c r="B6642" s="216" t="str">
        <f ca="1">_xlfn.CONCAT(B6604,A6642)</f>
        <v>317F9E59-ak</v>
      </c>
      <c r="C6642" s="34"/>
      <c r="D6642" s="185"/>
      <c r="E6642" s="26"/>
      <c r="F6642" s="36" t="s">
        <v>31</v>
      </c>
      <c r="G6642" s="23">
        <f>SUM(G6639:G6641)</f>
        <v>197098.89987154875</v>
      </c>
    </row>
    <row r="6643" spans="1:8" ht="14.25" thickBot="1">
      <c r="A6643" s="211" t="s">
        <v>521</v>
      </c>
      <c r="B6643" s="216" t="str">
        <f ca="1">_xlfn.CONCAT(B6604,A6643)</f>
        <v>317F9E59-al</v>
      </c>
      <c r="C6643" s="37"/>
      <c r="E6643" s="38"/>
      <c r="F6643" s="22"/>
      <c r="G6643" s="39"/>
    </row>
    <row r="6644" spans="1:8" ht="16.5" thickBot="1">
      <c r="A6644" s="211" t="s">
        <v>522</v>
      </c>
      <c r="B6644" s="216" t="str">
        <f ca="1">_xlfn.CONCAT(B6604,A6644)</f>
        <v>317F9E59-am</v>
      </c>
      <c r="C6644" s="40"/>
      <c r="D6644" s="193"/>
      <c r="E6644" s="41"/>
      <c r="F6644" s="42"/>
      <c r="G6644" s="43">
        <f>+G6627+G6636+G6642</f>
        <v>325257.04362154874</v>
      </c>
    </row>
    <row r="6645" spans="1:8" ht="21.75" thickBot="1">
      <c r="B6645" s="212" t="s">
        <v>550</v>
      </c>
      <c r="C6645" s="2"/>
      <c r="D6645" s="183"/>
      <c r="F6645" s="4"/>
      <c r="G6645" s="5"/>
    </row>
    <row r="6646" spans="1:8" ht="18.75">
      <c r="A6646" s="213"/>
      <c r="B6646" s="214">
        <v>151</v>
      </c>
      <c r="C6646" s="242" t="str">
        <f ca="1">_xlfn.XLOOKUP(B6646,Cantidades!$A$10:$A$314,Cantidades!$C$10:$C$314,,0,1)</f>
        <v>Suministro e instalacion de Barra Antipánico Tipo Push más Manija Exterior de Llaves Gris Plata</v>
      </c>
      <c r="D6646" s="243"/>
      <c r="E6646" s="243"/>
      <c r="F6646" s="243"/>
      <c r="G6646" s="244"/>
      <c r="H6646" s="213"/>
    </row>
    <row r="6647" spans="1:8" ht="19.5" thickBot="1">
      <c r="A6647" s="215"/>
      <c r="B6647" s="216" t="s">
        <v>550</v>
      </c>
      <c r="C6647" s="177"/>
      <c r="D6647" s="189"/>
      <c r="E6647" s="178"/>
      <c r="F6647" s="179" t="s">
        <v>636</v>
      </c>
      <c r="G6647" s="209" t="str">
        <f ca="1">B6648</f>
        <v>313EBA4F-</v>
      </c>
      <c r="H6647" s="215"/>
    </row>
    <row r="6648" spans="1:8" ht="15.75" thickBot="1">
      <c r="B6648" s="212" t="str">
        <f ca="1">_xlfn.XLOOKUP(C6646,Cantidades!$C$1:$C$314,Cantidades!$B$1:$B$314,"",0,1)</f>
        <v>313EBA4F-</v>
      </c>
      <c r="C6648" s="10" t="s">
        <v>0</v>
      </c>
      <c r="D6648" s="190"/>
      <c r="E6648" s="11"/>
      <c r="F6648" s="12"/>
      <c r="G6648" s="13"/>
    </row>
    <row r="6649" spans="1:8" ht="14.25" thickBot="1">
      <c r="A6649" s="215"/>
      <c r="B6649" s="216" t="s">
        <v>550</v>
      </c>
      <c r="C6649" s="14" t="s">
        <v>1</v>
      </c>
      <c r="D6649" s="15" t="s">
        <v>2</v>
      </c>
      <c r="E6649" s="15" t="s">
        <v>3</v>
      </c>
      <c r="F6649" s="16" t="s">
        <v>4</v>
      </c>
      <c r="G6649" s="15" t="s">
        <v>5</v>
      </c>
      <c r="H6649" s="215"/>
    </row>
    <row r="6650" spans="1:8" ht="15">
      <c r="A6650" s="211" t="s">
        <v>484</v>
      </c>
      <c r="B6650" s="216" t="str">
        <f ca="1">_xlfn.CONCAT(B6648,A6650)</f>
        <v>313EBA4F-A</v>
      </c>
      <c r="C6650" s="17" t="str">
        <f>_xlfn.XLOOKUP(H6650,'Materiales unitario'!$A$1:$A$2500,'Materiales unitario'!B$1:B$2500,,0,1)</f>
        <v>Accesorios de anclaje y fijacion.</v>
      </c>
      <c r="D6650" s="184" t="str">
        <f>_xlfn.XLOOKUP(H6650,'Materiales unitario'!A$1:A$2500,'Materiales unitario'!C$1:C$2500,,0,1)</f>
        <v>un</v>
      </c>
      <c r="E6650" s="197">
        <f>_xlfn.XLOOKUP(H6650,'Materiales unitario'!$A$1:$A$2500,'Materiales unitario'!D$1:D$2500,,0,1)</f>
        <v>10000</v>
      </c>
      <c r="F6650" s="19">
        <v>1</v>
      </c>
      <c r="G6650" s="20">
        <f>+E6650*F6650</f>
        <v>10000</v>
      </c>
      <c r="H6650" s="217" t="s">
        <v>222</v>
      </c>
    </row>
    <row r="6651" spans="1:8" ht="15">
      <c r="A6651" s="211" t="s">
        <v>485</v>
      </c>
      <c r="B6651" s="216" t="str">
        <f ca="1">_xlfn.CONCAT(B6648,A6651)</f>
        <v>313EBA4F-B</v>
      </c>
      <c r="C6651" s="17" t="str">
        <f>_xlfn.XLOOKUP(H6651,'Materiales unitario'!$A$1:$A$2500,'Materiales unitario'!B$1:B$2500,,0,1)</f>
        <v>Insumos menores</v>
      </c>
      <c r="D6651" s="184" t="str">
        <f>_xlfn.XLOOKUP(H6651,'Materiales unitario'!A$1:A$2500,'Materiales unitario'!C$1:C$2500,,0,1)</f>
        <v>un</v>
      </c>
      <c r="E6651" s="197">
        <f>_xlfn.XLOOKUP(H6651,'Materiales unitario'!$A$1:$A$2500,'Materiales unitario'!D$1:D$2500,,0,1)</f>
        <v>7300</v>
      </c>
      <c r="F6651" s="19">
        <v>2</v>
      </c>
      <c r="G6651" s="20">
        <f>+E6651*F6651</f>
        <v>14600</v>
      </c>
      <c r="H6651" s="217" t="s">
        <v>532</v>
      </c>
    </row>
    <row r="6652" spans="1:8" ht="15">
      <c r="A6652" s="211" t="s">
        <v>486</v>
      </c>
      <c r="B6652" s="216" t="str">
        <f ca="1">_xlfn.CONCAT(B6648,A6652)</f>
        <v>313EBA4F-C</v>
      </c>
      <c r="C6652" s="17" t="str">
        <f>_xlfn.XLOOKUP(H6652,'Materiales unitario'!$A$1:$A$2500,'Materiales unitario'!B$1:B$2500,,0,1)</f>
        <v>Cerradura antipanico</v>
      </c>
      <c r="D6652" s="184" t="str">
        <f>_xlfn.XLOOKUP(H6652,'Materiales unitario'!A$1:A$2500,'Materiales unitario'!C$1:C$2500,,0,1)</f>
        <v>un</v>
      </c>
      <c r="E6652" s="197">
        <f>_xlfn.XLOOKUP(H6652,'Materiales unitario'!$A$1:$A$2500,'Materiales unitario'!D$1:D$2500,,0,1)</f>
        <v>1048204</v>
      </c>
      <c r="F6652" s="19">
        <v>1</v>
      </c>
      <c r="G6652" s="20">
        <f>+E6652*F6652</f>
        <v>1048204</v>
      </c>
      <c r="H6652" s="217" t="s">
        <v>1289</v>
      </c>
    </row>
    <row r="6653" spans="1:8" ht="15">
      <c r="A6653" s="211" t="s">
        <v>487</v>
      </c>
      <c r="B6653" s="216" t="str">
        <f ca="1">_xlfn.CONCAT(B6648,A6653)</f>
        <v>313EBA4F-D</v>
      </c>
      <c r="C6653" s="17"/>
      <c r="D6653" s="184"/>
      <c r="E6653" s="197"/>
      <c r="F6653" s="19"/>
      <c r="G6653" s="20"/>
      <c r="H6653" s="217"/>
    </row>
    <row r="6654" spans="1:8" ht="15">
      <c r="A6654" s="211" t="s">
        <v>488</v>
      </c>
      <c r="B6654" s="216" t="str">
        <f ca="1">_xlfn.CONCAT(B6648,A6654)</f>
        <v>313EBA4F-E</v>
      </c>
      <c r="C6654" s="17"/>
      <c r="D6654" s="184"/>
      <c r="E6654" s="197"/>
      <c r="F6654" s="19"/>
      <c r="G6654" s="20"/>
      <c r="H6654" s="217"/>
    </row>
    <row r="6655" spans="1:8" ht="15">
      <c r="A6655" s="211" t="s">
        <v>489</v>
      </c>
      <c r="B6655" s="216" t="str">
        <f ca="1">_xlfn.CONCAT(B6648,A6655)</f>
        <v>313EBA4F-F</v>
      </c>
      <c r="C6655" s="17"/>
      <c r="D6655" s="184"/>
      <c r="E6655" s="197"/>
      <c r="F6655" s="19"/>
      <c r="G6655" s="20"/>
      <c r="H6655" s="217"/>
    </row>
    <row r="6656" spans="1:8" ht="15">
      <c r="A6656" s="211" t="s">
        <v>490</v>
      </c>
      <c r="B6656" s="216" t="str">
        <f ca="1">_xlfn.CONCAT(B6648,A6656)</f>
        <v>313EBA4F-G</v>
      </c>
      <c r="C6656" s="17"/>
      <c r="D6656" s="184"/>
      <c r="E6656" s="197"/>
      <c r="F6656" s="19"/>
      <c r="G6656" s="20"/>
      <c r="H6656" s="217"/>
    </row>
    <row r="6657" spans="1:8" ht="15">
      <c r="A6657" s="211" t="s">
        <v>491</v>
      </c>
      <c r="B6657" s="216" t="str">
        <f ca="1">_xlfn.CONCAT(B6648,A6657)</f>
        <v>313EBA4F-H</v>
      </c>
      <c r="C6657" s="17"/>
      <c r="D6657" s="184"/>
      <c r="E6657" s="197"/>
      <c r="F6657" s="19"/>
      <c r="G6657" s="20"/>
      <c r="H6657" s="217"/>
    </row>
    <row r="6658" spans="1:8" ht="15">
      <c r="A6658" s="211" t="s">
        <v>492</v>
      </c>
      <c r="B6658" s="216" t="str">
        <f ca="1">_xlfn.CONCAT(B6648,A6658)</f>
        <v>313EBA4F-I</v>
      </c>
      <c r="C6658" s="17"/>
      <c r="D6658" s="184"/>
      <c r="E6658" s="197"/>
      <c r="F6658" s="19"/>
      <c r="G6658" s="20"/>
      <c r="H6658" s="217"/>
    </row>
    <row r="6659" spans="1:8" ht="15">
      <c r="A6659" s="211" t="s">
        <v>493</v>
      </c>
      <c r="B6659" s="216" t="str">
        <f ca="1">_xlfn.CONCAT(B6648,A6659)</f>
        <v>313EBA4F-J</v>
      </c>
      <c r="C6659" s="17"/>
      <c r="D6659" s="184"/>
      <c r="E6659" s="197"/>
      <c r="F6659" s="19"/>
      <c r="G6659" s="20"/>
      <c r="H6659" s="217"/>
    </row>
    <row r="6660" spans="1:8" ht="15">
      <c r="A6660" s="211" t="s">
        <v>494</v>
      </c>
      <c r="B6660" s="216" t="str">
        <f ca="1">_xlfn.CONCAT(B6648,A6660)</f>
        <v>313EBA4F-K</v>
      </c>
      <c r="C6660" s="17"/>
      <c r="D6660" s="184"/>
      <c r="E6660" s="197"/>
      <c r="F6660" s="19"/>
      <c r="G6660" s="20"/>
      <c r="H6660" s="217"/>
    </row>
    <row r="6661" spans="1:8" ht="15">
      <c r="A6661" s="211" t="s">
        <v>495</v>
      </c>
      <c r="B6661" s="216" t="str">
        <f ca="1">_xlfn.CONCAT(B6648,A6661)</f>
        <v>313EBA4F-L</v>
      </c>
      <c r="C6661" s="17"/>
      <c r="D6661" s="184"/>
      <c r="E6661" s="197"/>
      <c r="F6661" s="19"/>
      <c r="G6661" s="20"/>
      <c r="H6661" s="217"/>
    </row>
    <row r="6662" spans="1:8" ht="15">
      <c r="A6662" s="211" t="s">
        <v>496</v>
      </c>
      <c r="B6662" s="216" t="str">
        <f ca="1">_xlfn.CONCAT(B6648,A6662)</f>
        <v>313EBA4F-M</v>
      </c>
      <c r="C6662" s="17"/>
      <c r="D6662" s="184"/>
      <c r="E6662" s="197"/>
      <c r="F6662" s="19"/>
      <c r="G6662" s="20"/>
      <c r="H6662" s="217"/>
    </row>
    <row r="6663" spans="1:8">
      <c r="A6663" s="211" t="s">
        <v>497</v>
      </c>
      <c r="B6663" s="216" t="str">
        <f ca="1">_xlfn.CONCAT(B6648,A6663)</f>
        <v>313EBA4F-N</v>
      </c>
      <c r="C6663" s="17"/>
      <c r="D6663" s="184"/>
      <c r="E6663" s="197"/>
      <c r="F6663" s="19"/>
      <c r="G6663" s="20"/>
    </row>
    <row r="6664" spans="1:8">
      <c r="A6664" s="211" t="s">
        <v>498</v>
      </c>
      <c r="B6664" s="216" t="str">
        <f ca="1">_xlfn.CONCAT(B6648,A6664)</f>
        <v>313EBA4F-O</v>
      </c>
      <c r="C6664" s="17"/>
      <c r="D6664" s="184"/>
      <c r="E6664" s="197"/>
      <c r="F6664" s="19"/>
      <c r="G6664" s="20"/>
    </row>
    <row r="6665" spans="1:8">
      <c r="A6665" s="211" t="s">
        <v>499</v>
      </c>
      <c r="B6665" s="216" t="str">
        <f ca="1">_xlfn.CONCAT(B6648,A6665)</f>
        <v>313EBA4F-P</v>
      </c>
      <c r="C6665" s="17"/>
      <c r="D6665" s="184"/>
      <c r="E6665" s="197"/>
      <c r="F6665" s="19"/>
      <c r="G6665" s="20"/>
    </row>
    <row r="6666" spans="1:8">
      <c r="A6666" s="211" t="s">
        <v>500</v>
      </c>
      <c r="B6666" s="216" t="str">
        <f ca="1">_xlfn.CONCAT(B6648,A6666)</f>
        <v>313EBA4F-Q</v>
      </c>
      <c r="C6666" s="17"/>
      <c r="D6666" s="184"/>
      <c r="E6666" s="197"/>
      <c r="F6666" s="19"/>
      <c r="G6666" s="20"/>
    </row>
    <row r="6667" spans="1:8">
      <c r="A6667" s="211" t="s">
        <v>501</v>
      </c>
      <c r="B6667" s="216" t="str">
        <f ca="1">_xlfn.CONCAT(B6648,A6667)</f>
        <v>313EBA4F-R</v>
      </c>
      <c r="C6667" s="17"/>
      <c r="D6667" s="184"/>
      <c r="E6667" s="197"/>
      <c r="F6667" s="19"/>
      <c r="G6667" s="20"/>
    </row>
    <row r="6668" spans="1:8">
      <c r="A6668" s="211" t="s">
        <v>502</v>
      </c>
      <c r="B6668" s="216" t="str">
        <f ca="1">_xlfn.CONCAT(B6648,A6668)</f>
        <v>313EBA4F-S</v>
      </c>
      <c r="C6668" s="17"/>
      <c r="D6668" s="184"/>
      <c r="E6668" s="197"/>
      <c r="F6668" s="19"/>
      <c r="G6668" s="20"/>
    </row>
    <row r="6669" spans="1:8">
      <c r="A6669" s="211" t="s">
        <v>503</v>
      </c>
      <c r="B6669" s="216" t="str">
        <f ca="1">_xlfn.CONCAT(B6648,A6669)</f>
        <v>313EBA4F-T</v>
      </c>
      <c r="C6669" s="17"/>
      <c r="D6669" s="184"/>
      <c r="E6669" s="197"/>
      <c r="F6669" s="19"/>
      <c r="G6669" s="20"/>
    </row>
    <row r="6670" spans="1:8" ht="14.25" thickBot="1">
      <c r="A6670" s="211" t="s">
        <v>504</v>
      </c>
      <c r="B6670" s="216" t="str">
        <f ca="1">_xlfn.CONCAT(B6648,A6670)</f>
        <v>313EBA4F-U</v>
      </c>
      <c r="C6670" s="17"/>
      <c r="D6670" s="184"/>
      <c r="E6670" s="197"/>
      <c r="F6670" s="19"/>
      <c r="G6670" s="20"/>
    </row>
    <row r="6671" spans="1:8" ht="14.25" thickBot="1">
      <c r="A6671" s="211" t="s">
        <v>505</v>
      </c>
      <c r="B6671" s="216" t="str">
        <f ca="1">_xlfn.CONCAT(B6648,A6671)</f>
        <v>313EBA4F-V</v>
      </c>
      <c r="C6671" s="17" t="s">
        <v>17</v>
      </c>
      <c r="D6671" s="192" t="s">
        <v>17</v>
      </c>
      <c r="E6671" s="18"/>
      <c r="F6671" s="22" t="s">
        <v>18</v>
      </c>
      <c r="G6671" s="23">
        <f>SUM(G6650:G6670)</f>
        <v>1072804</v>
      </c>
    </row>
    <row r="6672" spans="1:8" ht="15.75" thickBot="1">
      <c r="A6672" s="211" t="s">
        <v>506</v>
      </c>
      <c r="B6672" s="216" t="str">
        <f ca="1">_xlfn.CONCAT(B6648,A6672)</f>
        <v>313EBA4F-W</v>
      </c>
      <c r="C6672" s="10" t="s">
        <v>19</v>
      </c>
      <c r="D6672" s="190"/>
      <c r="E6672" s="11"/>
      <c r="F6672" s="12"/>
      <c r="G6672" s="13"/>
    </row>
    <row r="6673" spans="1:8" ht="14.25" thickBot="1">
      <c r="A6673" s="211" t="s">
        <v>507</v>
      </c>
      <c r="B6673" s="216" t="str">
        <f ca="1">_xlfn.CONCAT(B6648,A6673)</f>
        <v>313EBA4F-X</v>
      </c>
      <c r="C6673" s="14" t="s">
        <v>1</v>
      </c>
      <c r="D6673" s="15"/>
      <c r="E6673" s="15" t="s">
        <v>20</v>
      </c>
      <c r="F6673" s="16" t="s">
        <v>21</v>
      </c>
      <c r="G6673" s="15" t="s">
        <v>5</v>
      </c>
      <c r="H6673" s="215"/>
    </row>
    <row r="6674" spans="1:8">
      <c r="A6674" s="211" t="s">
        <v>508</v>
      </c>
      <c r="B6674" s="216" t="str">
        <f ca="1">_xlfn.CONCAT(B6648,A6674)</f>
        <v>313EBA4F-Y</v>
      </c>
      <c r="C6674" s="24" t="s">
        <v>22</v>
      </c>
      <c r="D6674" s="184"/>
      <c r="E6674" s="25">
        <f>_xlfn.XLOOKUP(C6674,'H-MO'!B$7:B$30,'H-MO'!D$7:D$30,,0,1)</f>
        <v>2436.5624999999995</v>
      </c>
      <c r="F6674" s="19">
        <v>1.2</v>
      </c>
      <c r="G6674" s="33">
        <f t="shared" ref="G6674:G6679" si="186">+E6674*F6674</f>
        <v>2923.8749999999995</v>
      </c>
    </row>
    <row r="6675" spans="1:8">
      <c r="A6675" s="211" t="s">
        <v>509</v>
      </c>
      <c r="B6675" s="216" t="str">
        <f ca="1">_xlfn.CONCAT(B6648,A6675)</f>
        <v>313EBA4F-Z</v>
      </c>
      <c r="C6675" s="24" t="s">
        <v>23</v>
      </c>
      <c r="D6675" s="184"/>
      <c r="E6675" s="25">
        <f>_xlfn.XLOOKUP(C6675,'H-MO'!B$7:B$30,'H-MO'!D$7:D$30,,0,1)</f>
        <v>1461.9374999999998</v>
      </c>
      <c r="F6675" s="19">
        <v>2</v>
      </c>
      <c r="G6675" s="33">
        <f t="shared" si="186"/>
        <v>2923.8749999999995</v>
      </c>
    </row>
    <row r="6676" spans="1:8">
      <c r="A6676" s="211" t="s">
        <v>510</v>
      </c>
      <c r="B6676" s="216" t="str">
        <f ca="1">_xlfn.CONCAT(B6648,A6676)</f>
        <v>313EBA4F-aa</v>
      </c>
      <c r="C6676" s="24" t="s">
        <v>24</v>
      </c>
      <c r="D6676" s="185"/>
      <c r="E6676" s="25">
        <f>_xlfn.XLOOKUP(C6676,'H-MO'!B$7:B$30,'H-MO'!D$7:D$30,,0,1)</f>
        <v>29238.749999999996</v>
      </c>
      <c r="F6676" s="28">
        <v>0.3</v>
      </c>
      <c r="G6676" s="33">
        <f t="shared" si="186"/>
        <v>8771.6249999999982</v>
      </c>
    </row>
    <row r="6677" spans="1:8">
      <c r="A6677" s="211" t="s">
        <v>511</v>
      </c>
      <c r="B6677" s="216" t="str">
        <f ca="1">_xlfn.CONCAT(B6648,A6677)</f>
        <v>313EBA4F-ab</v>
      </c>
      <c r="C6677" s="24" t="s">
        <v>25</v>
      </c>
      <c r="D6677" s="185"/>
      <c r="E6677" s="25">
        <f>_xlfn.XLOOKUP(C6677,'H-MO'!B$7:B$30,'H-MO'!D$7:D$30,,0,1)</f>
        <v>2761.4374999999995</v>
      </c>
      <c r="F6677" s="28">
        <v>0.1</v>
      </c>
      <c r="G6677" s="33">
        <f t="shared" si="186"/>
        <v>276.14374999999995</v>
      </c>
    </row>
    <row r="6678" spans="1:8">
      <c r="A6678" s="211" t="s">
        <v>512</v>
      </c>
      <c r="B6678" s="216" t="str">
        <f ca="1">_xlfn.CONCAT(B6648,A6678)</f>
        <v>313EBA4F-ac</v>
      </c>
      <c r="C6678" s="24"/>
      <c r="D6678" s="185"/>
      <c r="E6678" s="29"/>
      <c r="F6678" s="28"/>
      <c r="G6678" s="33">
        <f t="shared" si="186"/>
        <v>0</v>
      </c>
    </row>
    <row r="6679" spans="1:8" ht="14.25" thickBot="1">
      <c r="A6679" s="211" t="s">
        <v>513</v>
      </c>
      <c r="B6679" s="216" t="str">
        <f ca="1">_xlfn.CONCAT(B6648,A6679)</f>
        <v>313EBA4F-ad</v>
      </c>
      <c r="C6679" s="24"/>
      <c r="D6679" s="185"/>
      <c r="E6679" s="29"/>
      <c r="F6679" s="28"/>
      <c r="G6679" s="33">
        <f t="shared" si="186"/>
        <v>0</v>
      </c>
    </row>
    <row r="6680" spans="1:8" ht="14.25" thickBot="1">
      <c r="A6680" s="211" t="s">
        <v>514</v>
      </c>
      <c r="B6680" s="216" t="str">
        <f ca="1">_xlfn.CONCAT(B6648,A6680)</f>
        <v>313EBA4F-ae</v>
      </c>
      <c r="C6680" s="17"/>
      <c r="D6680" s="192"/>
      <c r="E6680" s="18"/>
      <c r="F6680" s="22" t="s">
        <v>26</v>
      </c>
      <c r="G6680" s="23">
        <f>SUM(G6674:G6679)</f>
        <v>14895.518749999996</v>
      </c>
    </row>
    <row r="6681" spans="1:8" ht="15.75" thickBot="1">
      <c r="A6681" s="211" t="s">
        <v>515</v>
      </c>
      <c r="B6681" s="216" t="str">
        <f ca="1">_xlfn.CONCAT(B6648,A6681)</f>
        <v>313EBA4F-af</v>
      </c>
      <c r="C6681" s="10" t="s">
        <v>27</v>
      </c>
      <c r="D6681" s="190"/>
      <c r="E6681" s="11"/>
      <c r="F6681" s="12"/>
      <c r="G6681" s="13"/>
    </row>
    <row r="6682" spans="1:8" ht="14.25" thickBot="1">
      <c r="A6682" s="211" t="s">
        <v>516</v>
      </c>
      <c r="B6682" s="216" t="str">
        <f ca="1">_xlfn.CONCAT(B6648,A6682)</f>
        <v>313EBA4F-ag</v>
      </c>
      <c r="C6682" s="14" t="s">
        <v>1</v>
      </c>
      <c r="D6682" s="15" t="s">
        <v>28</v>
      </c>
      <c r="E6682" s="15" t="s">
        <v>20</v>
      </c>
      <c r="F6682" s="16" t="s">
        <v>21</v>
      </c>
      <c r="G6682" s="15" t="s">
        <v>5</v>
      </c>
      <c r="H6682" s="215"/>
    </row>
    <row r="6683" spans="1:8">
      <c r="A6683" s="211" t="s">
        <v>517</v>
      </c>
      <c r="B6683" s="216" t="str">
        <f ca="1">_xlfn.CONCAT(B6648,A6683)</f>
        <v>313EBA4F-ah</v>
      </c>
      <c r="C6683" s="30" t="s">
        <v>29</v>
      </c>
      <c r="D6683" s="186">
        <f>'H-MO'!$N$77</f>
        <v>725918.52892505517</v>
      </c>
      <c r="E6683" s="31">
        <f>+D6683/8</f>
        <v>90739.816115631897</v>
      </c>
      <c r="F6683" s="32"/>
      <c r="G6683" s="33">
        <f>+E6683*F6683</f>
        <v>0</v>
      </c>
    </row>
    <row r="6684" spans="1:8">
      <c r="A6684" s="211" t="s">
        <v>518</v>
      </c>
      <c r="B6684" s="216" t="str">
        <f ca="1">_xlfn.CONCAT(B6648,A6684)</f>
        <v>313EBA4F-ai</v>
      </c>
      <c r="C6684" s="34" t="s">
        <v>30</v>
      </c>
      <c r="D6684" s="187">
        <f>'H-MO'!$N$86</f>
        <v>685561.39085756091</v>
      </c>
      <c r="E6684" s="29">
        <f>+D6684/8</f>
        <v>85695.173857195114</v>
      </c>
      <c r="F6684" s="28">
        <v>1.4</v>
      </c>
      <c r="G6684" s="33">
        <f>+E6684*F6684</f>
        <v>119973.24340007314</v>
      </c>
    </row>
    <row r="6685" spans="1:8" ht="14.25" thickBot="1">
      <c r="A6685" s="211" t="s">
        <v>519</v>
      </c>
      <c r="B6685" s="216" t="str">
        <f ca="1">_xlfn.CONCAT(B6648,A6685)</f>
        <v>313EBA4F-aj</v>
      </c>
      <c r="C6685" s="34"/>
      <c r="D6685" s="187"/>
      <c r="E6685" s="29"/>
      <c r="F6685" s="28"/>
      <c r="G6685" s="33">
        <f>+E6685*F6685</f>
        <v>0</v>
      </c>
    </row>
    <row r="6686" spans="1:8" ht="14.25" thickBot="1">
      <c r="A6686" s="211" t="s">
        <v>520</v>
      </c>
      <c r="B6686" s="216" t="str">
        <f ca="1">_xlfn.CONCAT(B6648,A6686)</f>
        <v>313EBA4F-ak</v>
      </c>
      <c r="C6686" s="34"/>
      <c r="D6686" s="185"/>
      <c r="E6686" s="26"/>
      <c r="F6686" s="36" t="s">
        <v>31</v>
      </c>
      <c r="G6686" s="23">
        <f>SUM(G6683:G6685)</f>
        <v>119973.24340007314</v>
      </c>
    </row>
    <row r="6687" spans="1:8" ht="14.25" thickBot="1">
      <c r="A6687" s="211" t="s">
        <v>521</v>
      </c>
      <c r="B6687" s="216" t="str">
        <f ca="1">_xlfn.CONCAT(B6648,A6687)</f>
        <v>313EBA4F-al</v>
      </c>
      <c r="C6687" s="37"/>
      <c r="E6687" s="38"/>
      <c r="F6687" s="22"/>
      <c r="G6687" s="39"/>
    </row>
    <row r="6688" spans="1:8" ht="16.5" thickBot="1">
      <c r="A6688" s="211" t="s">
        <v>522</v>
      </c>
      <c r="B6688" s="216" t="str">
        <f ca="1">_xlfn.CONCAT(B6648,A6688)</f>
        <v>313EBA4F-am</v>
      </c>
      <c r="C6688" s="40"/>
      <c r="D6688" s="193"/>
      <c r="E6688" s="41"/>
      <c r="F6688" s="42"/>
      <c r="G6688" s="43">
        <f>+G6671+G6680+G6686</f>
        <v>1207672.7621500732</v>
      </c>
    </row>
    <row r="6689" spans="1:8" ht="21.75" thickBot="1">
      <c r="B6689" s="212" t="s">
        <v>550</v>
      </c>
      <c r="C6689" s="2"/>
      <c r="D6689" s="183"/>
      <c r="F6689" s="4"/>
      <c r="G6689" s="5"/>
    </row>
    <row r="6690" spans="1:8" ht="18.75">
      <c r="A6690" s="213"/>
      <c r="B6690" s="214">
        <v>152</v>
      </c>
      <c r="C6690" s="242" t="str">
        <f ca="1">_xlfn.XLOOKUP(B6690,Cantidades!$A$10:$A$314,Cantidades!$C$10:$C$314,,0,1)</f>
        <v>Suministro e instalacion de señalitica para puertas de cuarto de baja tension</v>
      </c>
      <c r="D6690" s="243"/>
      <c r="E6690" s="243"/>
      <c r="F6690" s="243"/>
      <c r="G6690" s="244"/>
      <c r="H6690" s="213"/>
    </row>
    <row r="6691" spans="1:8" ht="19.5" thickBot="1">
      <c r="A6691" s="215"/>
      <c r="B6691" s="216" t="s">
        <v>550</v>
      </c>
      <c r="C6691" s="177"/>
      <c r="D6691" s="189"/>
      <c r="E6691" s="178"/>
      <c r="F6691" s="179" t="s">
        <v>636</v>
      </c>
      <c r="G6691" s="209" t="str">
        <f ca="1">B6692</f>
        <v>22BACF97-</v>
      </c>
      <c r="H6691" s="215"/>
    </row>
    <row r="6692" spans="1:8" ht="15.75" thickBot="1">
      <c r="B6692" s="212" t="str">
        <f ca="1">_xlfn.XLOOKUP(C6690,Cantidades!$C$1:$C$314,Cantidades!$B$1:$B$314,"",0,1)</f>
        <v>22BACF97-</v>
      </c>
      <c r="C6692" s="10" t="s">
        <v>0</v>
      </c>
      <c r="D6692" s="190"/>
      <c r="E6692" s="11"/>
      <c r="F6692" s="12"/>
      <c r="G6692" s="13"/>
    </row>
    <row r="6693" spans="1:8" ht="14.25" thickBot="1">
      <c r="A6693" s="215"/>
      <c r="B6693" s="216" t="s">
        <v>550</v>
      </c>
      <c r="C6693" s="14" t="s">
        <v>1</v>
      </c>
      <c r="D6693" s="15" t="s">
        <v>2</v>
      </c>
      <c r="E6693" s="15" t="s">
        <v>3</v>
      </c>
      <c r="F6693" s="16" t="s">
        <v>4</v>
      </c>
      <c r="G6693" s="15" t="s">
        <v>5</v>
      </c>
      <c r="H6693" s="215"/>
    </row>
    <row r="6694" spans="1:8" ht="15">
      <c r="A6694" s="211" t="s">
        <v>484</v>
      </c>
      <c r="B6694" s="216" t="str">
        <f ca="1">_xlfn.CONCAT(B6692,A6694)</f>
        <v>22BACF97-A</v>
      </c>
      <c r="C6694" s="17" t="str">
        <f>_xlfn.XLOOKUP(H6694,'Materiales unitario'!$A$1:$A$2500,'Materiales unitario'!B$1:B$2500,,0,1)</f>
        <v>Accesorios de anclaje y fijacion.</v>
      </c>
      <c r="D6694" s="184" t="str">
        <f>_xlfn.XLOOKUP(H6694,'Materiales unitario'!A$1:A$2500,'Materiales unitario'!C$1:C$2500,,0,1)</f>
        <v>un</v>
      </c>
      <c r="E6694" s="197">
        <f>_xlfn.XLOOKUP(H6694,'Materiales unitario'!$A$1:$A$2500,'Materiales unitario'!D$1:D$2500,,0,1)</f>
        <v>10000</v>
      </c>
      <c r="F6694" s="19">
        <v>2</v>
      </c>
      <c r="G6694" s="20">
        <f>+E6694*F6694</f>
        <v>20000</v>
      </c>
      <c r="H6694" s="217" t="s">
        <v>222</v>
      </c>
    </row>
    <row r="6695" spans="1:8" ht="15">
      <c r="A6695" s="211" t="s">
        <v>485</v>
      </c>
      <c r="B6695" s="216" t="str">
        <f ca="1">_xlfn.CONCAT(B6692,A6695)</f>
        <v>22BACF97-B</v>
      </c>
      <c r="C6695" s="17" t="str">
        <f>_xlfn.XLOOKUP(H6695,'Materiales unitario'!$A$1:$A$2500,'Materiales unitario'!B$1:B$2500,,0,1)</f>
        <v>Insumos menores</v>
      </c>
      <c r="D6695" s="184" t="str">
        <f>_xlfn.XLOOKUP(H6695,'Materiales unitario'!A$1:A$2500,'Materiales unitario'!C$1:C$2500,,0,1)</f>
        <v>un</v>
      </c>
      <c r="E6695" s="197">
        <f>_xlfn.XLOOKUP(H6695,'Materiales unitario'!$A$1:$A$2500,'Materiales unitario'!D$1:D$2500,,0,1)</f>
        <v>7300</v>
      </c>
      <c r="F6695" s="19">
        <v>2</v>
      </c>
      <c r="G6695" s="20">
        <f>+E6695*F6695</f>
        <v>14600</v>
      </c>
      <c r="H6695" s="217" t="s">
        <v>532</v>
      </c>
    </row>
    <row r="6696" spans="1:8" ht="15">
      <c r="A6696" s="211" t="s">
        <v>486</v>
      </c>
      <c r="B6696" s="216" t="str">
        <f ca="1">_xlfn.CONCAT(B6692,A6696)</f>
        <v>22BACF97-C</v>
      </c>
      <c r="C6696" s="17" t="str">
        <f>_xlfn.XLOOKUP(H6696,'Materiales unitario'!$A$1:$A$2500,'Materiales unitario'!B$1:B$2500,,0,1)</f>
        <v>Letreros a crilicos para subestacion</v>
      </c>
      <c r="D6696" s="184" t="str">
        <f>_xlfn.XLOOKUP(H6696,'Materiales unitario'!A$1:A$2500,'Materiales unitario'!C$1:C$2500,,0,1)</f>
        <v>gb</v>
      </c>
      <c r="E6696" s="197">
        <f>_xlfn.XLOOKUP(H6696,'Materiales unitario'!$A$1:$A$2500,'Materiales unitario'!D$1:D$2500,,0,1)</f>
        <v>360000</v>
      </c>
      <c r="F6696" s="19">
        <v>1</v>
      </c>
      <c r="G6696" s="20">
        <f>+E6696*F6696</f>
        <v>360000</v>
      </c>
      <c r="H6696" s="217" t="s">
        <v>1293</v>
      </c>
    </row>
    <row r="6697" spans="1:8" ht="15">
      <c r="A6697" s="211" t="s">
        <v>487</v>
      </c>
      <c r="B6697" s="216" t="str">
        <f ca="1">_xlfn.CONCAT(B6692,A6697)</f>
        <v>22BACF97-D</v>
      </c>
      <c r="C6697" s="17"/>
      <c r="D6697" s="184"/>
      <c r="E6697" s="197"/>
      <c r="F6697" s="19"/>
      <c r="G6697" s="20"/>
      <c r="H6697" s="217"/>
    </row>
    <row r="6698" spans="1:8" ht="15">
      <c r="A6698" s="211" t="s">
        <v>488</v>
      </c>
      <c r="B6698" s="216" t="str">
        <f ca="1">_xlfn.CONCAT(B6692,A6698)</f>
        <v>22BACF97-E</v>
      </c>
      <c r="C6698" s="17"/>
      <c r="D6698" s="184"/>
      <c r="E6698" s="197"/>
      <c r="F6698" s="19"/>
      <c r="G6698" s="20"/>
      <c r="H6698" s="217"/>
    </row>
    <row r="6699" spans="1:8" ht="15">
      <c r="A6699" s="211" t="s">
        <v>489</v>
      </c>
      <c r="B6699" s="216" t="str">
        <f ca="1">_xlfn.CONCAT(B6692,A6699)</f>
        <v>22BACF97-F</v>
      </c>
      <c r="C6699" s="17"/>
      <c r="D6699" s="184"/>
      <c r="E6699" s="197"/>
      <c r="F6699" s="19"/>
      <c r="G6699" s="20"/>
      <c r="H6699" s="217"/>
    </row>
    <row r="6700" spans="1:8" ht="15">
      <c r="A6700" s="211" t="s">
        <v>490</v>
      </c>
      <c r="B6700" s="216" t="str">
        <f ca="1">_xlfn.CONCAT(B6692,A6700)</f>
        <v>22BACF97-G</v>
      </c>
      <c r="C6700" s="17"/>
      <c r="D6700" s="184"/>
      <c r="E6700" s="197"/>
      <c r="F6700" s="19"/>
      <c r="G6700" s="20"/>
      <c r="H6700" s="217"/>
    </row>
    <row r="6701" spans="1:8" ht="15">
      <c r="A6701" s="211" t="s">
        <v>491</v>
      </c>
      <c r="B6701" s="216" t="str">
        <f ca="1">_xlfn.CONCAT(B6692,A6701)</f>
        <v>22BACF97-H</v>
      </c>
      <c r="C6701" s="17"/>
      <c r="D6701" s="184"/>
      <c r="E6701" s="197"/>
      <c r="F6701" s="19"/>
      <c r="G6701" s="20"/>
      <c r="H6701" s="217"/>
    </row>
    <row r="6702" spans="1:8" ht="15">
      <c r="A6702" s="211" t="s">
        <v>492</v>
      </c>
      <c r="B6702" s="216" t="str">
        <f ca="1">_xlfn.CONCAT(B6692,A6702)</f>
        <v>22BACF97-I</v>
      </c>
      <c r="C6702" s="17"/>
      <c r="D6702" s="184"/>
      <c r="E6702" s="197"/>
      <c r="F6702" s="19"/>
      <c r="G6702" s="20"/>
      <c r="H6702" s="217"/>
    </row>
    <row r="6703" spans="1:8" ht="15">
      <c r="A6703" s="211" t="s">
        <v>493</v>
      </c>
      <c r="B6703" s="216" t="str">
        <f ca="1">_xlfn.CONCAT(B6692,A6703)</f>
        <v>22BACF97-J</v>
      </c>
      <c r="C6703" s="17"/>
      <c r="D6703" s="184"/>
      <c r="E6703" s="197"/>
      <c r="F6703" s="19"/>
      <c r="G6703" s="20"/>
      <c r="H6703" s="217"/>
    </row>
    <row r="6704" spans="1:8" ht="15">
      <c r="A6704" s="211" t="s">
        <v>494</v>
      </c>
      <c r="B6704" s="216" t="str">
        <f ca="1">_xlfn.CONCAT(B6692,A6704)</f>
        <v>22BACF97-K</v>
      </c>
      <c r="C6704" s="17"/>
      <c r="D6704" s="184"/>
      <c r="E6704" s="197"/>
      <c r="F6704" s="19"/>
      <c r="G6704" s="20"/>
      <c r="H6704" s="217"/>
    </row>
    <row r="6705" spans="1:8" ht="15">
      <c r="A6705" s="211" t="s">
        <v>495</v>
      </c>
      <c r="B6705" s="216" t="str">
        <f ca="1">_xlfn.CONCAT(B6692,A6705)</f>
        <v>22BACF97-L</v>
      </c>
      <c r="C6705" s="17"/>
      <c r="D6705" s="184"/>
      <c r="E6705" s="197"/>
      <c r="F6705" s="19"/>
      <c r="G6705" s="20"/>
      <c r="H6705" s="217"/>
    </row>
    <row r="6706" spans="1:8" ht="15">
      <c r="A6706" s="211" t="s">
        <v>496</v>
      </c>
      <c r="B6706" s="216" t="str">
        <f ca="1">_xlfn.CONCAT(B6692,A6706)</f>
        <v>22BACF97-M</v>
      </c>
      <c r="C6706" s="17"/>
      <c r="D6706" s="184"/>
      <c r="E6706" s="197"/>
      <c r="F6706" s="19"/>
      <c r="G6706" s="20"/>
      <c r="H6706" s="217"/>
    </row>
    <row r="6707" spans="1:8">
      <c r="A6707" s="211" t="s">
        <v>497</v>
      </c>
      <c r="B6707" s="216" t="str">
        <f ca="1">_xlfn.CONCAT(B6692,A6707)</f>
        <v>22BACF97-N</v>
      </c>
      <c r="C6707" s="17"/>
      <c r="D6707" s="184"/>
      <c r="E6707" s="197"/>
      <c r="F6707" s="19"/>
      <c r="G6707" s="20"/>
    </row>
    <row r="6708" spans="1:8">
      <c r="A6708" s="211" t="s">
        <v>498</v>
      </c>
      <c r="B6708" s="216" t="str">
        <f ca="1">_xlfn.CONCAT(B6692,A6708)</f>
        <v>22BACF97-O</v>
      </c>
      <c r="C6708" s="17"/>
      <c r="D6708" s="184"/>
      <c r="E6708" s="197"/>
      <c r="F6708" s="19"/>
      <c r="G6708" s="20"/>
    </row>
    <row r="6709" spans="1:8">
      <c r="A6709" s="211" t="s">
        <v>499</v>
      </c>
      <c r="B6709" s="216" t="str">
        <f ca="1">_xlfn.CONCAT(B6692,A6709)</f>
        <v>22BACF97-P</v>
      </c>
      <c r="C6709" s="17"/>
      <c r="D6709" s="184"/>
      <c r="E6709" s="197"/>
      <c r="F6709" s="19"/>
      <c r="G6709" s="20"/>
    </row>
    <row r="6710" spans="1:8">
      <c r="A6710" s="211" t="s">
        <v>500</v>
      </c>
      <c r="B6710" s="216" t="str">
        <f ca="1">_xlfn.CONCAT(B6692,A6710)</f>
        <v>22BACF97-Q</v>
      </c>
      <c r="C6710" s="17"/>
      <c r="D6710" s="184"/>
      <c r="E6710" s="197"/>
      <c r="F6710" s="19"/>
      <c r="G6710" s="20"/>
    </row>
    <row r="6711" spans="1:8">
      <c r="A6711" s="211" t="s">
        <v>501</v>
      </c>
      <c r="B6711" s="216" t="str">
        <f ca="1">_xlfn.CONCAT(B6692,A6711)</f>
        <v>22BACF97-R</v>
      </c>
      <c r="C6711" s="17"/>
      <c r="D6711" s="184"/>
      <c r="E6711" s="197"/>
      <c r="F6711" s="19"/>
      <c r="G6711" s="20"/>
    </row>
    <row r="6712" spans="1:8">
      <c r="A6712" s="211" t="s">
        <v>502</v>
      </c>
      <c r="B6712" s="216" t="str">
        <f ca="1">_xlfn.CONCAT(B6692,A6712)</f>
        <v>22BACF97-S</v>
      </c>
      <c r="C6712" s="17"/>
      <c r="D6712" s="184"/>
      <c r="E6712" s="197"/>
      <c r="F6712" s="19"/>
      <c r="G6712" s="20"/>
    </row>
    <row r="6713" spans="1:8">
      <c r="A6713" s="211" t="s">
        <v>503</v>
      </c>
      <c r="B6713" s="216" t="str">
        <f ca="1">_xlfn.CONCAT(B6692,A6713)</f>
        <v>22BACF97-T</v>
      </c>
      <c r="C6713" s="17"/>
      <c r="D6713" s="184"/>
      <c r="E6713" s="197"/>
      <c r="F6713" s="19"/>
      <c r="G6713" s="20"/>
    </row>
    <row r="6714" spans="1:8" ht="14.25" thickBot="1">
      <c r="A6714" s="211" t="s">
        <v>504</v>
      </c>
      <c r="B6714" s="216" t="str">
        <f ca="1">_xlfn.CONCAT(B6692,A6714)</f>
        <v>22BACF97-U</v>
      </c>
      <c r="C6714" s="17"/>
      <c r="D6714" s="184"/>
      <c r="E6714" s="197"/>
      <c r="F6714" s="19"/>
      <c r="G6714" s="20"/>
    </row>
    <row r="6715" spans="1:8" ht="14.25" thickBot="1">
      <c r="A6715" s="211" t="s">
        <v>505</v>
      </c>
      <c r="B6715" s="216" t="str">
        <f ca="1">_xlfn.CONCAT(B6692,A6715)</f>
        <v>22BACF97-V</v>
      </c>
      <c r="C6715" s="17" t="s">
        <v>17</v>
      </c>
      <c r="D6715" s="192" t="s">
        <v>17</v>
      </c>
      <c r="E6715" s="18"/>
      <c r="F6715" s="22" t="s">
        <v>18</v>
      </c>
      <c r="G6715" s="23">
        <f>SUM(G6694:G6714)</f>
        <v>394600</v>
      </c>
    </row>
    <row r="6716" spans="1:8" ht="15.75" thickBot="1">
      <c r="A6716" s="211" t="s">
        <v>506</v>
      </c>
      <c r="B6716" s="216" t="str">
        <f ca="1">_xlfn.CONCAT(B6692,A6716)</f>
        <v>22BACF97-W</v>
      </c>
      <c r="C6716" s="10" t="s">
        <v>19</v>
      </c>
      <c r="D6716" s="190"/>
      <c r="E6716" s="11"/>
      <c r="F6716" s="12"/>
      <c r="G6716" s="13"/>
    </row>
    <row r="6717" spans="1:8" ht="14.25" thickBot="1">
      <c r="A6717" s="211" t="s">
        <v>507</v>
      </c>
      <c r="B6717" s="216" t="str">
        <f ca="1">_xlfn.CONCAT(B6692,A6717)</f>
        <v>22BACF97-X</v>
      </c>
      <c r="C6717" s="14" t="s">
        <v>1</v>
      </c>
      <c r="D6717" s="15"/>
      <c r="E6717" s="15" t="s">
        <v>20</v>
      </c>
      <c r="F6717" s="16" t="s">
        <v>21</v>
      </c>
      <c r="G6717" s="15" t="s">
        <v>5</v>
      </c>
      <c r="H6717" s="215"/>
    </row>
    <row r="6718" spans="1:8">
      <c r="A6718" s="211" t="s">
        <v>508</v>
      </c>
      <c r="B6718" s="216" t="str">
        <f ca="1">_xlfn.CONCAT(B6692,A6718)</f>
        <v>22BACF97-Y</v>
      </c>
      <c r="C6718" s="24" t="s">
        <v>22</v>
      </c>
      <c r="D6718" s="184"/>
      <c r="E6718" s="25">
        <f>_xlfn.XLOOKUP(C6718,'H-MO'!B$7:B$30,'H-MO'!D$7:D$30,,0,1)</f>
        <v>2436.5624999999995</v>
      </c>
      <c r="F6718" s="19">
        <v>0.5</v>
      </c>
      <c r="G6718" s="33">
        <f t="shared" ref="G6718:G6723" si="187">+E6718*F6718</f>
        <v>1218.2812499999998</v>
      </c>
    </row>
    <row r="6719" spans="1:8">
      <c r="A6719" s="211" t="s">
        <v>509</v>
      </c>
      <c r="B6719" s="216" t="str">
        <f ca="1">_xlfn.CONCAT(B6692,A6719)</f>
        <v>22BACF97-Z</v>
      </c>
      <c r="C6719" s="24" t="s">
        <v>23</v>
      </c>
      <c r="D6719" s="184"/>
      <c r="E6719" s="25">
        <f>_xlfn.XLOOKUP(C6719,'H-MO'!B$7:B$30,'H-MO'!D$7:D$30,,0,1)</f>
        <v>1461.9374999999998</v>
      </c>
      <c r="F6719" s="19">
        <v>1</v>
      </c>
      <c r="G6719" s="33">
        <f t="shared" si="187"/>
        <v>1461.9374999999998</v>
      </c>
    </row>
    <row r="6720" spans="1:8">
      <c r="A6720" s="211" t="s">
        <v>510</v>
      </c>
      <c r="B6720" s="216" t="str">
        <f ca="1">_xlfn.CONCAT(B6692,A6720)</f>
        <v>22BACF97-aa</v>
      </c>
      <c r="C6720" s="24" t="s">
        <v>24</v>
      </c>
      <c r="D6720" s="185"/>
      <c r="E6720" s="25">
        <f>_xlfn.XLOOKUP(C6720,'H-MO'!B$7:B$30,'H-MO'!D$7:D$30,,0,1)</f>
        <v>29238.749999999996</v>
      </c>
      <c r="F6720" s="28">
        <v>0.2</v>
      </c>
      <c r="G6720" s="33">
        <f t="shared" si="187"/>
        <v>5847.75</v>
      </c>
    </row>
    <row r="6721" spans="1:8">
      <c r="A6721" s="211" t="s">
        <v>511</v>
      </c>
      <c r="B6721" s="216" t="str">
        <f ca="1">_xlfn.CONCAT(B6692,A6721)</f>
        <v>22BACF97-ab</v>
      </c>
      <c r="C6721" s="24" t="s">
        <v>25</v>
      </c>
      <c r="D6721" s="185"/>
      <c r="E6721" s="25">
        <f>_xlfn.XLOOKUP(C6721,'H-MO'!B$7:B$30,'H-MO'!D$7:D$30,,0,1)</f>
        <v>2761.4374999999995</v>
      </c>
      <c r="F6721" s="28">
        <v>0.2</v>
      </c>
      <c r="G6721" s="33">
        <f t="shared" si="187"/>
        <v>552.28749999999991</v>
      </c>
    </row>
    <row r="6722" spans="1:8">
      <c r="A6722" s="211" t="s">
        <v>512</v>
      </c>
      <c r="B6722" s="216" t="str">
        <f ca="1">_xlfn.CONCAT(B6692,A6722)</f>
        <v>22BACF97-ac</v>
      </c>
      <c r="C6722" s="24"/>
      <c r="D6722" s="185"/>
      <c r="E6722" s="29"/>
      <c r="F6722" s="28"/>
      <c r="G6722" s="33">
        <f t="shared" si="187"/>
        <v>0</v>
      </c>
    </row>
    <row r="6723" spans="1:8" ht="14.25" thickBot="1">
      <c r="A6723" s="211" t="s">
        <v>513</v>
      </c>
      <c r="B6723" s="216" t="str">
        <f ca="1">_xlfn.CONCAT(B6692,A6723)</f>
        <v>22BACF97-ad</v>
      </c>
      <c r="C6723" s="24"/>
      <c r="D6723" s="185"/>
      <c r="E6723" s="29"/>
      <c r="F6723" s="28"/>
      <c r="G6723" s="33">
        <f t="shared" si="187"/>
        <v>0</v>
      </c>
    </row>
    <row r="6724" spans="1:8" ht="14.25" thickBot="1">
      <c r="A6724" s="211" t="s">
        <v>514</v>
      </c>
      <c r="B6724" s="216" t="str">
        <f ca="1">_xlfn.CONCAT(B6692,A6724)</f>
        <v>22BACF97-ae</v>
      </c>
      <c r="C6724" s="17"/>
      <c r="D6724" s="192"/>
      <c r="E6724" s="18"/>
      <c r="F6724" s="22" t="s">
        <v>26</v>
      </c>
      <c r="G6724" s="23">
        <f>SUM(G6718:G6723)</f>
        <v>9080.2562500000004</v>
      </c>
    </row>
    <row r="6725" spans="1:8" ht="15.75" thickBot="1">
      <c r="A6725" s="211" t="s">
        <v>515</v>
      </c>
      <c r="B6725" s="216" t="str">
        <f ca="1">_xlfn.CONCAT(B6692,A6725)</f>
        <v>22BACF97-af</v>
      </c>
      <c r="C6725" s="10" t="s">
        <v>27</v>
      </c>
      <c r="D6725" s="190"/>
      <c r="E6725" s="11"/>
      <c r="F6725" s="12"/>
      <c r="G6725" s="13"/>
    </row>
    <row r="6726" spans="1:8" ht="14.25" thickBot="1">
      <c r="A6726" s="211" t="s">
        <v>516</v>
      </c>
      <c r="B6726" s="216" t="str">
        <f ca="1">_xlfn.CONCAT(B6692,A6726)</f>
        <v>22BACF97-ag</v>
      </c>
      <c r="C6726" s="14" t="s">
        <v>1</v>
      </c>
      <c r="D6726" s="15" t="s">
        <v>28</v>
      </c>
      <c r="E6726" s="15" t="s">
        <v>20</v>
      </c>
      <c r="F6726" s="16" t="s">
        <v>21</v>
      </c>
      <c r="G6726" s="15" t="s">
        <v>5</v>
      </c>
      <c r="H6726" s="215"/>
    </row>
    <row r="6727" spans="1:8">
      <c r="A6727" s="211" t="s">
        <v>517</v>
      </c>
      <c r="B6727" s="216" t="str">
        <f ca="1">_xlfn.CONCAT(B6692,A6727)</f>
        <v>22BACF97-ah</v>
      </c>
      <c r="C6727" s="30" t="s">
        <v>29</v>
      </c>
      <c r="D6727" s="186">
        <f>'H-MO'!$N$77</f>
        <v>725918.52892505517</v>
      </c>
      <c r="E6727" s="31">
        <f>+D6727/8</f>
        <v>90739.816115631897</v>
      </c>
      <c r="F6727" s="32">
        <v>0.7</v>
      </c>
      <c r="G6727" s="33">
        <f>+E6727*F6727</f>
        <v>63517.871280942323</v>
      </c>
    </row>
    <row r="6728" spans="1:8">
      <c r="A6728" s="211" t="s">
        <v>518</v>
      </c>
      <c r="B6728" s="216" t="str">
        <f ca="1">_xlfn.CONCAT(B6692,A6728)</f>
        <v>22BACF97-ai</v>
      </c>
      <c r="C6728" s="34" t="s">
        <v>30</v>
      </c>
      <c r="D6728" s="187">
        <f>'H-MO'!$N$86</f>
        <v>685561.39085756091</v>
      </c>
      <c r="E6728" s="29">
        <f>+D6728/8</f>
        <v>85695.173857195114</v>
      </c>
      <c r="F6728" s="28"/>
      <c r="G6728" s="33">
        <f>+E6728*F6728</f>
        <v>0</v>
      </c>
    </row>
    <row r="6729" spans="1:8" ht="14.25" thickBot="1">
      <c r="A6729" s="211" t="s">
        <v>519</v>
      </c>
      <c r="B6729" s="216" t="str">
        <f ca="1">_xlfn.CONCAT(B6692,A6729)</f>
        <v>22BACF97-aj</v>
      </c>
      <c r="C6729" s="34"/>
      <c r="D6729" s="187"/>
      <c r="E6729" s="29"/>
      <c r="F6729" s="28"/>
      <c r="G6729" s="33">
        <f>+E6729*F6729</f>
        <v>0</v>
      </c>
    </row>
    <row r="6730" spans="1:8" ht="14.25" thickBot="1">
      <c r="A6730" s="211" t="s">
        <v>520</v>
      </c>
      <c r="B6730" s="216" t="str">
        <f ca="1">_xlfn.CONCAT(B6692,A6730)</f>
        <v>22BACF97-ak</v>
      </c>
      <c r="C6730" s="34"/>
      <c r="D6730" s="185"/>
      <c r="E6730" s="26"/>
      <c r="F6730" s="36" t="s">
        <v>31</v>
      </c>
      <c r="G6730" s="23">
        <f>SUM(G6727:G6729)</f>
        <v>63517.871280942323</v>
      </c>
    </row>
    <row r="6731" spans="1:8" ht="14.25" thickBot="1">
      <c r="A6731" s="211" t="s">
        <v>521</v>
      </c>
      <c r="B6731" s="216" t="str">
        <f ca="1">_xlfn.CONCAT(B6692,A6731)</f>
        <v>22BACF97-al</v>
      </c>
      <c r="C6731" s="37"/>
      <c r="E6731" s="38"/>
      <c r="F6731" s="22"/>
      <c r="G6731" s="39"/>
    </row>
    <row r="6732" spans="1:8" ht="16.5" thickBot="1">
      <c r="A6732" s="211" t="s">
        <v>522</v>
      </c>
      <c r="B6732" s="216" t="str">
        <f ca="1">_xlfn.CONCAT(B6692,A6732)</f>
        <v>22BACF97-am</v>
      </c>
      <c r="C6732" s="40"/>
      <c r="D6732" s="193"/>
      <c r="E6732" s="41"/>
      <c r="F6732" s="42"/>
      <c r="G6732" s="43">
        <f>+G6715+G6724+G6730</f>
        <v>467198.12753094232</v>
      </c>
    </row>
    <row r="6733" spans="1:8" ht="21.75" thickBot="1">
      <c r="B6733" s="212" t="s">
        <v>550</v>
      </c>
      <c r="C6733" s="2"/>
      <c r="D6733" s="183"/>
      <c r="F6733" s="4"/>
      <c r="G6733" s="5"/>
    </row>
    <row r="6734" spans="1:8" ht="18.75">
      <c r="A6734" s="213"/>
      <c r="B6734" s="214">
        <v>153</v>
      </c>
      <c r="C6734" s="242" t="str">
        <f ca="1">_xlfn.XLOOKUP(B6734,Cantidades!$A$10:$A$314,Cantidades!$C$10:$C$314,,0,1)</f>
        <v>Suministro e instalacion de resane de paredes, pañete, pintura color blanco con dos manos  y pintura epoxica para  señalizacion de piso distancias de seguridad</v>
      </c>
      <c r="D6734" s="243"/>
      <c r="E6734" s="243"/>
      <c r="F6734" s="243"/>
      <c r="G6734" s="244"/>
      <c r="H6734" s="213"/>
    </row>
    <row r="6735" spans="1:8" ht="19.5" thickBot="1">
      <c r="A6735" s="215"/>
      <c r="B6735" s="216" t="s">
        <v>550</v>
      </c>
      <c r="C6735" s="177"/>
      <c r="D6735" s="189"/>
      <c r="E6735" s="178"/>
      <c r="F6735" s="179" t="s">
        <v>636</v>
      </c>
      <c r="G6735" s="209" t="str">
        <f ca="1">B6736</f>
        <v>D1E4D6E-</v>
      </c>
      <c r="H6735" s="215"/>
    </row>
    <row r="6736" spans="1:8" ht="15.75" thickBot="1">
      <c r="B6736" s="212" t="str">
        <f ca="1">_xlfn.XLOOKUP(C6734,Cantidades!$C$1:$C$314,Cantidades!$B$1:$B$314,"",0,1)</f>
        <v>D1E4D6E-</v>
      </c>
      <c r="C6736" s="10" t="s">
        <v>0</v>
      </c>
      <c r="D6736" s="190"/>
      <c r="E6736" s="11"/>
      <c r="F6736" s="12"/>
      <c r="G6736" s="13"/>
    </row>
    <row r="6737" spans="1:8" ht="14.25" thickBot="1">
      <c r="A6737" s="215"/>
      <c r="B6737" s="216" t="s">
        <v>550</v>
      </c>
      <c r="C6737" s="14" t="s">
        <v>1</v>
      </c>
      <c r="D6737" s="15" t="s">
        <v>2</v>
      </c>
      <c r="E6737" s="15" t="s">
        <v>3</v>
      </c>
      <c r="F6737" s="16" t="s">
        <v>4</v>
      </c>
      <c r="G6737" s="15" t="s">
        <v>5</v>
      </c>
      <c r="H6737" s="215"/>
    </row>
    <row r="6738" spans="1:8" ht="15">
      <c r="A6738" s="211" t="s">
        <v>484</v>
      </c>
      <c r="B6738" s="216" t="str">
        <f ca="1">_xlfn.CONCAT(B6736,A6738)</f>
        <v>D1E4D6E-A</v>
      </c>
      <c r="C6738" s="17" t="str">
        <f>_xlfn.XLOOKUP(H6738,'Materiales unitario'!$A$1:$A$2500,'Materiales unitario'!B$1:B$2500,,0,1)</f>
        <v>Insumos menores</v>
      </c>
      <c r="D6738" s="184" t="str">
        <f>_xlfn.XLOOKUP(H6738,'Materiales unitario'!A$1:A$2500,'Materiales unitario'!C$1:C$2500,,0,1)</f>
        <v>un</v>
      </c>
      <c r="E6738" s="197">
        <f>_xlfn.XLOOKUP(H6738,'Materiales unitario'!$A$1:$A$2500,'Materiales unitario'!D$1:D$2500,,0,1)</f>
        <v>7300</v>
      </c>
      <c r="F6738" s="19">
        <v>50</v>
      </c>
      <c r="G6738" s="20">
        <f>+E6738*F6738</f>
        <v>365000</v>
      </c>
      <c r="H6738" s="217" t="s">
        <v>532</v>
      </c>
    </row>
    <row r="6739" spans="1:8" ht="15">
      <c r="A6739" s="211" t="s">
        <v>485</v>
      </c>
      <c r="B6739" s="216" t="str">
        <f ca="1">_xlfn.CONCAT(B6736,A6739)</f>
        <v>D1E4D6E-B</v>
      </c>
      <c r="C6739" s="17"/>
      <c r="D6739" s="184"/>
      <c r="E6739" s="197"/>
      <c r="F6739" s="19"/>
      <c r="G6739" s="20"/>
      <c r="H6739" s="217"/>
    </row>
    <row r="6740" spans="1:8" ht="15">
      <c r="A6740" s="211" t="s">
        <v>486</v>
      </c>
      <c r="B6740" s="216" t="str">
        <f ca="1">_xlfn.CONCAT(B6736,A6740)</f>
        <v>D1E4D6E-C</v>
      </c>
      <c r="C6740" s="17"/>
      <c r="D6740" s="184"/>
      <c r="E6740" s="197"/>
      <c r="F6740" s="19"/>
      <c r="G6740" s="20"/>
      <c r="H6740" s="217"/>
    </row>
    <row r="6741" spans="1:8" ht="15">
      <c r="A6741" s="211" t="s">
        <v>487</v>
      </c>
      <c r="B6741" s="216" t="str">
        <f ca="1">_xlfn.CONCAT(B6736,A6741)</f>
        <v>D1E4D6E-D</v>
      </c>
      <c r="C6741" s="17"/>
      <c r="D6741" s="184"/>
      <c r="E6741" s="197"/>
      <c r="F6741" s="19"/>
      <c r="G6741" s="20"/>
      <c r="H6741" s="217"/>
    </row>
    <row r="6742" spans="1:8" ht="15">
      <c r="A6742" s="211" t="s">
        <v>488</v>
      </c>
      <c r="B6742" s="216" t="str">
        <f ca="1">_xlfn.CONCAT(B6736,A6742)</f>
        <v>D1E4D6E-E</v>
      </c>
      <c r="C6742" s="17"/>
      <c r="D6742" s="184"/>
      <c r="E6742" s="197"/>
      <c r="F6742" s="19"/>
      <c r="G6742" s="20"/>
      <c r="H6742" s="217"/>
    </row>
    <row r="6743" spans="1:8" ht="15">
      <c r="A6743" s="211" t="s">
        <v>489</v>
      </c>
      <c r="B6743" s="216" t="str">
        <f ca="1">_xlfn.CONCAT(B6736,A6743)</f>
        <v>D1E4D6E-F</v>
      </c>
      <c r="C6743" s="17"/>
      <c r="D6743" s="184"/>
      <c r="E6743" s="197"/>
      <c r="F6743" s="19"/>
      <c r="G6743" s="20"/>
      <c r="H6743" s="217"/>
    </row>
    <row r="6744" spans="1:8" ht="15">
      <c r="A6744" s="211" t="s">
        <v>490</v>
      </c>
      <c r="B6744" s="216" t="str">
        <f ca="1">_xlfn.CONCAT(B6736,A6744)</f>
        <v>D1E4D6E-G</v>
      </c>
      <c r="C6744" s="17"/>
      <c r="D6744" s="184"/>
      <c r="E6744" s="197"/>
      <c r="F6744" s="19"/>
      <c r="G6744" s="20"/>
      <c r="H6744" s="217"/>
    </row>
    <row r="6745" spans="1:8" ht="15">
      <c r="A6745" s="211" t="s">
        <v>491</v>
      </c>
      <c r="B6745" s="216" t="str">
        <f ca="1">_xlfn.CONCAT(B6736,A6745)</f>
        <v>D1E4D6E-H</v>
      </c>
      <c r="C6745" s="17"/>
      <c r="D6745" s="184"/>
      <c r="E6745" s="197"/>
      <c r="F6745" s="19"/>
      <c r="G6745" s="20"/>
      <c r="H6745" s="217"/>
    </row>
    <row r="6746" spans="1:8" ht="15">
      <c r="A6746" s="211" t="s">
        <v>492</v>
      </c>
      <c r="B6746" s="216" t="str">
        <f ca="1">_xlfn.CONCAT(B6736,A6746)</f>
        <v>D1E4D6E-I</v>
      </c>
      <c r="C6746" s="17"/>
      <c r="D6746" s="184"/>
      <c r="E6746" s="197"/>
      <c r="F6746" s="19"/>
      <c r="G6746" s="20"/>
      <c r="H6746" s="217"/>
    </row>
    <row r="6747" spans="1:8" ht="15">
      <c r="A6747" s="211" t="s">
        <v>493</v>
      </c>
      <c r="B6747" s="216" t="str">
        <f ca="1">_xlfn.CONCAT(B6736,A6747)</f>
        <v>D1E4D6E-J</v>
      </c>
      <c r="C6747" s="17"/>
      <c r="D6747" s="184"/>
      <c r="E6747" s="197"/>
      <c r="F6747" s="19"/>
      <c r="G6747" s="20"/>
      <c r="H6747" s="217"/>
    </row>
    <row r="6748" spans="1:8" ht="15">
      <c r="A6748" s="211" t="s">
        <v>494</v>
      </c>
      <c r="B6748" s="216" t="str">
        <f ca="1">_xlfn.CONCAT(B6736,A6748)</f>
        <v>D1E4D6E-K</v>
      </c>
      <c r="C6748" s="17"/>
      <c r="D6748" s="184"/>
      <c r="E6748" s="197"/>
      <c r="F6748" s="19"/>
      <c r="G6748" s="20"/>
      <c r="H6748" s="217"/>
    </row>
    <row r="6749" spans="1:8" ht="15">
      <c r="A6749" s="211" t="s">
        <v>495</v>
      </c>
      <c r="B6749" s="216" t="str">
        <f ca="1">_xlfn.CONCAT(B6736,A6749)</f>
        <v>D1E4D6E-L</v>
      </c>
      <c r="C6749" s="17"/>
      <c r="D6749" s="184"/>
      <c r="E6749" s="197"/>
      <c r="F6749" s="19"/>
      <c r="G6749" s="20"/>
      <c r="H6749" s="217"/>
    </row>
    <row r="6750" spans="1:8" ht="15">
      <c r="A6750" s="211" t="s">
        <v>496</v>
      </c>
      <c r="B6750" s="216" t="str">
        <f ca="1">_xlfn.CONCAT(B6736,A6750)</f>
        <v>D1E4D6E-M</v>
      </c>
      <c r="C6750" s="17"/>
      <c r="D6750" s="184"/>
      <c r="E6750" s="197"/>
      <c r="F6750" s="19"/>
      <c r="G6750" s="20"/>
      <c r="H6750" s="217"/>
    </row>
    <row r="6751" spans="1:8">
      <c r="A6751" s="211" t="s">
        <v>497</v>
      </c>
      <c r="B6751" s="216" t="str">
        <f ca="1">_xlfn.CONCAT(B6736,A6751)</f>
        <v>D1E4D6E-N</v>
      </c>
      <c r="C6751" s="17"/>
      <c r="D6751" s="184"/>
      <c r="E6751" s="197"/>
      <c r="F6751" s="19"/>
      <c r="G6751" s="20"/>
    </row>
    <row r="6752" spans="1:8">
      <c r="A6752" s="211" t="s">
        <v>498</v>
      </c>
      <c r="B6752" s="216" t="str">
        <f ca="1">_xlfn.CONCAT(B6736,A6752)</f>
        <v>D1E4D6E-O</v>
      </c>
      <c r="C6752" s="17"/>
      <c r="D6752" s="184"/>
      <c r="E6752" s="197"/>
      <c r="F6752" s="19"/>
      <c r="G6752" s="20"/>
    </row>
    <row r="6753" spans="1:8">
      <c r="A6753" s="211" t="s">
        <v>499</v>
      </c>
      <c r="B6753" s="216" t="str">
        <f ca="1">_xlfn.CONCAT(B6736,A6753)</f>
        <v>D1E4D6E-P</v>
      </c>
      <c r="C6753" s="17"/>
      <c r="D6753" s="184"/>
      <c r="E6753" s="197"/>
      <c r="F6753" s="19"/>
      <c r="G6753" s="20"/>
    </row>
    <row r="6754" spans="1:8">
      <c r="A6754" s="211" t="s">
        <v>500</v>
      </c>
      <c r="B6754" s="216" t="str">
        <f ca="1">_xlfn.CONCAT(B6736,A6754)</f>
        <v>D1E4D6E-Q</v>
      </c>
      <c r="C6754" s="17"/>
      <c r="D6754" s="184"/>
      <c r="E6754" s="197"/>
      <c r="F6754" s="19"/>
      <c r="G6754" s="20"/>
    </row>
    <row r="6755" spans="1:8">
      <c r="A6755" s="211" t="s">
        <v>501</v>
      </c>
      <c r="B6755" s="216" t="str">
        <f ca="1">_xlfn.CONCAT(B6736,A6755)</f>
        <v>D1E4D6E-R</v>
      </c>
      <c r="C6755" s="17"/>
      <c r="D6755" s="184"/>
      <c r="E6755" s="197"/>
      <c r="F6755" s="19"/>
      <c r="G6755" s="20"/>
    </row>
    <row r="6756" spans="1:8">
      <c r="A6756" s="211" t="s">
        <v>502</v>
      </c>
      <c r="B6756" s="216" t="str">
        <f ca="1">_xlfn.CONCAT(B6736,A6756)</f>
        <v>D1E4D6E-S</v>
      </c>
      <c r="C6756" s="17"/>
      <c r="D6756" s="184"/>
      <c r="E6756" s="197"/>
      <c r="F6756" s="19"/>
      <c r="G6756" s="20"/>
    </row>
    <row r="6757" spans="1:8">
      <c r="A6757" s="211" t="s">
        <v>503</v>
      </c>
      <c r="B6757" s="216" t="str">
        <f ca="1">_xlfn.CONCAT(B6736,A6757)</f>
        <v>D1E4D6E-T</v>
      </c>
      <c r="C6757" s="17"/>
      <c r="D6757" s="184"/>
      <c r="E6757" s="197"/>
      <c r="F6757" s="19"/>
      <c r="G6757" s="20"/>
    </row>
    <row r="6758" spans="1:8" ht="14.25" thickBot="1">
      <c r="A6758" s="211" t="s">
        <v>504</v>
      </c>
      <c r="B6758" s="216" t="str">
        <f ca="1">_xlfn.CONCAT(B6736,A6758)</f>
        <v>D1E4D6E-U</v>
      </c>
      <c r="C6758" s="17"/>
      <c r="D6758" s="184"/>
      <c r="E6758" s="197"/>
      <c r="F6758" s="19"/>
      <c r="G6758" s="20"/>
    </row>
    <row r="6759" spans="1:8" ht="14.25" thickBot="1">
      <c r="A6759" s="211" t="s">
        <v>505</v>
      </c>
      <c r="B6759" s="216" t="str">
        <f ca="1">_xlfn.CONCAT(B6736,A6759)</f>
        <v>D1E4D6E-V</v>
      </c>
      <c r="C6759" s="17" t="s">
        <v>17</v>
      </c>
      <c r="D6759" s="192" t="s">
        <v>17</v>
      </c>
      <c r="E6759" s="18"/>
      <c r="F6759" s="22" t="s">
        <v>18</v>
      </c>
      <c r="G6759" s="23">
        <f>SUM(G6738:G6758)</f>
        <v>365000</v>
      </c>
    </row>
    <row r="6760" spans="1:8" ht="15.75" thickBot="1">
      <c r="A6760" s="211" t="s">
        <v>506</v>
      </c>
      <c r="B6760" s="216" t="str">
        <f ca="1">_xlfn.CONCAT(B6736,A6760)</f>
        <v>D1E4D6E-W</v>
      </c>
      <c r="C6760" s="10" t="s">
        <v>19</v>
      </c>
      <c r="D6760" s="190"/>
      <c r="E6760" s="11"/>
      <c r="F6760" s="12"/>
      <c r="G6760" s="13"/>
    </row>
    <row r="6761" spans="1:8" ht="14.25" thickBot="1">
      <c r="A6761" s="211" t="s">
        <v>507</v>
      </c>
      <c r="B6761" s="216" t="str">
        <f ca="1">_xlfn.CONCAT(B6736,A6761)</f>
        <v>D1E4D6E-X</v>
      </c>
      <c r="C6761" s="14" t="s">
        <v>1</v>
      </c>
      <c r="D6761" s="15"/>
      <c r="E6761" s="15" t="s">
        <v>20</v>
      </c>
      <c r="F6761" s="16" t="s">
        <v>21</v>
      </c>
      <c r="G6761" s="15" t="s">
        <v>5</v>
      </c>
      <c r="H6761" s="215"/>
    </row>
    <row r="6762" spans="1:8">
      <c r="A6762" s="211" t="s">
        <v>508</v>
      </c>
      <c r="B6762" s="216" t="str">
        <f ca="1">_xlfn.CONCAT(B6736,A6762)</f>
        <v>D1E4D6E-Y</v>
      </c>
      <c r="C6762" s="24" t="s">
        <v>22</v>
      </c>
      <c r="D6762" s="184"/>
      <c r="E6762" s="25">
        <f>_xlfn.XLOOKUP(C6762,'H-MO'!B$7:B$30,'H-MO'!D$7:D$30,,0,1)</f>
        <v>2436.5624999999995</v>
      </c>
      <c r="F6762" s="19">
        <v>0.5</v>
      </c>
      <c r="G6762" s="33">
        <f t="shared" ref="G6762:G6767" si="188">+E6762*F6762</f>
        <v>1218.2812499999998</v>
      </c>
    </row>
    <row r="6763" spans="1:8">
      <c r="A6763" s="211" t="s">
        <v>509</v>
      </c>
      <c r="B6763" s="216" t="str">
        <f ca="1">_xlfn.CONCAT(B6736,A6763)</f>
        <v>D1E4D6E-Z</v>
      </c>
      <c r="C6763" s="24" t="s">
        <v>23</v>
      </c>
      <c r="D6763" s="184"/>
      <c r="E6763" s="25">
        <f>_xlfn.XLOOKUP(C6763,'H-MO'!B$7:B$30,'H-MO'!D$7:D$30,,0,1)</f>
        <v>1461.9374999999998</v>
      </c>
      <c r="F6763" s="19">
        <v>2</v>
      </c>
      <c r="G6763" s="33">
        <f t="shared" si="188"/>
        <v>2923.8749999999995</v>
      </c>
    </row>
    <row r="6764" spans="1:8">
      <c r="A6764" s="211" t="s">
        <v>510</v>
      </c>
      <c r="B6764" s="216" t="str">
        <f ca="1">_xlfn.CONCAT(B6736,A6764)</f>
        <v>D1E4D6E-aa</v>
      </c>
      <c r="C6764" s="24" t="s">
        <v>24</v>
      </c>
      <c r="D6764" s="185"/>
      <c r="E6764" s="25">
        <f>_xlfn.XLOOKUP(C6764,'H-MO'!B$7:B$30,'H-MO'!D$7:D$30,,0,1)</f>
        <v>29238.749999999996</v>
      </c>
      <c r="F6764" s="28">
        <v>0.6</v>
      </c>
      <c r="G6764" s="33">
        <f t="shared" si="188"/>
        <v>17543.249999999996</v>
      </c>
    </row>
    <row r="6765" spans="1:8">
      <c r="A6765" s="211" t="s">
        <v>511</v>
      </c>
      <c r="B6765" s="216" t="str">
        <f ca="1">_xlfn.CONCAT(B6736,A6765)</f>
        <v>D1E4D6E-ab</v>
      </c>
      <c r="C6765" s="24" t="s">
        <v>25</v>
      </c>
      <c r="D6765" s="185"/>
      <c r="E6765" s="25">
        <f>_xlfn.XLOOKUP(C6765,'H-MO'!B$7:B$30,'H-MO'!D$7:D$30,,0,1)</f>
        <v>2761.4374999999995</v>
      </c>
      <c r="F6765" s="28">
        <v>2</v>
      </c>
      <c r="G6765" s="33">
        <f t="shared" si="188"/>
        <v>5522.8749999999991</v>
      </c>
    </row>
    <row r="6766" spans="1:8">
      <c r="A6766" s="211" t="s">
        <v>512</v>
      </c>
      <c r="B6766" s="216" t="str">
        <f ca="1">_xlfn.CONCAT(B6736,A6766)</f>
        <v>D1E4D6E-ac</v>
      </c>
      <c r="C6766" s="24"/>
      <c r="D6766" s="185"/>
      <c r="E6766" s="29"/>
      <c r="F6766" s="28"/>
      <c r="G6766" s="33">
        <f t="shared" si="188"/>
        <v>0</v>
      </c>
    </row>
    <row r="6767" spans="1:8" ht="14.25" thickBot="1">
      <c r="A6767" s="211" t="s">
        <v>513</v>
      </c>
      <c r="B6767" s="216" t="str">
        <f ca="1">_xlfn.CONCAT(B6736,A6767)</f>
        <v>D1E4D6E-ad</v>
      </c>
      <c r="C6767" s="24"/>
      <c r="D6767" s="185"/>
      <c r="E6767" s="29"/>
      <c r="F6767" s="28"/>
      <c r="G6767" s="33">
        <f t="shared" si="188"/>
        <v>0</v>
      </c>
    </row>
    <row r="6768" spans="1:8" ht="14.25" thickBot="1">
      <c r="A6768" s="211" t="s">
        <v>514</v>
      </c>
      <c r="B6768" s="216" t="str">
        <f ca="1">_xlfn.CONCAT(B6736,A6768)</f>
        <v>D1E4D6E-ae</v>
      </c>
      <c r="C6768" s="17"/>
      <c r="D6768" s="192"/>
      <c r="E6768" s="18"/>
      <c r="F6768" s="22" t="s">
        <v>26</v>
      </c>
      <c r="G6768" s="23">
        <f>SUM(G6762:G6767)</f>
        <v>27208.281249999996</v>
      </c>
    </row>
    <row r="6769" spans="1:8" ht="15.75" thickBot="1">
      <c r="A6769" s="211" t="s">
        <v>515</v>
      </c>
      <c r="B6769" s="216" t="str">
        <f ca="1">_xlfn.CONCAT(B6736,A6769)</f>
        <v>D1E4D6E-af</v>
      </c>
      <c r="C6769" s="10" t="s">
        <v>27</v>
      </c>
      <c r="D6769" s="190"/>
      <c r="E6769" s="11"/>
      <c r="F6769" s="12"/>
      <c r="G6769" s="13"/>
    </row>
    <row r="6770" spans="1:8" ht="14.25" thickBot="1">
      <c r="A6770" s="211" t="s">
        <v>516</v>
      </c>
      <c r="B6770" s="216" t="str">
        <f ca="1">_xlfn.CONCAT(B6736,A6770)</f>
        <v>D1E4D6E-ag</v>
      </c>
      <c r="C6770" s="14" t="s">
        <v>1</v>
      </c>
      <c r="D6770" s="15" t="s">
        <v>28</v>
      </c>
      <c r="E6770" s="15" t="s">
        <v>20</v>
      </c>
      <c r="F6770" s="16" t="s">
        <v>21</v>
      </c>
      <c r="G6770" s="15" t="s">
        <v>5</v>
      </c>
      <c r="H6770" s="215"/>
    </row>
    <row r="6771" spans="1:8">
      <c r="A6771" s="211" t="s">
        <v>517</v>
      </c>
      <c r="B6771" s="216" t="str">
        <f ca="1">_xlfn.CONCAT(B6736,A6771)</f>
        <v>D1E4D6E-ah</v>
      </c>
      <c r="C6771" s="30" t="s">
        <v>29</v>
      </c>
      <c r="D6771" s="186">
        <f>'H-MO'!$N$77</f>
        <v>725918.52892505517</v>
      </c>
      <c r="E6771" s="31">
        <f>+D6771/8</f>
        <v>90739.816115631897</v>
      </c>
      <c r="F6771" s="32"/>
      <c r="G6771" s="33">
        <f>+E6771*F6771</f>
        <v>0</v>
      </c>
    </row>
    <row r="6772" spans="1:8">
      <c r="A6772" s="211" t="s">
        <v>518</v>
      </c>
      <c r="B6772" s="216" t="str">
        <f ca="1">_xlfn.CONCAT(B6736,A6772)</f>
        <v>D1E4D6E-ai</v>
      </c>
      <c r="C6772" s="34" t="s">
        <v>30</v>
      </c>
      <c r="D6772" s="187">
        <f>'H-MO'!$N$86</f>
        <v>685561.39085756091</v>
      </c>
      <c r="E6772" s="29">
        <f>+D6772/8</f>
        <v>85695.173857195114</v>
      </c>
      <c r="F6772" s="28">
        <v>3</v>
      </c>
      <c r="G6772" s="33">
        <f>+E6772*F6772</f>
        <v>257085.52157158533</v>
      </c>
    </row>
    <row r="6773" spans="1:8" ht="14.25" thickBot="1">
      <c r="A6773" s="211" t="s">
        <v>519</v>
      </c>
      <c r="B6773" s="216" t="str">
        <f ca="1">_xlfn.CONCAT(B6736,A6773)</f>
        <v>D1E4D6E-aj</v>
      </c>
      <c r="C6773" s="34"/>
      <c r="D6773" s="187"/>
      <c r="E6773" s="29"/>
      <c r="F6773" s="28"/>
      <c r="G6773" s="33">
        <f>+E6773*F6773</f>
        <v>0</v>
      </c>
    </row>
    <row r="6774" spans="1:8" ht="14.25" thickBot="1">
      <c r="A6774" s="211" t="s">
        <v>520</v>
      </c>
      <c r="B6774" s="216" t="str">
        <f ca="1">_xlfn.CONCAT(B6736,A6774)</f>
        <v>D1E4D6E-ak</v>
      </c>
      <c r="C6774" s="34"/>
      <c r="D6774" s="185"/>
      <c r="E6774" s="26"/>
      <c r="F6774" s="36" t="s">
        <v>31</v>
      </c>
      <c r="G6774" s="23">
        <f>SUM(G6771:G6773)</f>
        <v>257085.52157158533</v>
      </c>
    </row>
    <row r="6775" spans="1:8" ht="14.25" thickBot="1">
      <c r="A6775" s="211" t="s">
        <v>521</v>
      </c>
      <c r="B6775" s="216" t="str">
        <f ca="1">_xlfn.CONCAT(B6736,A6775)</f>
        <v>D1E4D6E-al</v>
      </c>
      <c r="C6775" s="37"/>
      <c r="E6775" s="38"/>
      <c r="F6775" s="22"/>
      <c r="G6775" s="39"/>
    </row>
    <row r="6776" spans="1:8" ht="16.5" thickBot="1">
      <c r="A6776" s="211" t="s">
        <v>522</v>
      </c>
      <c r="B6776" s="216" t="str">
        <f ca="1">_xlfn.CONCAT(B6736,A6776)</f>
        <v>D1E4D6E-am</v>
      </c>
      <c r="C6776" s="40"/>
      <c r="D6776" s="193"/>
      <c r="E6776" s="41"/>
      <c r="F6776" s="42"/>
      <c r="G6776" s="43">
        <f>+G6759+G6768+G6774</f>
        <v>649293.80282158533</v>
      </c>
    </row>
    <row r="6777" spans="1:8" ht="21.75" thickBot="1">
      <c r="B6777" s="212" t="s">
        <v>550</v>
      </c>
      <c r="C6777" s="2"/>
      <c r="D6777" s="183"/>
      <c r="F6777" s="4"/>
      <c r="G6777" s="5"/>
    </row>
    <row r="6778" spans="1:8" ht="18.75">
      <c r="A6778" s="213"/>
      <c r="B6778" s="214">
        <v>154</v>
      </c>
      <c r="C6778" s="242" t="str">
        <f ca="1">_xlfn.XLOOKUP(B6778,Cantidades!$A$10:$A$314,Cantidades!$C$10:$C$314,,0,1)</f>
        <v>Suministro e instalación de acometida en cable de cobre  (4x((3x500MCM) + (1x(1x350MCM)))) + (1xN°2/0 AWG) THHN/THWN-2, 90°C, TC 600V.</v>
      </c>
      <c r="D6778" s="243"/>
      <c r="E6778" s="243"/>
      <c r="F6778" s="243"/>
      <c r="G6778" s="244"/>
      <c r="H6778" s="213"/>
    </row>
    <row r="6779" spans="1:8" ht="19.5" thickBot="1">
      <c r="A6779" s="215"/>
      <c r="B6779" s="216" t="s">
        <v>550</v>
      </c>
      <c r="C6779" s="177"/>
      <c r="D6779" s="189"/>
      <c r="E6779" s="178"/>
      <c r="F6779" s="179" t="s">
        <v>636</v>
      </c>
      <c r="G6779" s="209" t="str">
        <f ca="1">B6780</f>
        <v>334C2BB-</v>
      </c>
      <c r="H6779" s="215"/>
    </row>
    <row r="6780" spans="1:8" ht="15.75" thickBot="1">
      <c r="B6780" s="212" t="str">
        <f ca="1">_xlfn.XLOOKUP(C6778,Cantidades!$C$1:$C$314,Cantidades!$B$1:$B$314,"",0,1)</f>
        <v>334C2BB-</v>
      </c>
      <c r="C6780" s="10" t="s">
        <v>0</v>
      </c>
      <c r="D6780" s="190"/>
      <c r="E6780" s="11"/>
      <c r="F6780" s="12"/>
      <c r="G6780" s="13"/>
    </row>
    <row r="6781" spans="1:8" ht="14.25" thickBot="1">
      <c r="A6781" s="215"/>
      <c r="B6781" s="216" t="s">
        <v>550</v>
      </c>
      <c r="C6781" s="14" t="s">
        <v>1</v>
      </c>
      <c r="D6781" s="15" t="s">
        <v>2</v>
      </c>
      <c r="E6781" s="15" t="s">
        <v>3</v>
      </c>
      <c r="F6781" s="16" t="s">
        <v>4</v>
      </c>
      <c r="G6781" s="15" t="s">
        <v>5</v>
      </c>
      <c r="H6781" s="215"/>
    </row>
    <row r="6782" spans="1:8" ht="15">
      <c r="A6782" s="211" t="s">
        <v>484</v>
      </c>
      <c r="B6782" s="216" t="str">
        <f ca="1">_xlfn.CONCAT(B6780,A6782)</f>
        <v>334C2BB-A</v>
      </c>
      <c r="C6782" s="17" t="str">
        <f>_xlfn.XLOOKUP(H6782,'Materiales unitario'!$A$1:$A$2500,'Materiales unitario'!B$1:B$2500,,0,1)</f>
        <v>Cinta aislante Super #33 x 20 mts</v>
      </c>
      <c r="D6782" s="184" t="str">
        <f>_xlfn.XLOOKUP(H6782,'Materiales unitario'!A$1:A$2500,'Materiales unitario'!C$1:C$2500,,0,1)</f>
        <v>rl</v>
      </c>
      <c r="E6782" s="197">
        <f>_xlfn.XLOOKUP(H6782,'Materiales unitario'!$A$1:$A$2500,'Materiales unitario'!D$1:D$2500,,0,1)</f>
        <v>23650.000000000004</v>
      </c>
      <c r="F6782" s="19">
        <v>0.05</v>
      </c>
      <c r="G6782" s="20">
        <f t="shared" ref="G6782:G6789" si="189">+E6782*F6782</f>
        <v>1182.5000000000002</v>
      </c>
      <c r="H6782" s="217" t="s">
        <v>296</v>
      </c>
    </row>
    <row r="6783" spans="1:8" ht="15">
      <c r="A6783" s="211" t="s">
        <v>485</v>
      </c>
      <c r="B6783" s="216" t="str">
        <f ca="1">_xlfn.CONCAT(B6780,A6783)</f>
        <v>334C2BB-B</v>
      </c>
      <c r="C6783" s="17" t="str">
        <f>_xlfn.XLOOKUP(H6783,'Materiales unitario'!$A$1:$A$2500,'Materiales unitario'!B$1:B$2500,,0,1)</f>
        <v>Cable de cobre aislado #500 MCM-THHN/THWN Color negro</v>
      </c>
      <c r="D6783" s="184" t="str">
        <f>_xlfn.XLOOKUP(H6783,'Materiales unitario'!A$1:A$2500,'Materiales unitario'!C$1:C$2500,,0,1)</f>
        <v>ml</v>
      </c>
      <c r="E6783" s="197">
        <f>_xlfn.XLOOKUP(H6783,'Materiales unitario'!$A$1:$A$2500,'Materiales unitario'!D$1:D$2500,,0,1)</f>
        <v>175950</v>
      </c>
      <c r="F6783" s="19">
        <v>12.6</v>
      </c>
      <c r="G6783" s="20">
        <f t="shared" si="189"/>
        <v>2216970</v>
      </c>
      <c r="H6783" s="217" t="s">
        <v>1302</v>
      </c>
    </row>
    <row r="6784" spans="1:8" ht="15">
      <c r="A6784" s="211" t="s">
        <v>486</v>
      </c>
      <c r="B6784" s="216" t="str">
        <f ca="1">_xlfn.CONCAT(B6780,A6784)</f>
        <v>334C2BB-C</v>
      </c>
      <c r="C6784" s="17" t="str">
        <f>_xlfn.XLOOKUP(H6784,'Materiales unitario'!$A$1:$A$2500,'Materiales unitario'!B$1:B$2500,,0,1)</f>
        <v>Cable de cobre aislado #350 MCM-THHN/THWN Color negro</v>
      </c>
      <c r="D6784" s="184" t="str">
        <f>_xlfn.XLOOKUP(H6784,'Materiales unitario'!A$1:A$2500,'Materiales unitario'!C$1:C$2500,,0,1)</f>
        <v>ml</v>
      </c>
      <c r="E6784" s="197">
        <f>_xlfn.XLOOKUP(H6784,'Materiales unitario'!$A$1:$A$2500,'Materiales unitario'!D$1:D$2500,,0,1)</f>
        <v>132540</v>
      </c>
      <c r="F6784" s="19">
        <v>4.2</v>
      </c>
      <c r="G6784" s="20">
        <f t="shared" si="189"/>
        <v>556668</v>
      </c>
      <c r="H6784" s="217" t="s">
        <v>270</v>
      </c>
    </row>
    <row r="6785" spans="1:8" ht="15">
      <c r="A6785" s="211" t="s">
        <v>487</v>
      </c>
      <c r="B6785" s="216" t="str">
        <f ca="1">_xlfn.CONCAT(B6780,A6785)</f>
        <v>334C2BB-D</v>
      </c>
      <c r="C6785" s="17" t="str">
        <f>_xlfn.XLOOKUP(H6785,'Materiales unitario'!$A$1:$A$2500,'Materiales unitario'!B$1:B$2500,,0,1)</f>
        <v>Cable de cobre aislado #2/0 AWG-THHN/THWN Color negro</v>
      </c>
      <c r="D6785" s="184" t="str">
        <f>_xlfn.XLOOKUP(H6785,'Materiales unitario'!A$1:A$2500,'Materiales unitario'!C$1:C$2500,,0,1)</f>
        <v>ml</v>
      </c>
      <c r="E6785" s="197">
        <f>_xlfn.XLOOKUP(H6785,'Materiales unitario'!$A$1:$A$2500,'Materiales unitario'!D$1:D$2500,,0,1)</f>
        <v>46800</v>
      </c>
      <c r="F6785" s="19">
        <v>4.2</v>
      </c>
      <c r="G6785" s="20">
        <f t="shared" si="189"/>
        <v>196560</v>
      </c>
      <c r="H6785" s="217" t="s">
        <v>269</v>
      </c>
    </row>
    <row r="6786" spans="1:8" ht="15">
      <c r="A6786" s="211" t="s">
        <v>488</v>
      </c>
      <c r="B6786" s="216" t="str">
        <f ca="1">_xlfn.CONCAT(B6780,A6786)</f>
        <v>334C2BB-E</v>
      </c>
      <c r="C6786" s="17" t="str">
        <f>_xlfn.XLOOKUP(H6786,'Materiales unitario'!$A$1:$A$2500,'Materiales unitario'!B$1:B$2500,,0,1)</f>
        <v>Borna terminal estañada  de ojo tipo pala #500 MCM</v>
      </c>
      <c r="D6786" s="184" t="str">
        <f>_xlfn.XLOOKUP(H6786,'Materiales unitario'!A$1:A$2500,'Materiales unitario'!C$1:C$2500,,0,1)</f>
        <v>un</v>
      </c>
      <c r="E6786" s="197">
        <f>_xlfn.XLOOKUP(H6786,'Materiales unitario'!$A$1:$A$2500,'Materiales unitario'!D$1:D$2500,,0,1)</f>
        <v>55200</v>
      </c>
      <c r="F6786" s="19">
        <v>1</v>
      </c>
      <c r="G6786" s="20">
        <f t="shared" si="189"/>
        <v>55200</v>
      </c>
      <c r="H6786" s="217" t="s">
        <v>1304</v>
      </c>
    </row>
    <row r="6787" spans="1:8" ht="15">
      <c r="A6787" s="211" t="s">
        <v>489</v>
      </c>
      <c r="B6787" s="216" t="str">
        <f ca="1">_xlfn.CONCAT(B6780,A6787)</f>
        <v>334C2BB-F</v>
      </c>
      <c r="C6787" s="17" t="str">
        <f>_xlfn.XLOOKUP(H6787,'Materiales unitario'!$A$1:$A$2500,'Materiales unitario'!B$1:B$2500,,0,1)</f>
        <v>Borna terminal estañada  de ojo tipo pala #350 MCM</v>
      </c>
      <c r="D6787" s="184" t="str">
        <f>_xlfn.XLOOKUP(H6787,'Materiales unitario'!A$1:A$2500,'Materiales unitario'!C$1:C$2500,,0,1)</f>
        <v>un</v>
      </c>
      <c r="E6787" s="197">
        <f>_xlfn.XLOOKUP(H6787,'Materiales unitario'!$A$1:$A$2500,'Materiales unitario'!D$1:D$2500,,0,1)</f>
        <v>22100</v>
      </c>
      <c r="F6787" s="19">
        <v>0.25</v>
      </c>
      <c r="G6787" s="20">
        <f t="shared" si="189"/>
        <v>5525</v>
      </c>
      <c r="H6787" s="217" t="s">
        <v>560</v>
      </c>
    </row>
    <row r="6788" spans="1:8" ht="15">
      <c r="A6788" s="211" t="s">
        <v>490</v>
      </c>
      <c r="B6788" s="216" t="str">
        <f ca="1">_xlfn.CONCAT(B6780,A6788)</f>
        <v>334C2BB-G</v>
      </c>
      <c r="C6788" s="17" t="str">
        <f>_xlfn.XLOOKUP(H6788,'Materiales unitario'!$A$1:$A$2500,'Materiales unitario'!B$1:B$2500,,0,1)</f>
        <v>Borna terminal estañada  de ojo tipo pala #2/0 AWG</v>
      </c>
      <c r="D6788" s="184" t="str">
        <f>_xlfn.XLOOKUP(H6788,'Materiales unitario'!A$1:A$2500,'Materiales unitario'!C$1:C$2500,,0,1)</f>
        <v>un</v>
      </c>
      <c r="E6788" s="197">
        <f>_xlfn.XLOOKUP(H6788,'Materiales unitario'!$A$1:$A$2500,'Materiales unitario'!D$1:D$2500,,0,1)</f>
        <v>7120</v>
      </c>
      <c r="F6788" s="19">
        <v>0.25</v>
      </c>
      <c r="G6788" s="20">
        <f t="shared" si="189"/>
        <v>1780</v>
      </c>
      <c r="H6788" s="217" t="s">
        <v>249</v>
      </c>
    </row>
    <row r="6789" spans="1:8" ht="15">
      <c r="A6789" s="211" t="s">
        <v>491</v>
      </c>
      <c r="B6789" s="216" t="str">
        <f ca="1">_xlfn.CONCAT(B6780,A6789)</f>
        <v>334C2BB-H</v>
      </c>
      <c r="C6789" s="17" t="str">
        <f>_xlfn.XLOOKUP(H6789,'Materiales unitario'!$A$1:$A$2500,'Materiales unitario'!B$1:B$2500,,0,1)</f>
        <v>Termoencogible</v>
      </c>
      <c r="D6789" s="184" t="str">
        <f>_xlfn.XLOOKUP(H6789,'Materiales unitario'!A$1:A$2500,'Materiales unitario'!C$1:C$2500,,0,1)</f>
        <v>un</v>
      </c>
      <c r="E6789" s="197">
        <f>_xlfn.XLOOKUP(H6789,'Materiales unitario'!$A$1:$A$2500,'Materiales unitario'!D$1:D$2500,,0,1)</f>
        <v>5000</v>
      </c>
      <c r="F6789" s="19">
        <v>0.5</v>
      </c>
      <c r="G6789" s="20">
        <f t="shared" si="189"/>
        <v>2500</v>
      </c>
      <c r="H6789" s="217" t="s">
        <v>373</v>
      </c>
    </row>
    <row r="6790" spans="1:8" ht="15">
      <c r="A6790" s="211" t="s">
        <v>492</v>
      </c>
      <c r="B6790" s="216" t="str">
        <f ca="1">_xlfn.CONCAT(B6780,A6790)</f>
        <v>334C2BB-I</v>
      </c>
      <c r="C6790" s="17"/>
      <c r="D6790" s="184"/>
      <c r="E6790" s="197"/>
      <c r="F6790" s="19"/>
      <c r="G6790" s="20"/>
      <c r="H6790" s="217"/>
    </row>
    <row r="6791" spans="1:8" ht="15">
      <c r="A6791" s="211" t="s">
        <v>493</v>
      </c>
      <c r="B6791" s="216" t="str">
        <f ca="1">_xlfn.CONCAT(B6780,A6791)</f>
        <v>334C2BB-J</v>
      </c>
      <c r="C6791" s="17"/>
      <c r="D6791" s="184"/>
      <c r="E6791" s="197"/>
      <c r="F6791" s="19"/>
      <c r="G6791" s="20"/>
      <c r="H6791" s="217"/>
    </row>
    <row r="6792" spans="1:8" ht="15">
      <c r="A6792" s="211" t="s">
        <v>494</v>
      </c>
      <c r="B6792" s="216" t="str">
        <f ca="1">_xlfn.CONCAT(B6780,A6792)</f>
        <v>334C2BB-K</v>
      </c>
      <c r="C6792" s="17"/>
      <c r="D6792" s="184"/>
      <c r="E6792" s="197"/>
      <c r="F6792" s="19"/>
      <c r="G6792" s="20"/>
      <c r="H6792" s="217"/>
    </row>
    <row r="6793" spans="1:8" ht="15">
      <c r="A6793" s="211" t="s">
        <v>495</v>
      </c>
      <c r="B6793" s="216" t="str">
        <f ca="1">_xlfn.CONCAT(B6780,A6793)</f>
        <v>334C2BB-L</v>
      </c>
      <c r="C6793" s="17"/>
      <c r="D6793" s="184"/>
      <c r="E6793" s="197"/>
      <c r="F6793" s="19"/>
      <c r="G6793" s="20"/>
      <c r="H6793" s="217"/>
    </row>
    <row r="6794" spans="1:8" ht="15">
      <c r="A6794" s="211" t="s">
        <v>496</v>
      </c>
      <c r="B6794" s="216" t="str">
        <f ca="1">_xlfn.CONCAT(B6780,A6794)</f>
        <v>334C2BB-M</v>
      </c>
      <c r="C6794" s="17"/>
      <c r="D6794" s="184"/>
      <c r="E6794" s="197"/>
      <c r="F6794" s="19"/>
      <c r="G6794" s="20"/>
      <c r="H6794" s="217"/>
    </row>
    <row r="6795" spans="1:8">
      <c r="A6795" s="211" t="s">
        <v>497</v>
      </c>
      <c r="B6795" s="216" t="str">
        <f ca="1">_xlfn.CONCAT(B6780,A6795)</f>
        <v>334C2BB-N</v>
      </c>
      <c r="C6795" s="17"/>
      <c r="D6795" s="184"/>
      <c r="E6795" s="197"/>
      <c r="F6795" s="19"/>
      <c r="G6795" s="20"/>
    </row>
    <row r="6796" spans="1:8">
      <c r="A6796" s="211" t="s">
        <v>498</v>
      </c>
      <c r="B6796" s="216" t="str">
        <f ca="1">_xlfn.CONCAT(B6780,A6796)</f>
        <v>334C2BB-O</v>
      </c>
      <c r="C6796" s="17"/>
      <c r="D6796" s="184"/>
      <c r="E6796" s="197"/>
      <c r="F6796" s="19"/>
      <c r="G6796" s="20"/>
    </row>
    <row r="6797" spans="1:8">
      <c r="A6797" s="211" t="s">
        <v>499</v>
      </c>
      <c r="B6797" s="216" t="str">
        <f ca="1">_xlfn.CONCAT(B6780,A6797)</f>
        <v>334C2BB-P</v>
      </c>
      <c r="C6797" s="17"/>
      <c r="D6797" s="184"/>
      <c r="E6797" s="197"/>
      <c r="F6797" s="19"/>
      <c r="G6797" s="20"/>
    </row>
    <row r="6798" spans="1:8">
      <c r="A6798" s="211" t="s">
        <v>500</v>
      </c>
      <c r="B6798" s="216" t="str">
        <f ca="1">_xlfn.CONCAT(B6780,A6798)</f>
        <v>334C2BB-Q</v>
      </c>
      <c r="C6798" s="17"/>
      <c r="D6798" s="184"/>
      <c r="E6798" s="197"/>
      <c r="F6798" s="19"/>
      <c r="G6798" s="20"/>
    </row>
    <row r="6799" spans="1:8">
      <c r="A6799" s="211" t="s">
        <v>501</v>
      </c>
      <c r="B6799" s="216" t="str">
        <f ca="1">_xlfn.CONCAT(B6780,A6799)</f>
        <v>334C2BB-R</v>
      </c>
      <c r="C6799" s="17"/>
      <c r="D6799" s="184"/>
      <c r="E6799" s="197"/>
      <c r="F6799" s="19"/>
      <c r="G6799" s="20"/>
    </row>
    <row r="6800" spans="1:8">
      <c r="A6800" s="211" t="s">
        <v>502</v>
      </c>
      <c r="B6800" s="216" t="str">
        <f ca="1">_xlfn.CONCAT(B6780,A6800)</f>
        <v>334C2BB-S</v>
      </c>
      <c r="C6800" s="17"/>
      <c r="D6800" s="184"/>
      <c r="E6800" s="197"/>
      <c r="F6800" s="19"/>
      <c r="G6800" s="20"/>
    </row>
    <row r="6801" spans="1:8">
      <c r="A6801" s="211" t="s">
        <v>503</v>
      </c>
      <c r="B6801" s="216" t="str">
        <f ca="1">_xlfn.CONCAT(B6780,A6801)</f>
        <v>334C2BB-T</v>
      </c>
      <c r="C6801" s="17"/>
      <c r="D6801" s="184"/>
      <c r="E6801" s="197"/>
      <c r="F6801" s="19"/>
      <c r="G6801" s="20"/>
    </row>
    <row r="6802" spans="1:8" ht="14.25" thickBot="1">
      <c r="A6802" s="211" t="s">
        <v>504</v>
      </c>
      <c r="B6802" s="216" t="str">
        <f ca="1">_xlfn.CONCAT(B6780,A6802)</f>
        <v>334C2BB-U</v>
      </c>
      <c r="C6802" s="17"/>
      <c r="D6802" s="184"/>
      <c r="E6802" s="197"/>
      <c r="F6802" s="19"/>
      <c r="G6802" s="20"/>
    </row>
    <row r="6803" spans="1:8" ht="14.25" thickBot="1">
      <c r="A6803" s="211" t="s">
        <v>505</v>
      </c>
      <c r="B6803" s="216" t="str">
        <f ca="1">_xlfn.CONCAT(B6780,A6803)</f>
        <v>334C2BB-V</v>
      </c>
      <c r="C6803" s="17" t="s">
        <v>17</v>
      </c>
      <c r="D6803" s="192" t="s">
        <v>17</v>
      </c>
      <c r="E6803" s="18"/>
      <c r="F6803" s="22" t="s">
        <v>18</v>
      </c>
      <c r="G6803" s="23">
        <f>SUM(G6782:G6802)</f>
        <v>3036385.5</v>
      </c>
    </row>
    <row r="6804" spans="1:8" ht="15.75" thickBot="1">
      <c r="A6804" s="211" t="s">
        <v>506</v>
      </c>
      <c r="B6804" s="216" t="str">
        <f ca="1">_xlfn.CONCAT(B6780,A6804)</f>
        <v>334C2BB-W</v>
      </c>
      <c r="C6804" s="10" t="s">
        <v>19</v>
      </c>
      <c r="D6804" s="190"/>
      <c r="E6804" s="11"/>
      <c r="F6804" s="12"/>
      <c r="G6804" s="13"/>
    </row>
    <row r="6805" spans="1:8" ht="14.25" thickBot="1">
      <c r="A6805" s="211" t="s">
        <v>507</v>
      </c>
      <c r="B6805" s="216" t="str">
        <f ca="1">_xlfn.CONCAT(B6780,A6805)</f>
        <v>334C2BB-X</v>
      </c>
      <c r="C6805" s="14" t="s">
        <v>1</v>
      </c>
      <c r="D6805" s="15"/>
      <c r="E6805" s="15" t="s">
        <v>20</v>
      </c>
      <c r="F6805" s="16" t="s">
        <v>21</v>
      </c>
      <c r="G6805" s="15" t="s">
        <v>5</v>
      </c>
      <c r="H6805" s="215"/>
    </row>
    <row r="6806" spans="1:8">
      <c r="A6806" s="211" t="s">
        <v>508</v>
      </c>
      <c r="B6806" s="216" t="str">
        <f ca="1">_xlfn.CONCAT(B6780,A6806)</f>
        <v>334C2BB-Y</v>
      </c>
      <c r="C6806" s="24" t="s">
        <v>22</v>
      </c>
      <c r="D6806" s="184"/>
      <c r="E6806" s="25">
        <f>_xlfn.XLOOKUP(C6806,'H-MO'!B$7:B$30,'H-MO'!D$7:D$30,,0,1)</f>
        <v>2436.5624999999995</v>
      </c>
      <c r="F6806" s="19">
        <v>4</v>
      </c>
      <c r="G6806" s="33">
        <f t="shared" ref="G6806:G6811" si="190">+E6806*F6806</f>
        <v>9746.2499999999982</v>
      </c>
    </row>
    <row r="6807" spans="1:8">
      <c r="A6807" s="211" t="s">
        <v>509</v>
      </c>
      <c r="B6807" s="216" t="str">
        <f ca="1">_xlfn.CONCAT(B6780,A6807)</f>
        <v>334C2BB-Z</v>
      </c>
      <c r="C6807" s="24" t="s">
        <v>23</v>
      </c>
      <c r="D6807" s="184"/>
      <c r="E6807" s="25">
        <f>_xlfn.XLOOKUP(C6807,'H-MO'!B$7:B$30,'H-MO'!D$7:D$30,,0,1)</f>
        <v>1461.9374999999998</v>
      </c>
      <c r="F6807" s="19">
        <v>0.5</v>
      </c>
      <c r="G6807" s="33">
        <f t="shared" si="190"/>
        <v>730.96874999999989</v>
      </c>
    </row>
    <row r="6808" spans="1:8">
      <c r="A6808" s="211" t="s">
        <v>510</v>
      </c>
      <c r="B6808" s="216" t="str">
        <f ca="1">_xlfn.CONCAT(B6780,A6808)</f>
        <v>334C2BB-aa</v>
      </c>
      <c r="C6808" s="24" t="s">
        <v>24</v>
      </c>
      <c r="D6808" s="185"/>
      <c r="E6808" s="25">
        <f>_xlfn.XLOOKUP(C6808,'H-MO'!B$7:B$30,'H-MO'!D$7:D$30,,0,1)</f>
        <v>29238.749999999996</v>
      </c>
      <c r="F6808" s="28">
        <v>0.3</v>
      </c>
      <c r="G6808" s="33">
        <f t="shared" si="190"/>
        <v>8771.6249999999982</v>
      </c>
    </row>
    <row r="6809" spans="1:8">
      <c r="A6809" s="211" t="s">
        <v>511</v>
      </c>
      <c r="B6809" s="216" t="str">
        <f ca="1">_xlfn.CONCAT(B6780,A6809)</f>
        <v>334C2BB-ab</v>
      </c>
      <c r="C6809" s="24" t="s">
        <v>25</v>
      </c>
      <c r="D6809" s="185"/>
      <c r="E6809" s="25">
        <f>_xlfn.XLOOKUP(C6809,'H-MO'!B$7:B$30,'H-MO'!D$7:D$30,,0,1)</f>
        <v>2761.4374999999995</v>
      </c>
      <c r="F6809" s="28">
        <v>2</v>
      </c>
      <c r="G6809" s="33">
        <f t="shared" si="190"/>
        <v>5522.8749999999991</v>
      </c>
    </row>
    <row r="6810" spans="1:8">
      <c r="A6810" s="211" t="s">
        <v>512</v>
      </c>
      <c r="B6810" s="216" t="str">
        <f ca="1">_xlfn.CONCAT(B6780,A6810)</f>
        <v>334C2BB-ac</v>
      </c>
      <c r="C6810" s="24"/>
      <c r="D6810" s="185"/>
      <c r="E6810" s="29"/>
      <c r="F6810" s="28"/>
      <c r="G6810" s="33">
        <f t="shared" si="190"/>
        <v>0</v>
      </c>
    </row>
    <row r="6811" spans="1:8" ht="14.25" thickBot="1">
      <c r="A6811" s="211" t="s">
        <v>513</v>
      </c>
      <c r="B6811" s="216" t="str">
        <f ca="1">_xlfn.CONCAT(B6780,A6811)</f>
        <v>334C2BB-ad</v>
      </c>
      <c r="C6811" s="24"/>
      <c r="D6811" s="185"/>
      <c r="E6811" s="29"/>
      <c r="F6811" s="28"/>
      <c r="G6811" s="33">
        <f t="shared" si="190"/>
        <v>0</v>
      </c>
    </row>
    <row r="6812" spans="1:8" ht="14.25" thickBot="1">
      <c r="A6812" s="211" t="s">
        <v>514</v>
      </c>
      <c r="B6812" s="216" t="str">
        <f ca="1">_xlfn.CONCAT(B6780,A6812)</f>
        <v>334C2BB-ae</v>
      </c>
      <c r="C6812" s="17"/>
      <c r="D6812" s="192"/>
      <c r="E6812" s="18"/>
      <c r="F6812" s="22" t="s">
        <v>26</v>
      </c>
      <c r="G6812" s="23">
        <f>SUM(G6806:G6811)</f>
        <v>24771.718749999996</v>
      </c>
    </row>
    <row r="6813" spans="1:8" ht="15.75" thickBot="1">
      <c r="A6813" s="211" t="s">
        <v>515</v>
      </c>
      <c r="B6813" s="216" t="str">
        <f ca="1">_xlfn.CONCAT(B6780,A6813)</f>
        <v>334C2BB-af</v>
      </c>
      <c r="C6813" s="10" t="s">
        <v>27</v>
      </c>
      <c r="D6813" s="190"/>
      <c r="E6813" s="11"/>
      <c r="F6813" s="12"/>
      <c r="G6813" s="13"/>
    </row>
    <row r="6814" spans="1:8" ht="14.25" thickBot="1">
      <c r="A6814" s="211" t="s">
        <v>516</v>
      </c>
      <c r="B6814" s="216" t="str">
        <f ca="1">_xlfn.CONCAT(B6780,A6814)</f>
        <v>334C2BB-ag</v>
      </c>
      <c r="C6814" s="14" t="s">
        <v>1</v>
      </c>
      <c r="D6814" s="15" t="s">
        <v>28</v>
      </c>
      <c r="E6814" s="15" t="s">
        <v>20</v>
      </c>
      <c r="F6814" s="16" t="s">
        <v>21</v>
      </c>
      <c r="G6814" s="15" t="s">
        <v>5</v>
      </c>
      <c r="H6814" s="215"/>
    </row>
    <row r="6815" spans="1:8">
      <c r="A6815" s="211" t="s">
        <v>517</v>
      </c>
      <c r="B6815" s="216" t="str">
        <f ca="1">_xlfn.CONCAT(B6780,A6815)</f>
        <v>334C2BB-ah</v>
      </c>
      <c r="C6815" s="30" t="s">
        <v>29</v>
      </c>
      <c r="D6815" s="186">
        <f>'H-MO'!$N$77</f>
        <v>725918.52892505517</v>
      </c>
      <c r="E6815" s="31">
        <f>+D6815/8</f>
        <v>90739.816115631897</v>
      </c>
      <c r="F6815" s="32">
        <v>4.57</v>
      </c>
      <c r="G6815" s="33">
        <f>+E6815*F6815</f>
        <v>414680.9596484378</v>
      </c>
      <c r="H6815" s="229"/>
    </row>
    <row r="6816" spans="1:8">
      <c r="A6816" s="211" t="s">
        <v>518</v>
      </c>
      <c r="B6816" s="216" t="str">
        <f ca="1">_xlfn.CONCAT(B6780,A6816)</f>
        <v>334C2BB-ai</v>
      </c>
      <c r="C6816" s="34" t="s">
        <v>30</v>
      </c>
      <c r="D6816" s="187">
        <f>'H-MO'!$N$86</f>
        <v>685561.39085756091</v>
      </c>
      <c r="E6816" s="29">
        <f>+D6816/8</f>
        <v>85695.173857195114</v>
      </c>
      <c r="F6816" s="28"/>
      <c r="G6816" s="33">
        <f>+E6816*F6816</f>
        <v>0</v>
      </c>
    </row>
    <row r="6817" spans="1:8" ht="14.25" thickBot="1">
      <c r="A6817" s="211" t="s">
        <v>519</v>
      </c>
      <c r="B6817" s="216" t="str">
        <f ca="1">_xlfn.CONCAT(B6780,A6817)</f>
        <v>334C2BB-aj</v>
      </c>
      <c r="C6817" s="34"/>
      <c r="D6817" s="187"/>
      <c r="E6817" s="29"/>
      <c r="F6817" s="28"/>
      <c r="G6817" s="33">
        <f>+E6817*F6817</f>
        <v>0</v>
      </c>
    </row>
    <row r="6818" spans="1:8" ht="14.25" thickBot="1">
      <c r="A6818" s="211" t="s">
        <v>520</v>
      </c>
      <c r="B6818" s="216" t="str">
        <f ca="1">_xlfn.CONCAT(B6780,A6818)</f>
        <v>334C2BB-ak</v>
      </c>
      <c r="C6818" s="34"/>
      <c r="D6818" s="185"/>
      <c r="E6818" s="26"/>
      <c r="F6818" s="36" t="s">
        <v>31</v>
      </c>
      <c r="G6818" s="23">
        <f>SUM(G6815:G6817)</f>
        <v>414680.9596484378</v>
      </c>
    </row>
    <row r="6819" spans="1:8" ht="14.25" thickBot="1">
      <c r="A6819" s="211" t="s">
        <v>521</v>
      </c>
      <c r="B6819" s="216" t="str">
        <f ca="1">_xlfn.CONCAT(B6780,A6819)</f>
        <v>334C2BB-al</v>
      </c>
      <c r="C6819" s="37"/>
      <c r="E6819" s="38"/>
      <c r="F6819" s="22"/>
      <c r="G6819" s="39"/>
    </row>
    <row r="6820" spans="1:8" ht="16.5" thickBot="1">
      <c r="A6820" s="211" t="s">
        <v>522</v>
      </c>
      <c r="B6820" s="216" t="str">
        <f ca="1">_xlfn.CONCAT(B6780,A6820)</f>
        <v>334C2BB-am</v>
      </c>
      <c r="C6820" s="40"/>
      <c r="D6820" s="193"/>
      <c r="E6820" s="41"/>
      <c r="F6820" s="42"/>
      <c r="G6820" s="43">
        <f>+G6803+G6812+G6818</f>
        <v>3475838.1783984378</v>
      </c>
    </row>
    <row r="6821" spans="1:8" ht="21.75" thickBot="1">
      <c r="B6821" s="212" t="s">
        <v>550</v>
      </c>
      <c r="C6821" s="2"/>
      <c r="D6821" s="183"/>
      <c r="F6821" s="4"/>
      <c r="G6821" s="5"/>
    </row>
    <row r="6822" spans="1:8" ht="18.75">
      <c r="A6822" s="213"/>
      <c r="B6822" s="214">
        <v>155</v>
      </c>
      <c r="C6822" s="242" t="str">
        <f ca="1">_xlfn.XLOOKUP(B6822,Cantidades!$A$10:$A$314,Cantidades!$C$10:$C$314,,0,1)</f>
        <v>Suministro e instalación de acometida en cable de cobre  3#4/0 + 1#2/0 + 1# 2T AWG THHN/THWN-2, 90°C, TC 600V.</v>
      </c>
      <c r="D6822" s="243"/>
      <c r="E6822" s="243"/>
      <c r="F6822" s="243"/>
      <c r="G6822" s="244"/>
      <c r="H6822" s="213"/>
    </row>
    <row r="6823" spans="1:8" ht="19.5" thickBot="1">
      <c r="A6823" s="215"/>
      <c r="B6823" s="216" t="s">
        <v>550</v>
      </c>
      <c r="C6823" s="177"/>
      <c r="D6823" s="189"/>
      <c r="E6823" s="178"/>
      <c r="F6823" s="179" t="s">
        <v>636</v>
      </c>
      <c r="G6823" s="209" t="str">
        <f ca="1">B6824</f>
        <v>2EE83F03-</v>
      </c>
      <c r="H6823" s="215"/>
    </row>
    <row r="6824" spans="1:8" ht="15.75" thickBot="1">
      <c r="B6824" s="212" t="str">
        <f ca="1">_xlfn.XLOOKUP(C6822,Cantidades!$C$1:$C$314,Cantidades!$B$1:$B$314,"",0,1)</f>
        <v>2EE83F03-</v>
      </c>
      <c r="C6824" s="10" t="s">
        <v>0</v>
      </c>
      <c r="D6824" s="190"/>
      <c r="E6824" s="11"/>
      <c r="F6824" s="12"/>
      <c r="G6824" s="13"/>
    </row>
    <row r="6825" spans="1:8" ht="14.25" thickBot="1">
      <c r="A6825" s="215"/>
      <c r="B6825" s="216" t="s">
        <v>550</v>
      </c>
      <c r="C6825" s="14" t="s">
        <v>1</v>
      </c>
      <c r="D6825" s="15" t="s">
        <v>2</v>
      </c>
      <c r="E6825" s="15" t="s">
        <v>3</v>
      </c>
      <c r="F6825" s="16" t="s">
        <v>4</v>
      </c>
      <c r="G6825" s="15" t="s">
        <v>5</v>
      </c>
      <c r="H6825" s="215"/>
    </row>
    <row r="6826" spans="1:8" ht="15">
      <c r="A6826" s="211" t="s">
        <v>484</v>
      </c>
      <c r="B6826" s="216" t="str">
        <f ca="1">_xlfn.CONCAT(B6824,A6826)</f>
        <v>2EE83F03-A</v>
      </c>
      <c r="C6826" s="17" t="str">
        <f>_xlfn.XLOOKUP(H6826,'Materiales unitario'!$A$1:$A$2500,'Materiales unitario'!B$1:B$2500,,0,1)</f>
        <v>Cinta aislante Super #33 x 20 mts</v>
      </c>
      <c r="D6826" s="184" t="str">
        <f>_xlfn.XLOOKUP(H6826,'Materiales unitario'!A$1:A$2500,'Materiales unitario'!C$1:C$2500,,0,1)</f>
        <v>rl</v>
      </c>
      <c r="E6826" s="197">
        <f>_xlfn.XLOOKUP(H6826,'Materiales unitario'!$A$1:$A$2500,'Materiales unitario'!D$1:D$2500,,0,1)</f>
        <v>23650.000000000004</v>
      </c>
      <c r="F6826" s="19">
        <v>0.05</v>
      </c>
      <c r="G6826" s="20">
        <f>+E6826*F6826</f>
        <v>1182.5000000000002</v>
      </c>
      <c r="H6826" s="217" t="s">
        <v>296</v>
      </c>
    </row>
    <row r="6827" spans="1:8" ht="15">
      <c r="A6827" s="211" t="s">
        <v>485</v>
      </c>
      <c r="B6827" s="216" t="str">
        <f ca="1">_xlfn.CONCAT(B6824,A6827)</f>
        <v>2EE83F03-B</v>
      </c>
      <c r="C6827" s="17" t="str">
        <f>_xlfn.XLOOKUP(H6827,'Materiales unitario'!$A$1:$A$2500,'Materiales unitario'!B$1:B$2500,,0,1)</f>
        <v>Cable de cobre aislado #4/0 AWG-THHN/THWN Color negro</v>
      </c>
      <c r="D6827" s="184" t="str">
        <f>_xlfn.XLOOKUP(H6827,'Materiales unitario'!A$1:A$2500,'Materiales unitario'!C$1:C$2500,,0,1)</f>
        <v>ml</v>
      </c>
      <c r="E6827" s="197">
        <f>_xlfn.XLOOKUP(H6827,'Materiales unitario'!$A$1:$A$2500,'Materiales unitario'!D$1:D$2500,,0,1)</f>
        <v>72830</v>
      </c>
      <c r="F6827" s="19">
        <v>3.15</v>
      </c>
      <c r="G6827" s="20">
        <f t="shared" ref="G6827:G6833" si="191">+E6827*F6827</f>
        <v>229414.5</v>
      </c>
      <c r="H6827" s="217" t="s">
        <v>272</v>
      </c>
    </row>
    <row r="6828" spans="1:8" ht="15">
      <c r="A6828" s="211" t="s">
        <v>486</v>
      </c>
      <c r="B6828" s="216" t="str">
        <f ca="1">_xlfn.CONCAT(B6824,A6828)</f>
        <v>2EE83F03-C</v>
      </c>
      <c r="C6828" s="17" t="str">
        <f>_xlfn.XLOOKUP(H6828,'Materiales unitario'!$A$1:$A$2500,'Materiales unitario'!B$1:B$2500,,0,1)</f>
        <v>Cable de cobre aislado #2/0 AWG-THHN/THWN Color negro</v>
      </c>
      <c r="D6828" s="184" t="str">
        <f>_xlfn.XLOOKUP(H6828,'Materiales unitario'!A$1:A$2500,'Materiales unitario'!C$1:C$2500,,0,1)</f>
        <v>ml</v>
      </c>
      <c r="E6828" s="197">
        <f>_xlfn.XLOOKUP(H6828,'Materiales unitario'!$A$1:$A$2500,'Materiales unitario'!D$1:D$2500,,0,1)</f>
        <v>46800</v>
      </c>
      <c r="F6828" s="19">
        <v>1.05</v>
      </c>
      <c r="G6828" s="20">
        <f t="shared" si="191"/>
        <v>49140</v>
      </c>
      <c r="H6828" s="217" t="s">
        <v>269</v>
      </c>
    </row>
    <row r="6829" spans="1:8" ht="15">
      <c r="A6829" s="211" t="s">
        <v>487</v>
      </c>
      <c r="B6829" s="216" t="str">
        <f ca="1">_xlfn.CONCAT(B6824,A6829)</f>
        <v>2EE83F03-D</v>
      </c>
      <c r="C6829" s="17" t="str">
        <f>_xlfn.XLOOKUP(H6829,'Materiales unitario'!$A$1:$A$2500,'Materiales unitario'!B$1:B$2500,,0,1)</f>
        <v>Cable de cobre aislado #2 AWG-THHN/THWN Color negro</v>
      </c>
      <c r="D6829" s="184" t="str">
        <f>_xlfn.XLOOKUP(H6829,'Materiales unitario'!A$1:A$2500,'Materiales unitario'!C$1:C$2500,,0,1)</f>
        <v>ml</v>
      </c>
      <c r="E6829" s="197">
        <f>_xlfn.XLOOKUP(H6829,'Materiales unitario'!$A$1:$A$2500,'Materiales unitario'!D$1:D$2500,,0,1)</f>
        <v>23687</v>
      </c>
      <c r="F6829" s="19">
        <v>1.05</v>
      </c>
      <c r="G6829" s="20">
        <f t="shared" si="191"/>
        <v>24871.350000000002</v>
      </c>
      <c r="H6829" s="217" t="s">
        <v>268</v>
      </c>
    </row>
    <row r="6830" spans="1:8" ht="15">
      <c r="A6830" s="211" t="s">
        <v>488</v>
      </c>
      <c r="B6830" s="216" t="str">
        <f ca="1">_xlfn.CONCAT(B6824,A6830)</f>
        <v>2EE83F03-E</v>
      </c>
      <c r="C6830" s="17" t="str">
        <f>_xlfn.XLOOKUP(H6830,'Materiales unitario'!$A$1:$A$2500,'Materiales unitario'!B$1:B$2500,,0,1)</f>
        <v>Borna terminal estañada  de ojo tipo pala #4/0 AWG</v>
      </c>
      <c r="D6830" s="184" t="str">
        <f>_xlfn.XLOOKUP(H6830,'Materiales unitario'!A$1:A$2500,'Materiales unitario'!C$1:C$2500,,0,1)</f>
        <v>un</v>
      </c>
      <c r="E6830" s="197">
        <f>_xlfn.XLOOKUP(H6830,'Materiales unitario'!$A$1:$A$2500,'Materiales unitario'!D$1:D$2500,,0,1)</f>
        <v>9430</v>
      </c>
      <c r="F6830" s="19">
        <v>0.3</v>
      </c>
      <c r="G6830" s="20">
        <f t="shared" si="191"/>
        <v>2829</v>
      </c>
      <c r="H6830" s="217" t="s">
        <v>250</v>
      </c>
    </row>
    <row r="6831" spans="1:8" ht="15">
      <c r="A6831" s="211" t="s">
        <v>489</v>
      </c>
      <c r="B6831" s="216" t="str">
        <f ca="1">_xlfn.CONCAT(B6824,A6831)</f>
        <v>2EE83F03-F</v>
      </c>
      <c r="C6831" s="17" t="str">
        <f>_xlfn.XLOOKUP(H6831,'Materiales unitario'!$A$1:$A$2500,'Materiales unitario'!B$1:B$2500,,0,1)</f>
        <v>Borna terminal estañada  de ojo tipo pala #2/0 AWG</v>
      </c>
      <c r="D6831" s="184" t="str">
        <f>_xlfn.XLOOKUP(H6831,'Materiales unitario'!A$1:A$2500,'Materiales unitario'!C$1:C$2500,,0,1)</f>
        <v>un</v>
      </c>
      <c r="E6831" s="197">
        <f>_xlfn.XLOOKUP(H6831,'Materiales unitario'!$A$1:$A$2500,'Materiales unitario'!D$1:D$2500,,0,1)</f>
        <v>7120</v>
      </c>
      <c r="F6831" s="19">
        <v>0.1</v>
      </c>
      <c r="G6831" s="20">
        <f t="shared" si="191"/>
        <v>712</v>
      </c>
      <c r="H6831" s="217" t="s">
        <v>249</v>
      </c>
    </row>
    <row r="6832" spans="1:8" ht="15">
      <c r="A6832" s="211" t="s">
        <v>490</v>
      </c>
      <c r="B6832" s="216" t="str">
        <f ca="1">_xlfn.CONCAT(B6824,A6832)</f>
        <v>2EE83F03-G</v>
      </c>
      <c r="C6832" s="17" t="str">
        <f>_xlfn.XLOOKUP(H6832,'Materiales unitario'!$A$1:$A$2500,'Materiales unitario'!B$1:B$2500,,0,1)</f>
        <v>Borna terminal estañada de ojo tipo pala #2 AWG</v>
      </c>
      <c r="D6832" s="184" t="str">
        <f>_xlfn.XLOOKUP(H6832,'Materiales unitario'!A$1:A$2500,'Materiales unitario'!C$1:C$2500,,0,1)</f>
        <v>un</v>
      </c>
      <c r="E6832" s="197">
        <f>_xlfn.XLOOKUP(H6832,'Materiales unitario'!$A$1:$A$2500,'Materiales unitario'!D$1:D$2500,,0,1)</f>
        <v>3251</v>
      </c>
      <c r="F6832" s="19">
        <v>0.1</v>
      </c>
      <c r="G6832" s="20">
        <f t="shared" si="191"/>
        <v>325.10000000000002</v>
      </c>
      <c r="H6832" s="217" t="s">
        <v>252</v>
      </c>
    </row>
    <row r="6833" spans="1:8" ht="15">
      <c r="A6833" s="211" t="s">
        <v>491</v>
      </c>
      <c r="B6833" s="216" t="str">
        <f ca="1">_xlfn.CONCAT(B6824,A6833)</f>
        <v>2EE83F03-H</v>
      </c>
      <c r="C6833" s="17" t="str">
        <f>_xlfn.XLOOKUP(H6833,'Materiales unitario'!$A$1:$A$2500,'Materiales unitario'!B$1:B$2500,,0,1)</f>
        <v>Termoencogible</v>
      </c>
      <c r="D6833" s="184" t="str">
        <f>_xlfn.XLOOKUP(H6833,'Materiales unitario'!A$1:A$2500,'Materiales unitario'!C$1:C$2500,,0,1)</f>
        <v>un</v>
      </c>
      <c r="E6833" s="197">
        <f>_xlfn.XLOOKUP(H6833,'Materiales unitario'!$A$1:$A$2500,'Materiales unitario'!D$1:D$2500,,0,1)</f>
        <v>5000</v>
      </c>
      <c r="F6833" s="19">
        <v>0.2</v>
      </c>
      <c r="G6833" s="20">
        <f t="shared" si="191"/>
        <v>1000</v>
      </c>
      <c r="H6833" s="217" t="s">
        <v>373</v>
      </c>
    </row>
    <row r="6834" spans="1:8" ht="15">
      <c r="A6834" s="211" t="s">
        <v>492</v>
      </c>
      <c r="B6834" s="216" t="str">
        <f ca="1">_xlfn.CONCAT(B6824,A6834)</f>
        <v>2EE83F03-I</v>
      </c>
      <c r="C6834" s="17"/>
      <c r="D6834" s="184"/>
      <c r="E6834" s="197"/>
      <c r="F6834" s="19"/>
      <c r="G6834" s="20"/>
      <c r="H6834" s="217"/>
    </row>
    <row r="6835" spans="1:8" ht="15">
      <c r="A6835" s="211" t="s">
        <v>493</v>
      </c>
      <c r="B6835" s="216" t="str">
        <f ca="1">_xlfn.CONCAT(B6824,A6835)</f>
        <v>2EE83F03-J</v>
      </c>
      <c r="C6835" s="17"/>
      <c r="D6835" s="184"/>
      <c r="E6835" s="197"/>
      <c r="F6835" s="19"/>
      <c r="G6835" s="20"/>
      <c r="H6835" s="217"/>
    </row>
    <row r="6836" spans="1:8" ht="15">
      <c r="A6836" s="211" t="s">
        <v>494</v>
      </c>
      <c r="B6836" s="216" t="str">
        <f ca="1">_xlfn.CONCAT(B6824,A6836)</f>
        <v>2EE83F03-K</v>
      </c>
      <c r="C6836" s="17"/>
      <c r="D6836" s="184"/>
      <c r="E6836" s="197"/>
      <c r="F6836" s="19"/>
      <c r="G6836" s="20"/>
      <c r="H6836" s="217"/>
    </row>
    <row r="6837" spans="1:8" ht="15">
      <c r="A6837" s="211" t="s">
        <v>495</v>
      </c>
      <c r="B6837" s="216" t="str">
        <f ca="1">_xlfn.CONCAT(B6824,A6837)</f>
        <v>2EE83F03-L</v>
      </c>
      <c r="C6837" s="17"/>
      <c r="D6837" s="184"/>
      <c r="E6837" s="197"/>
      <c r="F6837" s="19"/>
      <c r="G6837" s="20"/>
      <c r="H6837" s="217"/>
    </row>
    <row r="6838" spans="1:8" ht="15">
      <c r="A6838" s="211" t="s">
        <v>496</v>
      </c>
      <c r="B6838" s="216" t="str">
        <f ca="1">_xlfn.CONCAT(B6824,A6838)</f>
        <v>2EE83F03-M</v>
      </c>
      <c r="C6838" s="17"/>
      <c r="D6838" s="184"/>
      <c r="E6838" s="197"/>
      <c r="F6838" s="19"/>
      <c r="G6838" s="20"/>
      <c r="H6838" s="217"/>
    </row>
    <row r="6839" spans="1:8">
      <c r="A6839" s="211" t="s">
        <v>497</v>
      </c>
      <c r="B6839" s="216" t="str">
        <f ca="1">_xlfn.CONCAT(B6824,A6839)</f>
        <v>2EE83F03-N</v>
      </c>
      <c r="C6839" s="17"/>
      <c r="D6839" s="184"/>
      <c r="E6839" s="197"/>
      <c r="F6839" s="19"/>
      <c r="G6839" s="20"/>
    </row>
    <row r="6840" spans="1:8">
      <c r="A6840" s="211" t="s">
        <v>498</v>
      </c>
      <c r="B6840" s="216" t="str">
        <f ca="1">_xlfn.CONCAT(B6824,A6840)</f>
        <v>2EE83F03-O</v>
      </c>
      <c r="C6840" s="17"/>
      <c r="D6840" s="184"/>
      <c r="E6840" s="197"/>
      <c r="F6840" s="19"/>
      <c r="G6840" s="20"/>
    </row>
    <row r="6841" spans="1:8">
      <c r="A6841" s="211" t="s">
        <v>499</v>
      </c>
      <c r="B6841" s="216" t="str">
        <f ca="1">_xlfn.CONCAT(B6824,A6841)</f>
        <v>2EE83F03-P</v>
      </c>
      <c r="C6841" s="17"/>
      <c r="D6841" s="184"/>
      <c r="E6841" s="197"/>
      <c r="F6841" s="19"/>
      <c r="G6841" s="20"/>
    </row>
    <row r="6842" spans="1:8">
      <c r="A6842" s="211" t="s">
        <v>500</v>
      </c>
      <c r="B6842" s="216" t="str">
        <f ca="1">_xlfn.CONCAT(B6824,A6842)</f>
        <v>2EE83F03-Q</v>
      </c>
      <c r="C6842" s="17"/>
      <c r="D6842" s="184"/>
      <c r="E6842" s="197"/>
      <c r="F6842" s="19"/>
      <c r="G6842" s="20"/>
    </row>
    <row r="6843" spans="1:8">
      <c r="A6843" s="211" t="s">
        <v>501</v>
      </c>
      <c r="B6843" s="216" t="str">
        <f ca="1">_xlfn.CONCAT(B6824,A6843)</f>
        <v>2EE83F03-R</v>
      </c>
      <c r="C6843" s="17"/>
      <c r="D6843" s="184"/>
      <c r="E6843" s="197"/>
      <c r="F6843" s="19"/>
      <c r="G6843" s="20"/>
    </row>
    <row r="6844" spans="1:8">
      <c r="A6844" s="211" t="s">
        <v>502</v>
      </c>
      <c r="B6844" s="216" t="str">
        <f ca="1">_xlfn.CONCAT(B6824,A6844)</f>
        <v>2EE83F03-S</v>
      </c>
      <c r="C6844" s="17"/>
      <c r="D6844" s="184"/>
      <c r="E6844" s="197"/>
      <c r="F6844" s="19"/>
      <c r="G6844" s="20"/>
    </row>
    <row r="6845" spans="1:8">
      <c r="A6845" s="211" t="s">
        <v>503</v>
      </c>
      <c r="B6845" s="216" t="str">
        <f ca="1">_xlfn.CONCAT(B6824,A6845)</f>
        <v>2EE83F03-T</v>
      </c>
      <c r="C6845" s="17"/>
      <c r="D6845" s="184"/>
      <c r="E6845" s="197"/>
      <c r="F6845" s="19"/>
      <c r="G6845" s="20"/>
    </row>
    <row r="6846" spans="1:8" ht="14.25" thickBot="1">
      <c r="A6846" s="211" t="s">
        <v>504</v>
      </c>
      <c r="B6846" s="216" t="str">
        <f ca="1">_xlfn.CONCAT(B6824,A6846)</f>
        <v>2EE83F03-U</v>
      </c>
      <c r="C6846" s="17"/>
      <c r="D6846" s="184"/>
      <c r="E6846" s="197"/>
      <c r="F6846" s="19"/>
      <c r="G6846" s="20"/>
    </row>
    <row r="6847" spans="1:8" ht="14.25" thickBot="1">
      <c r="A6847" s="211" t="s">
        <v>505</v>
      </c>
      <c r="B6847" s="216" t="str">
        <f ca="1">_xlfn.CONCAT(B6824,A6847)</f>
        <v>2EE83F03-V</v>
      </c>
      <c r="C6847" s="17" t="s">
        <v>17</v>
      </c>
      <c r="D6847" s="192" t="s">
        <v>17</v>
      </c>
      <c r="E6847" s="18"/>
      <c r="F6847" s="22" t="s">
        <v>18</v>
      </c>
      <c r="G6847" s="23">
        <f>SUM(G6826:G6846)</f>
        <v>309474.44999999995</v>
      </c>
    </row>
    <row r="6848" spans="1:8" ht="15.75" thickBot="1">
      <c r="A6848" s="211" t="s">
        <v>506</v>
      </c>
      <c r="B6848" s="216" t="str">
        <f ca="1">_xlfn.CONCAT(B6824,A6848)</f>
        <v>2EE83F03-W</v>
      </c>
      <c r="C6848" s="10" t="s">
        <v>19</v>
      </c>
      <c r="D6848" s="190"/>
      <c r="E6848" s="11"/>
      <c r="F6848" s="12"/>
      <c r="G6848" s="13"/>
    </row>
    <row r="6849" spans="1:8" ht="14.25" thickBot="1">
      <c r="A6849" s="211" t="s">
        <v>507</v>
      </c>
      <c r="B6849" s="216" t="str">
        <f ca="1">_xlfn.CONCAT(B6824,A6849)</f>
        <v>2EE83F03-X</v>
      </c>
      <c r="C6849" s="14" t="s">
        <v>1</v>
      </c>
      <c r="D6849" s="15"/>
      <c r="E6849" s="15" t="s">
        <v>20</v>
      </c>
      <c r="F6849" s="16" t="s">
        <v>21</v>
      </c>
      <c r="G6849" s="15" t="s">
        <v>5</v>
      </c>
      <c r="H6849" s="215"/>
    </row>
    <row r="6850" spans="1:8">
      <c r="A6850" s="211" t="s">
        <v>508</v>
      </c>
      <c r="B6850" s="216" t="str">
        <f ca="1">_xlfn.CONCAT(B6824,A6850)</f>
        <v>2EE83F03-Y</v>
      </c>
      <c r="C6850" s="24" t="s">
        <v>22</v>
      </c>
      <c r="D6850" s="184"/>
      <c r="E6850" s="25">
        <f>_xlfn.XLOOKUP(C6850,'H-MO'!B$7:B$30,'H-MO'!D$7:D$30,,0,1)</f>
        <v>2436.5624999999995</v>
      </c>
      <c r="F6850" s="19">
        <v>4</v>
      </c>
      <c r="G6850" s="33">
        <f t="shared" ref="G6850:G6855" si="192">+E6850*F6850</f>
        <v>9746.2499999999982</v>
      </c>
    </row>
    <row r="6851" spans="1:8">
      <c r="A6851" s="211" t="s">
        <v>509</v>
      </c>
      <c r="B6851" s="216" t="str">
        <f ca="1">_xlfn.CONCAT(B6824,A6851)</f>
        <v>2EE83F03-Z</v>
      </c>
      <c r="C6851" s="24" t="s">
        <v>23</v>
      </c>
      <c r="D6851" s="184"/>
      <c r="E6851" s="25">
        <f>_xlfn.XLOOKUP(C6851,'H-MO'!B$7:B$30,'H-MO'!D$7:D$30,,0,1)</f>
        <v>1461.9374999999998</v>
      </c>
      <c r="F6851" s="19">
        <v>0.5</v>
      </c>
      <c r="G6851" s="33">
        <f t="shared" si="192"/>
        <v>730.96874999999989</v>
      </c>
    </row>
    <row r="6852" spans="1:8">
      <c r="A6852" s="211" t="s">
        <v>510</v>
      </c>
      <c r="B6852" s="216" t="str">
        <f ca="1">_xlfn.CONCAT(B6824,A6852)</f>
        <v>2EE83F03-aa</v>
      </c>
      <c r="C6852" s="24" t="s">
        <v>24</v>
      </c>
      <c r="D6852" s="185"/>
      <c r="E6852" s="25">
        <f>_xlfn.XLOOKUP(C6852,'H-MO'!B$7:B$30,'H-MO'!D$7:D$30,,0,1)</f>
        <v>29238.749999999996</v>
      </c>
      <c r="F6852" s="28">
        <v>0.3</v>
      </c>
      <c r="G6852" s="33">
        <f t="shared" si="192"/>
        <v>8771.6249999999982</v>
      </c>
    </row>
    <row r="6853" spans="1:8">
      <c r="A6853" s="211" t="s">
        <v>511</v>
      </c>
      <c r="B6853" s="216" t="str">
        <f ca="1">_xlfn.CONCAT(B6824,A6853)</f>
        <v>2EE83F03-ab</v>
      </c>
      <c r="C6853" s="24" t="s">
        <v>25</v>
      </c>
      <c r="D6853" s="185"/>
      <c r="E6853" s="25">
        <f>_xlfn.XLOOKUP(C6853,'H-MO'!B$7:B$30,'H-MO'!D$7:D$30,,0,1)</f>
        <v>2761.4374999999995</v>
      </c>
      <c r="F6853" s="28">
        <v>2</v>
      </c>
      <c r="G6853" s="33">
        <f t="shared" si="192"/>
        <v>5522.8749999999991</v>
      </c>
    </row>
    <row r="6854" spans="1:8">
      <c r="A6854" s="211" t="s">
        <v>512</v>
      </c>
      <c r="B6854" s="216" t="str">
        <f ca="1">_xlfn.CONCAT(B6824,A6854)</f>
        <v>2EE83F03-ac</v>
      </c>
      <c r="C6854" s="24"/>
      <c r="D6854" s="185"/>
      <c r="E6854" s="29"/>
      <c r="F6854" s="28"/>
      <c r="G6854" s="33">
        <f t="shared" si="192"/>
        <v>0</v>
      </c>
    </row>
    <row r="6855" spans="1:8" ht="14.25" thickBot="1">
      <c r="A6855" s="211" t="s">
        <v>513</v>
      </c>
      <c r="B6855" s="216" t="str">
        <f ca="1">_xlfn.CONCAT(B6824,A6855)</f>
        <v>2EE83F03-ad</v>
      </c>
      <c r="C6855" s="24"/>
      <c r="D6855" s="185"/>
      <c r="E6855" s="29"/>
      <c r="F6855" s="28"/>
      <c r="G6855" s="33">
        <f t="shared" si="192"/>
        <v>0</v>
      </c>
    </row>
    <row r="6856" spans="1:8" ht="14.25" thickBot="1">
      <c r="A6856" s="211" t="s">
        <v>514</v>
      </c>
      <c r="B6856" s="216" t="str">
        <f ca="1">_xlfn.CONCAT(B6824,A6856)</f>
        <v>2EE83F03-ae</v>
      </c>
      <c r="C6856" s="17"/>
      <c r="D6856" s="192"/>
      <c r="E6856" s="18"/>
      <c r="F6856" s="22" t="s">
        <v>26</v>
      </c>
      <c r="G6856" s="23">
        <f>SUM(G6850:G6855)</f>
        <v>24771.718749999996</v>
      </c>
    </row>
    <row r="6857" spans="1:8" ht="15.75" thickBot="1">
      <c r="A6857" s="211" t="s">
        <v>515</v>
      </c>
      <c r="B6857" s="216" t="str">
        <f ca="1">_xlfn.CONCAT(B6824,A6857)</f>
        <v>2EE83F03-af</v>
      </c>
      <c r="C6857" s="10" t="s">
        <v>27</v>
      </c>
      <c r="D6857" s="190"/>
      <c r="E6857" s="11"/>
      <c r="F6857" s="12"/>
      <c r="G6857" s="13"/>
    </row>
    <row r="6858" spans="1:8" ht="14.25" thickBot="1">
      <c r="A6858" s="211" t="s">
        <v>516</v>
      </c>
      <c r="B6858" s="216" t="str">
        <f ca="1">_xlfn.CONCAT(B6824,A6858)</f>
        <v>2EE83F03-ag</v>
      </c>
      <c r="C6858" s="14" t="s">
        <v>1</v>
      </c>
      <c r="D6858" s="15" t="s">
        <v>28</v>
      </c>
      <c r="E6858" s="15" t="s">
        <v>20</v>
      </c>
      <c r="F6858" s="16" t="s">
        <v>21</v>
      </c>
      <c r="G6858" s="15" t="s">
        <v>5</v>
      </c>
      <c r="H6858" s="215"/>
    </row>
    <row r="6859" spans="1:8">
      <c r="A6859" s="211" t="s">
        <v>517</v>
      </c>
      <c r="B6859" s="216" t="str">
        <f ca="1">_xlfn.CONCAT(B6824,A6859)</f>
        <v>2EE83F03-ah</v>
      </c>
      <c r="C6859" s="30" t="s">
        <v>29</v>
      </c>
      <c r="D6859" s="186">
        <f>'H-MO'!$N$77</f>
        <v>725918.52892505517</v>
      </c>
      <c r="E6859" s="31">
        <f>+D6859/8</f>
        <v>90739.816115631897</v>
      </c>
      <c r="F6859" s="32">
        <v>0.85</v>
      </c>
      <c r="G6859" s="33">
        <f>+E6859*F6859</f>
        <v>77128.843698287106</v>
      </c>
      <c r="H6859" s="229"/>
    </row>
    <row r="6860" spans="1:8">
      <c r="A6860" s="211" t="s">
        <v>518</v>
      </c>
      <c r="B6860" s="216" t="str">
        <f ca="1">_xlfn.CONCAT(B6824,A6860)</f>
        <v>2EE83F03-ai</v>
      </c>
      <c r="C6860" s="34" t="s">
        <v>30</v>
      </c>
      <c r="D6860" s="187">
        <f>'H-MO'!$N$86</f>
        <v>685561.39085756091</v>
      </c>
      <c r="E6860" s="29">
        <f>+D6860/8</f>
        <v>85695.173857195114</v>
      </c>
      <c r="F6860" s="28"/>
      <c r="G6860" s="33">
        <f>+E6860*F6860</f>
        <v>0</v>
      </c>
    </row>
    <row r="6861" spans="1:8" ht="14.25" thickBot="1">
      <c r="A6861" s="211" t="s">
        <v>519</v>
      </c>
      <c r="B6861" s="216" t="str">
        <f ca="1">_xlfn.CONCAT(B6824,A6861)</f>
        <v>2EE83F03-aj</v>
      </c>
      <c r="C6861" s="34"/>
      <c r="D6861" s="187"/>
      <c r="E6861" s="29"/>
      <c r="F6861" s="28"/>
      <c r="G6861" s="33">
        <f>+E6861*F6861</f>
        <v>0</v>
      </c>
    </row>
    <row r="6862" spans="1:8" ht="14.25" thickBot="1">
      <c r="A6862" s="211" t="s">
        <v>520</v>
      </c>
      <c r="B6862" s="216" t="str">
        <f ca="1">_xlfn.CONCAT(B6824,A6862)</f>
        <v>2EE83F03-ak</v>
      </c>
      <c r="C6862" s="34"/>
      <c r="D6862" s="185"/>
      <c r="E6862" s="26"/>
      <c r="F6862" s="36" t="s">
        <v>31</v>
      </c>
      <c r="G6862" s="23">
        <f>SUM(G6859:G6861)</f>
        <v>77128.843698287106</v>
      </c>
    </row>
    <row r="6863" spans="1:8" ht="14.25" thickBot="1">
      <c r="A6863" s="211" t="s">
        <v>521</v>
      </c>
      <c r="B6863" s="216" t="str">
        <f ca="1">_xlfn.CONCAT(B6824,A6863)</f>
        <v>2EE83F03-al</v>
      </c>
      <c r="C6863" s="37"/>
      <c r="E6863" s="38"/>
      <c r="F6863" s="22"/>
      <c r="G6863" s="39"/>
    </row>
    <row r="6864" spans="1:8" ht="16.5" thickBot="1">
      <c r="A6864" s="211" t="s">
        <v>522</v>
      </c>
      <c r="B6864" s="216" t="str">
        <f ca="1">_xlfn.CONCAT(B6824,A6864)</f>
        <v>2EE83F03-am</v>
      </c>
      <c r="C6864" s="40"/>
      <c r="D6864" s="193"/>
      <c r="E6864" s="41"/>
      <c r="F6864" s="42"/>
      <c r="G6864" s="43">
        <f>+G6847+G6856+G6862</f>
        <v>411375.01244828705</v>
      </c>
    </row>
    <row r="6865" spans="1:8" ht="21.75" thickBot="1">
      <c r="B6865" s="212" t="s">
        <v>550</v>
      </c>
      <c r="C6865" s="2"/>
      <c r="D6865" s="183"/>
      <c r="F6865" s="4"/>
      <c r="G6865" s="5"/>
    </row>
    <row r="6866" spans="1:8" ht="18.75">
      <c r="A6866" s="213"/>
      <c r="B6866" s="214">
        <v>156</v>
      </c>
      <c r="C6866" s="242" t="str">
        <f ca="1">_xlfn.XLOOKUP(B6866,Cantidades!$A$10:$A$314,Cantidades!$C$10:$C$314,,0,1)</f>
        <v>Suministro e instalación de acometida en cable de cobre 3#350 + 1#4/0 + 1#2T AWG THHN/THWN-2, 90°C, TC 600V.</v>
      </c>
      <c r="D6866" s="243"/>
      <c r="E6866" s="243"/>
      <c r="F6866" s="243"/>
      <c r="G6866" s="244"/>
      <c r="H6866" s="213"/>
    </row>
    <row r="6867" spans="1:8" ht="19.5" thickBot="1">
      <c r="A6867" s="215"/>
      <c r="B6867" s="216" t="s">
        <v>550</v>
      </c>
      <c r="C6867" s="177"/>
      <c r="D6867" s="189"/>
      <c r="E6867" s="178"/>
      <c r="F6867" s="179" t="s">
        <v>636</v>
      </c>
      <c r="G6867" s="209" t="str">
        <f ca="1">B6868</f>
        <v>14619CA5-</v>
      </c>
      <c r="H6867" s="215"/>
    </row>
    <row r="6868" spans="1:8" ht="15.75" thickBot="1">
      <c r="B6868" s="212" t="str">
        <f ca="1">_xlfn.XLOOKUP(C6866,Cantidades!$C$1:$C$314,Cantidades!$B$1:$B$314,"",0,1)</f>
        <v>14619CA5-</v>
      </c>
      <c r="C6868" s="10" t="s">
        <v>0</v>
      </c>
      <c r="D6868" s="190"/>
      <c r="E6868" s="11"/>
      <c r="F6868" s="12"/>
      <c r="G6868" s="13"/>
    </row>
    <row r="6869" spans="1:8" ht="14.25" thickBot="1">
      <c r="A6869" s="215"/>
      <c r="B6869" s="216" t="s">
        <v>550</v>
      </c>
      <c r="C6869" s="14" t="s">
        <v>1</v>
      </c>
      <c r="D6869" s="15" t="s">
        <v>2</v>
      </c>
      <c r="E6869" s="15" t="s">
        <v>3</v>
      </c>
      <c r="F6869" s="16" t="s">
        <v>4</v>
      </c>
      <c r="G6869" s="15" t="s">
        <v>5</v>
      </c>
      <c r="H6869" s="215"/>
    </row>
    <row r="6870" spans="1:8" ht="15">
      <c r="A6870" s="211" t="s">
        <v>484</v>
      </c>
      <c r="B6870" s="216" t="str">
        <f ca="1">_xlfn.CONCAT(B6868,A6870)</f>
        <v>14619CA5-A</v>
      </c>
      <c r="C6870" s="17" t="str">
        <f>_xlfn.XLOOKUP(H6870,'Materiales unitario'!$A$1:$A$2500,'Materiales unitario'!B$1:B$2500,,0,1)</f>
        <v>Cinta aislante Super #33 x 20 mts</v>
      </c>
      <c r="D6870" s="184" t="str">
        <f>_xlfn.XLOOKUP(H6870,'Materiales unitario'!A$1:A$2500,'Materiales unitario'!C$1:C$2500,,0,1)</f>
        <v>rl</v>
      </c>
      <c r="E6870" s="197">
        <f>_xlfn.XLOOKUP(H6870,'Materiales unitario'!$A$1:$A$2500,'Materiales unitario'!D$1:D$2500,,0,1)</f>
        <v>23650.000000000004</v>
      </c>
      <c r="F6870" s="19">
        <v>0.05</v>
      </c>
      <c r="G6870" s="20">
        <f>+E6870*F6870</f>
        <v>1182.5000000000002</v>
      </c>
      <c r="H6870" s="217" t="s">
        <v>296</v>
      </c>
    </row>
    <row r="6871" spans="1:8" ht="15">
      <c r="A6871" s="211" t="s">
        <v>485</v>
      </c>
      <c r="B6871" s="216" t="str">
        <f ca="1">_xlfn.CONCAT(B6868,A6871)</f>
        <v>14619CA5-B</v>
      </c>
      <c r="C6871" s="17" t="str">
        <f>_xlfn.XLOOKUP(H6871,'Materiales unitario'!$A$1:$A$2500,'Materiales unitario'!B$1:B$2500,,0,1)</f>
        <v>Cable de cobre aislado #350 MCM-THHN/THWN Color negro</v>
      </c>
      <c r="D6871" s="184" t="str">
        <f>_xlfn.XLOOKUP(H6871,'Materiales unitario'!A$1:A$2500,'Materiales unitario'!C$1:C$2500,,0,1)</f>
        <v>ml</v>
      </c>
      <c r="E6871" s="197">
        <f>_xlfn.XLOOKUP(H6871,'Materiales unitario'!$A$1:$A$2500,'Materiales unitario'!D$1:D$2500,,0,1)</f>
        <v>132540</v>
      </c>
      <c r="F6871" s="19">
        <v>3.15</v>
      </c>
      <c r="G6871" s="20">
        <f t="shared" ref="G6871:G6877" si="193">+E6871*F6871</f>
        <v>417501</v>
      </c>
      <c r="H6871" s="217" t="s">
        <v>270</v>
      </c>
    </row>
    <row r="6872" spans="1:8" ht="15">
      <c r="A6872" s="211" t="s">
        <v>486</v>
      </c>
      <c r="B6872" s="216" t="str">
        <f ca="1">_xlfn.CONCAT(B6868,A6872)</f>
        <v>14619CA5-C</v>
      </c>
      <c r="C6872" s="17" t="str">
        <f>_xlfn.XLOOKUP(H6872,'Materiales unitario'!$A$1:$A$2500,'Materiales unitario'!B$1:B$2500,,0,1)</f>
        <v>Cable de cobre aislado #4/0 AWG-THHN/THWN Color negro</v>
      </c>
      <c r="D6872" s="184" t="str">
        <f>_xlfn.XLOOKUP(H6872,'Materiales unitario'!A$1:A$2500,'Materiales unitario'!C$1:C$2500,,0,1)</f>
        <v>ml</v>
      </c>
      <c r="E6872" s="197">
        <f>_xlfn.XLOOKUP(H6872,'Materiales unitario'!$A$1:$A$2500,'Materiales unitario'!D$1:D$2500,,0,1)</f>
        <v>72830</v>
      </c>
      <c r="F6872" s="19">
        <v>1.05</v>
      </c>
      <c r="G6872" s="20">
        <f t="shared" si="193"/>
        <v>76471.5</v>
      </c>
      <c r="H6872" s="217" t="s">
        <v>272</v>
      </c>
    </row>
    <row r="6873" spans="1:8" ht="15">
      <c r="A6873" s="211" t="s">
        <v>487</v>
      </c>
      <c r="B6873" s="216" t="str">
        <f ca="1">_xlfn.CONCAT(B6868,A6873)</f>
        <v>14619CA5-D</v>
      </c>
      <c r="C6873" s="17" t="str">
        <f>_xlfn.XLOOKUP(H6873,'Materiales unitario'!$A$1:$A$2500,'Materiales unitario'!B$1:B$2500,,0,1)</f>
        <v>Cable de cobre aislado #2 AWG-THHN/THWN Color negro</v>
      </c>
      <c r="D6873" s="184" t="str">
        <f>_xlfn.XLOOKUP(H6873,'Materiales unitario'!A$1:A$2500,'Materiales unitario'!C$1:C$2500,,0,1)</f>
        <v>ml</v>
      </c>
      <c r="E6873" s="197">
        <f>_xlfn.XLOOKUP(H6873,'Materiales unitario'!$A$1:$A$2500,'Materiales unitario'!D$1:D$2500,,0,1)</f>
        <v>23687</v>
      </c>
      <c r="F6873" s="19">
        <v>1.05</v>
      </c>
      <c r="G6873" s="20">
        <f t="shared" si="193"/>
        <v>24871.350000000002</v>
      </c>
      <c r="H6873" s="217" t="s">
        <v>268</v>
      </c>
    </row>
    <row r="6874" spans="1:8" ht="15">
      <c r="A6874" s="211" t="s">
        <v>488</v>
      </c>
      <c r="B6874" s="216" t="str">
        <f ca="1">_xlfn.CONCAT(B6868,A6874)</f>
        <v>14619CA5-E</v>
      </c>
      <c r="C6874" s="17" t="str">
        <f>_xlfn.XLOOKUP(H6874,'Materiales unitario'!$A$1:$A$2500,'Materiales unitario'!B$1:B$2500,,0,1)</f>
        <v>Borna terminal estañada  de ojo tipo pala #350 MCM</v>
      </c>
      <c r="D6874" s="184" t="str">
        <f>_xlfn.XLOOKUP(H6874,'Materiales unitario'!A$1:A$2500,'Materiales unitario'!C$1:C$2500,,0,1)</f>
        <v>un</v>
      </c>
      <c r="E6874" s="197">
        <f>_xlfn.XLOOKUP(H6874,'Materiales unitario'!$A$1:$A$2500,'Materiales unitario'!D$1:D$2500,,0,1)</f>
        <v>22100</v>
      </c>
      <c r="F6874" s="19">
        <v>0.6</v>
      </c>
      <c r="G6874" s="20">
        <f t="shared" si="193"/>
        <v>13260</v>
      </c>
      <c r="H6874" s="217" t="s">
        <v>560</v>
      </c>
    </row>
    <row r="6875" spans="1:8" ht="15">
      <c r="A6875" s="211" t="s">
        <v>489</v>
      </c>
      <c r="B6875" s="216" t="str">
        <f ca="1">_xlfn.CONCAT(B6868,A6875)</f>
        <v>14619CA5-F</v>
      </c>
      <c r="C6875" s="17" t="str">
        <f>_xlfn.XLOOKUP(H6875,'Materiales unitario'!$A$1:$A$2500,'Materiales unitario'!B$1:B$2500,,0,1)</f>
        <v>Borna terminal estañada  de ojo tipo pala #4/0 AWG</v>
      </c>
      <c r="D6875" s="184" t="str">
        <f>_xlfn.XLOOKUP(H6875,'Materiales unitario'!A$1:A$2500,'Materiales unitario'!C$1:C$2500,,0,1)</f>
        <v>un</v>
      </c>
      <c r="E6875" s="197">
        <f>_xlfn.XLOOKUP(H6875,'Materiales unitario'!$A$1:$A$2500,'Materiales unitario'!D$1:D$2500,,0,1)</f>
        <v>9430</v>
      </c>
      <c r="F6875" s="19">
        <v>0.2</v>
      </c>
      <c r="G6875" s="20">
        <f t="shared" si="193"/>
        <v>1886</v>
      </c>
      <c r="H6875" s="217" t="s">
        <v>250</v>
      </c>
    </row>
    <row r="6876" spans="1:8" ht="15">
      <c r="A6876" s="211" t="s">
        <v>490</v>
      </c>
      <c r="B6876" s="216" t="str">
        <f ca="1">_xlfn.CONCAT(B6868,A6876)</f>
        <v>14619CA5-G</v>
      </c>
      <c r="C6876" s="17" t="str">
        <f>_xlfn.XLOOKUP(H6876,'Materiales unitario'!$A$1:$A$2500,'Materiales unitario'!B$1:B$2500,,0,1)</f>
        <v>Borna terminal estañada de ojo tipo pala #2 AWG</v>
      </c>
      <c r="D6876" s="184" t="str">
        <f>_xlfn.XLOOKUP(H6876,'Materiales unitario'!A$1:A$2500,'Materiales unitario'!C$1:C$2500,,0,1)</f>
        <v>un</v>
      </c>
      <c r="E6876" s="197">
        <f>_xlfn.XLOOKUP(H6876,'Materiales unitario'!$A$1:$A$2500,'Materiales unitario'!D$1:D$2500,,0,1)</f>
        <v>3251</v>
      </c>
      <c r="F6876" s="19">
        <v>0.2</v>
      </c>
      <c r="G6876" s="20">
        <f t="shared" si="193"/>
        <v>650.20000000000005</v>
      </c>
      <c r="H6876" s="217" t="s">
        <v>252</v>
      </c>
    </row>
    <row r="6877" spans="1:8" ht="15">
      <c r="A6877" s="211" t="s">
        <v>491</v>
      </c>
      <c r="B6877" s="216" t="str">
        <f ca="1">_xlfn.CONCAT(B6868,A6877)</f>
        <v>14619CA5-H</v>
      </c>
      <c r="C6877" s="17" t="str">
        <f>_xlfn.XLOOKUP(H6877,'Materiales unitario'!$A$1:$A$2500,'Materiales unitario'!B$1:B$2500,,0,1)</f>
        <v>Termoencogible</v>
      </c>
      <c r="D6877" s="184" t="str">
        <f>_xlfn.XLOOKUP(H6877,'Materiales unitario'!A$1:A$2500,'Materiales unitario'!C$1:C$2500,,0,1)</f>
        <v>un</v>
      </c>
      <c r="E6877" s="197">
        <f>_xlfn.XLOOKUP(H6877,'Materiales unitario'!$A$1:$A$2500,'Materiales unitario'!D$1:D$2500,,0,1)</f>
        <v>5000</v>
      </c>
      <c r="F6877" s="19">
        <v>0.3</v>
      </c>
      <c r="G6877" s="20">
        <f t="shared" si="193"/>
        <v>1500</v>
      </c>
      <c r="H6877" s="217" t="s">
        <v>373</v>
      </c>
    </row>
    <row r="6878" spans="1:8" ht="15">
      <c r="A6878" s="211" t="s">
        <v>492</v>
      </c>
      <c r="B6878" s="216" t="str">
        <f ca="1">_xlfn.CONCAT(B6868,A6878)</f>
        <v>14619CA5-I</v>
      </c>
      <c r="C6878" s="17"/>
      <c r="D6878" s="184"/>
      <c r="E6878" s="197"/>
      <c r="F6878" s="19"/>
      <c r="G6878" s="20"/>
      <c r="H6878" s="217"/>
    </row>
    <row r="6879" spans="1:8" ht="15">
      <c r="A6879" s="211" t="s">
        <v>493</v>
      </c>
      <c r="B6879" s="216" t="str">
        <f ca="1">_xlfn.CONCAT(B6868,A6879)</f>
        <v>14619CA5-J</v>
      </c>
      <c r="C6879" s="17"/>
      <c r="D6879" s="184"/>
      <c r="E6879" s="197"/>
      <c r="F6879" s="19"/>
      <c r="G6879" s="20"/>
      <c r="H6879" s="217"/>
    </row>
    <row r="6880" spans="1:8" ht="15">
      <c r="A6880" s="211" t="s">
        <v>494</v>
      </c>
      <c r="B6880" s="216" t="str">
        <f ca="1">_xlfn.CONCAT(B6868,A6880)</f>
        <v>14619CA5-K</v>
      </c>
      <c r="C6880" s="17"/>
      <c r="D6880" s="184"/>
      <c r="E6880" s="197"/>
      <c r="F6880" s="19"/>
      <c r="G6880" s="20"/>
      <c r="H6880" s="217"/>
    </row>
    <row r="6881" spans="1:8" ht="15">
      <c r="A6881" s="211" t="s">
        <v>495</v>
      </c>
      <c r="B6881" s="216" t="str">
        <f ca="1">_xlfn.CONCAT(B6868,A6881)</f>
        <v>14619CA5-L</v>
      </c>
      <c r="C6881" s="17"/>
      <c r="D6881" s="184"/>
      <c r="E6881" s="197"/>
      <c r="F6881" s="19"/>
      <c r="G6881" s="20"/>
      <c r="H6881" s="217"/>
    </row>
    <row r="6882" spans="1:8" ht="15">
      <c r="A6882" s="211" t="s">
        <v>496</v>
      </c>
      <c r="B6882" s="216" t="str">
        <f ca="1">_xlfn.CONCAT(B6868,A6882)</f>
        <v>14619CA5-M</v>
      </c>
      <c r="C6882" s="17"/>
      <c r="D6882" s="184"/>
      <c r="E6882" s="197"/>
      <c r="F6882" s="19"/>
      <c r="G6882" s="20"/>
      <c r="H6882" s="217"/>
    </row>
    <row r="6883" spans="1:8">
      <c r="A6883" s="211" t="s">
        <v>497</v>
      </c>
      <c r="B6883" s="216" t="str">
        <f ca="1">_xlfn.CONCAT(B6868,A6883)</f>
        <v>14619CA5-N</v>
      </c>
      <c r="C6883" s="17"/>
      <c r="D6883" s="184"/>
      <c r="E6883" s="197"/>
      <c r="F6883" s="19"/>
      <c r="G6883" s="20"/>
    </row>
    <row r="6884" spans="1:8">
      <c r="A6884" s="211" t="s">
        <v>498</v>
      </c>
      <c r="B6884" s="216" t="str">
        <f ca="1">_xlfn.CONCAT(B6868,A6884)</f>
        <v>14619CA5-O</v>
      </c>
      <c r="C6884" s="17"/>
      <c r="D6884" s="184"/>
      <c r="E6884" s="197"/>
      <c r="F6884" s="19"/>
      <c r="G6884" s="20"/>
    </row>
    <row r="6885" spans="1:8">
      <c r="A6885" s="211" t="s">
        <v>499</v>
      </c>
      <c r="B6885" s="216" t="str">
        <f ca="1">_xlfn.CONCAT(B6868,A6885)</f>
        <v>14619CA5-P</v>
      </c>
      <c r="C6885" s="17"/>
      <c r="D6885" s="184"/>
      <c r="E6885" s="197"/>
      <c r="F6885" s="19"/>
      <c r="G6885" s="20"/>
    </row>
    <row r="6886" spans="1:8">
      <c r="A6886" s="211" t="s">
        <v>500</v>
      </c>
      <c r="B6886" s="216" t="str">
        <f ca="1">_xlfn.CONCAT(B6868,A6886)</f>
        <v>14619CA5-Q</v>
      </c>
      <c r="C6886" s="17"/>
      <c r="D6886" s="184"/>
      <c r="E6886" s="197"/>
      <c r="F6886" s="19"/>
      <c r="G6886" s="20"/>
    </row>
    <row r="6887" spans="1:8">
      <c r="A6887" s="211" t="s">
        <v>501</v>
      </c>
      <c r="B6887" s="216" t="str">
        <f ca="1">_xlfn.CONCAT(B6868,A6887)</f>
        <v>14619CA5-R</v>
      </c>
      <c r="C6887" s="17"/>
      <c r="D6887" s="184"/>
      <c r="E6887" s="197"/>
      <c r="F6887" s="19"/>
      <c r="G6887" s="20"/>
    </row>
    <row r="6888" spans="1:8">
      <c r="A6888" s="211" t="s">
        <v>502</v>
      </c>
      <c r="B6888" s="216" t="str">
        <f ca="1">_xlfn.CONCAT(B6868,A6888)</f>
        <v>14619CA5-S</v>
      </c>
      <c r="C6888" s="17"/>
      <c r="D6888" s="184"/>
      <c r="E6888" s="197"/>
      <c r="F6888" s="19"/>
      <c r="G6888" s="20"/>
    </row>
    <row r="6889" spans="1:8">
      <c r="A6889" s="211" t="s">
        <v>503</v>
      </c>
      <c r="B6889" s="216" t="str">
        <f ca="1">_xlfn.CONCAT(B6868,A6889)</f>
        <v>14619CA5-T</v>
      </c>
      <c r="C6889" s="17"/>
      <c r="D6889" s="184"/>
      <c r="E6889" s="197"/>
      <c r="F6889" s="19"/>
      <c r="G6889" s="20"/>
    </row>
    <row r="6890" spans="1:8" ht="14.25" thickBot="1">
      <c r="A6890" s="211" t="s">
        <v>504</v>
      </c>
      <c r="B6890" s="216" t="str">
        <f ca="1">_xlfn.CONCAT(B6868,A6890)</f>
        <v>14619CA5-U</v>
      </c>
      <c r="C6890" s="17"/>
      <c r="D6890" s="184"/>
      <c r="E6890" s="197"/>
      <c r="F6890" s="19"/>
      <c r="G6890" s="20"/>
    </row>
    <row r="6891" spans="1:8" ht="14.25" thickBot="1">
      <c r="A6891" s="211" t="s">
        <v>505</v>
      </c>
      <c r="B6891" s="216" t="str">
        <f ca="1">_xlfn.CONCAT(B6868,A6891)</f>
        <v>14619CA5-V</v>
      </c>
      <c r="C6891" s="17" t="s">
        <v>17</v>
      </c>
      <c r="D6891" s="192" t="s">
        <v>17</v>
      </c>
      <c r="E6891" s="18"/>
      <c r="F6891" s="22" t="s">
        <v>18</v>
      </c>
      <c r="G6891" s="23">
        <f>SUM(G6870:G6890)</f>
        <v>537322.54999999993</v>
      </c>
    </row>
    <row r="6892" spans="1:8" ht="15.75" thickBot="1">
      <c r="A6892" s="211" t="s">
        <v>506</v>
      </c>
      <c r="B6892" s="216" t="str">
        <f ca="1">_xlfn.CONCAT(B6868,A6892)</f>
        <v>14619CA5-W</v>
      </c>
      <c r="C6892" s="10" t="s">
        <v>19</v>
      </c>
      <c r="D6892" s="190"/>
      <c r="E6892" s="11"/>
      <c r="F6892" s="12"/>
      <c r="G6892" s="13"/>
    </row>
    <row r="6893" spans="1:8" ht="14.25" thickBot="1">
      <c r="A6893" s="211" t="s">
        <v>507</v>
      </c>
      <c r="B6893" s="216" t="str">
        <f ca="1">_xlfn.CONCAT(B6868,A6893)</f>
        <v>14619CA5-X</v>
      </c>
      <c r="C6893" s="14" t="s">
        <v>1</v>
      </c>
      <c r="D6893" s="15"/>
      <c r="E6893" s="15" t="s">
        <v>20</v>
      </c>
      <c r="F6893" s="16" t="s">
        <v>21</v>
      </c>
      <c r="G6893" s="15" t="s">
        <v>5</v>
      </c>
      <c r="H6893" s="215"/>
    </row>
    <row r="6894" spans="1:8">
      <c r="A6894" s="211" t="s">
        <v>508</v>
      </c>
      <c r="B6894" s="216" t="str">
        <f ca="1">_xlfn.CONCAT(B6868,A6894)</f>
        <v>14619CA5-Y</v>
      </c>
      <c r="C6894" s="24" t="s">
        <v>22</v>
      </c>
      <c r="D6894" s="184"/>
      <c r="E6894" s="25">
        <f>_xlfn.XLOOKUP(C6894,'H-MO'!B$7:B$30,'H-MO'!D$7:D$30,,0,1)</f>
        <v>2436.5624999999995</v>
      </c>
      <c r="F6894" s="19">
        <v>1</v>
      </c>
      <c r="G6894" s="33">
        <f t="shared" ref="G6894:G6899" si="194">+E6894*F6894</f>
        <v>2436.5624999999995</v>
      </c>
    </row>
    <row r="6895" spans="1:8">
      <c r="A6895" s="211" t="s">
        <v>509</v>
      </c>
      <c r="B6895" s="216" t="str">
        <f ca="1">_xlfn.CONCAT(B6868,A6895)</f>
        <v>14619CA5-Z</v>
      </c>
      <c r="C6895" s="24" t="s">
        <v>23</v>
      </c>
      <c r="D6895" s="184"/>
      <c r="E6895" s="25">
        <f>_xlfn.XLOOKUP(C6895,'H-MO'!B$7:B$30,'H-MO'!D$7:D$30,,0,1)</f>
        <v>1461.9374999999998</v>
      </c>
      <c r="F6895" s="19">
        <v>0.2</v>
      </c>
      <c r="G6895" s="33">
        <f t="shared" si="194"/>
        <v>292.38749999999999</v>
      </c>
    </row>
    <row r="6896" spans="1:8">
      <c r="A6896" s="211" t="s">
        <v>510</v>
      </c>
      <c r="B6896" s="216" t="str">
        <f ca="1">_xlfn.CONCAT(B6868,A6896)</f>
        <v>14619CA5-aa</v>
      </c>
      <c r="C6896" s="24" t="s">
        <v>24</v>
      </c>
      <c r="D6896" s="185"/>
      <c r="E6896" s="25">
        <f>_xlfn.XLOOKUP(C6896,'H-MO'!B$7:B$30,'H-MO'!D$7:D$30,,0,1)</f>
        <v>29238.749999999996</v>
      </c>
      <c r="F6896" s="28">
        <v>0.1</v>
      </c>
      <c r="G6896" s="33">
        <f t="shared" si="194"/>
        <v>2923.875</v>
      </c>
    </row>
    <row r="6897" spans="1:8">
      <c r="A6897" s="211" t="s">
        <v>511</v>
      </c>
      <c r="B6897" s="216" t="str">
        <f ca="1">_xlfn.CONCAT(B6868,A6897)</f>
        <v>14619CA5-ab</v>
      </c>
      <c r="C6897" s="24" t="s">
        <v>25</v>
      </c>
      <c r="D6897" s="185"/>
      <c r="E6897" s="25">
        <f>_xlfn.XLOOKUP(C6897,'H-MO'!B$7:B$30,'H-MO'!D$7:D$30,,0,1)</f>
        <v>2761.4374999999995</v>
      </c>
      <c r="F6897" s="28">
        <v>0.7</v>
      </c>
      <c r="G6897" s="33">
        <f t="shared" si="194"/>
        <v>1933.0062499999995</v>
      </c>
    </row>
    <row r="6898" spans="1:8">
      <c r="A6898" s="211" t="s">
        <v>512</v>
      </c>
      <c r="B6898" s="216" t="str">
        <f ca="1">_xlfn.CONCAT(B6868,A6898)</f>
        <v>14619CA5-ac</v>
      </c>
      <c r="C6898" s="24"/>
      <c r="D6898" s="185"/>
      <c r="E6898" s="29"/>
      <c r="F6898" s="28"/>
      <c r="G6898" s="33">
        <f t="shared" si="194"/>
        <v>0</v>
      </c>
    </row>
    <row r="6899" spans="1:8" ht="14.25" thickBot="1">
      <c r="A6899" s="211" t="s">
        <v>513</v>
      </c>
      <c r="B6899" s="216" t="str">
        <f ca="1">_xlfn.CONCAT(B6868,A6899)</f>
        <v>14619CA5-ad</v>
      </c>
      <c r="C6899" s="24"/>
      <c r="D6899" s="185"/>
      <c r="E6899" s="29"/>
      <c r="F6899" s="28"/>
      <c r="G6899" s="33">
        <f t="shared" si="194"/>
        <v>0</v>
      </c>
    </row>
    <row r="6900" spans="1:8" ht="14.25" thickBot="1">
      <c r="A6900" s="211" t="s">
        <v>514</v>
      </c>
      <c r="B6900" s="216" t="str">
        <f ca="1">_xlfn.CONCAT(B6868,A6900)</f>
        <v>14619CA5-ae</v>
      </c>
      <c r="C6900" s="17"/>
      <c r="D6900" s="192"/>
      <c r="E6900" s="18"/>
      <c r="F6900" s="22" t="s">
        <v>26</v>
      </c>
      <c r="G6900" s="23">
        <f>SUM(G6894:G6899)</f>
        <v>7585.8312499999984</v>
      </c>
    </row>
    <row r="6901" spans="1:8" ht="15.75" thickBot="1">
      <c r="A6901" s="211" t="s">
        <v>515</v>
      </c>
      <c r="B6901" s="216" t="str">
        <f ca="1">_xlfn.CONCAT(B6868,A6901)</f>
        <v>14619CA5-af</v>
      </c>
      <c r="C6901" s="10" t="s">
        <v>27</v>
      </c>
      <c r="D6901" s="190"/>
      <c r="E6901" s="11"/>
      <c r="F6901" s="12"/>
      <c r="G6901" s="13"/>
    </row>
    <row r="6902" spans="1:8" ht="14.25" thickBot="1">
      <c r="A6902" s="211" t="s">
        <v>516</v>
      </c>
      <c r="B6902" s="216" t="str">
        <f ca="1">_xlfn.CONCAT(B6868,A6902)</f>
        <v>14619CA5-ag</v>
      </c>
      <c r="C6902" s="14" t="s">
        <v>1</v>
      </c>
      <c r="D6902" s="15" t="s">
        <v>28</v>
      </c>
      <c r="E6902" s="15" t="s">
        <v>20</v>
      </c>
      <c r="F6902" s="16" t="s">
        <v>21</v>
      </c>
      <c r="G6902" s="15" t="s">
        <v>5</v>
      </c>
      <c r="H6902" s="215"/>
    </row>
    <row r="6903" spans="1:8">
      <c r="A6903" s="211" t="s">
        <v>517</v>
      </c>
      <c r="B6903" s="216" t="str">
        <f ca="1">_xlfn.CONCAT(B6868,A6903)</f>
        <v>14619CA5-ah</v>
      </c>
      <c r="C6903" s="30" t="s">
        <v>29</v>
      </c>
      <c r="D6903" s="186">
        <f>'H-MO'!$N$77</f>
        <v>725918.52892505517</v>
      </c>
      <c r="E6903" s="31">
        <f>+D6903/8</f>
        <v>90739.816115631897</v>
      </c>
      <c r="F6903" s="32">
        <v>0.95</v>
      </c>
      <c r="G6903" s="33">
        <f>+E6903*F6903</f>
        <v>86202.825309850305</v>
      </c>
      <c r="H6903" s="229"/>
    </row>
    <row r="6904" spans="1:8">
      <c r="A6904" s="211" t="s">
        <v>518</v>
      </c>
      <c r="B6904" s="216" t="str">
        <f ca="1">_xlfn.CONCAT(B6868,A6904)</f>
        <v>14619CA5-ai</v>
      </c>
      <c r="C6904" s="34" t="s">
        <v>30</v>
      </c>
      <c r="D6904" s="187">
        <f>'H-MO'!$N$86</f>
        <v>685561.39085756091</v>
      </c>
      <c r="E6904" s="29">
        <f>+D6904/8</f>
        <v>85695.173857195114</v>
      </c>
      <c r="F6904" s="28"/>
      <c r="G6904" s="33">
        <f>+E6904*F6904</f>
        <v>0</v>
      </c>
    </row>
    <row r="6905" spans="1:8" ht="14.25" thickBot="1">
      <c r="A6905" s="211" t="s">
        <v>519</v>
      </c>
      <c r="B6905" s="216" t="str">
        <f ca="1">_xlfn.CONCAT(B6868,A6905)</f>
        <v>14619CA5-aj</v>
      </c>
      <c r="C6905" s="34"/>
      <c r="D6905" s="187"/>
      <c r="E6905" s="29"/>
      <c r="F6905" s="28"/>
      <c r="G6905" s="33">
        <f>+E6905*F6905</f>
        <v>0</v>
      </c>
    </row>
    <row r="6906" spans="1:8" ht="14.25" thickBot="1">
      <c r="A6906" s="211" t="s">
        <v>520</v>
      </c>
      <c r="B6906" s="216" t="str">
        <f ca="1">_xlfn.CONCAT(B6868,A6906)</f>
        <v>14619CA5-ak</v>
      </c>
      <c r="C6906" s="34"/>
      <c r="D6906" s="185"/>
      <c r="E6906" s="26"/>
      <c r="F6906" s="36" t="s">
        <v>31</v>
      </c>
      <c r="G6906" s="23">
        <f>SUM(G6903:G6905)</f>
        <v>86202.825309850305</v>
      </c>
    </row>
    <row r="6907" spans="1:8" ht="14.25" thickBot="1">
      <c r="A6907" s="211" t="s">
        <v>521</v>
      </c>
      <c r="B6907" s="216" t="str">
        <f ca="1">_xlfn.CONCAT(B6868,A6907)</f>
        <v>14619CA5-al</v>
      </c>
      <c r="C6907" s="37"/>
      <c r="E6907" s="38"/>
      <c r="F6907" s="22"/>
      <c r="G6907" s="39"/>
    </row>
    <row r="6908" spans="1:8" ht="16.5" thickBot="1">
      <c r="A6908" s="211" t="s">
        <v>522</v>
      </c>
      <c r="B6908" s="216" t="str">
        <f ca="1">_xlfn.CONCAT(B6868,A6908)</f>
        <v>14619CA5-am</v>
      </c>
      <c r="C6908" s="40"/>
      <c r="D6908" s="193"/>
      <c r="E6908" s="41"/>
      <c r="F6908" s="42"/>
      <c r="G6908" s="43">
        <f>+G6891+G6900+G6906</f>
        <v>631111.20655985025</v>
      </c>
    </row>
    <row r="6909" spans="1:8" ht="21.75" thickBot="1">
      <c r="B6909" s="212" t="s">
        <v>550</v>
      </c>
      <c r="C6909" s="2"/>
      <c r="D6909" s="183"/>
      <c r="F6909" s="4"/>
      <c r="G6909" s="5"/>
    </row>
    <row r="6910" spans="1:8" ht="18.75">
      <c r="A6910" s="213"/>
      <c r="B6910" s="214">
        <v>157</v>
      </c>
      <c r="C6910" s="242" t="str">
        <f ca="1">_xlfn.XLOOKUP(B6910,Cantidades!$A$10:$A$314,Cantidades!$C$10:$C$314,,0,1)</f>
        <v>Suministro e instalación de acometida en cable de cobre  2x((3x4/0) + 1x(1x4/0)) + 1x(1 N°2 AWG) THHN/THWN-2, 90°C, TC 600V.</v>
      </c>
      <c r="D6910" s="243"/>
      <c r="E6910" s="243"/>
      <c r="F6910" s="243"/>
      <c r="G6910" s="244"/>
      <c r="H6910" s="213"/>
    </row>
    <row r="6911" spans="1:8" ht="19.5" thickBot="1">
      <c r="A6911" s="215"/>
      <c r="B6911" s="216" t="s">
        <v>550</v>
      </c>
      <c r="C6911" s="177"/>
      <c r="D6911" s="189"/>
      <c r="E6911" s="178"/>
      <c r="F6911" s="179" t="s">
        <v>636</v>
      </c>
      <c r="G6911" s="209" t="str">
        <f ca="1">B6912</f>
        <v>2AB93AB-</v>
      </c>
      <c r="H6911" s="215"/>
    </row>
    <row r="6912" spans="1:8" ht="15.75" thickBot="1">
      <c r="B6912" s="212" t="str">
        <f ca="1">_xlfn.XLOOKUP(C6910,Cantidades!$C$1:$C$314,Cantidades!$B$1:$B$314,"",0,1)</f>
        <v>2AB93AB-</v>
      </c>
      <c r="C6912" s="10" t="s">
        <v>0</v>
      </c>
      <c r="D6912" s="190"/>
      <c r="E6912" s="11"/>
      <c r="F6912" s="12"/>
      <c r="G6912" s="13"/>
    </row>
    <row r="6913" spans="1:8" ht="14.25" thickBot="1">
      <c r="A6913" s="215"/>
      <c r="B6913" s="216" t="s">
        <v>550</v>
      </c>
      <c r="C6913" s="14" t="s">
        <v>1</v>
      </c>
      <c r="D6913" s="15" t="s">
        <v>2</v>
      </c>
      <c r="E6913" s="15" t="s">
        <v>3</v>
      </c>
      <c r="F6913" s="16" t="s">
        <v>4</v>
      </c>
      <c r="G6913" s="15" t="s">
        <v>5</v>
      </c>
      <c r="H6913" s="215"/>
    </row>
    <row r="6914" spans="1:8" ht="15">
      <c r="A6914" s="211" t="s">
        <v>484</v>
      </c>
      <c r="B6914" s="216" t="str">
        <f ca="1">_xlfn.CONCAT(B6912,A6914)</f>
        <v>2AB93AB-A</v>
      </c>
      <c r="C6914" s="17" t="str">
        <f>_xlfn.XLOOKUP(H6914,'Materiales unitario'!$A$1:$A$2500,'Materiales unitario'!B$1:B$2500,,0,1)</f>
        <v>Cinta aislante Super #33 x 20 mts</v>
      </c>
      <c r="D6914" s="184" t="str">
        <f>_xlfn.XLOOKUP(H6914,'Materiales unitario'!A$1:A$2500,'Materiales unitario'!C$1:C$2500,,0,1)</f>
        <v>rl</v>
      </c>
      <c r="E6914" s="197">
        <f>_xlfn.XLOOKUP(H6914,'Materiales unitario'!$A$1:$A$2500,'Materiales unitario'!D$1:D$2500,,0,1)</f>
        <v>23650.000000000004</v>
      </c>
      <c r="F6914" s="19">
        <v>0.05</v>
      </c>
      <c r="G6914" s="20">
        <f t="shared" ref="G6914:G6919" si="195">+E6914*F6914</f>
        <v>1182.5000000000002</v>
      </c>
      <c r="H6914" s="217" t="s">
        <v>296</v>
      </c>
    </row>
    <row r="6915" spans="1:8" ht="15">
      <c r="A6915" s="211" t="s">
        <v>485</v>
      </c>
      <c r="B6915" s="216" t="str">
        <f ca="1">_xlfn.CONCAT(B6912,A6915)</f>
        <v>2AB93AB-B</v>
      </c>
      <c r="C6915" s="17" t="str">
        <f>_xlfn.XLOOKUP(H6915,'Materiales unitario'!$A$1:$A$2500,'Materiales unitario'!B$1:B$2500,,0,1)</f>
        <v>Cable de cobre aislado #4/0 AWG-THHN/THWN Color negro</v>
      </c>
      <c r="D6915" s="184" t="str">
        <f>_xlfn.XLOOKUP(H6915,'Materiales unitario'!A$1:A$2500,'Materiales unitario'!C$1:C$2500,,0,1)</f>
        <v>ml</v>
      </c>
      <c r="E6915" s="197">
        <f>_xlfn.XLOOKUP(H6915,'Materiales unitario'!$A$1:$A$2500,'Materiales unitario'!D$1:D$2500,,0,1)</f>
        <v>72830</v>
      </c>
      <c r="F6915" s="19">
        <v>8.4</v>
      </c>
      <c r="G6915" s="20">
        <f t="shared" si="195"/>
        <v>611772</v>
      </c>
      <c r="H6915" s="217" t="s">
        <v>272</v>
      </c>
    </row>
    <row r="6916" spans="1:8" ht="15">
      <c r="A6916" s="211" t="s">
        <v>486</v>
      </c>
      <c r="B6916" s="216" t="str">
        <f ca="1">_xlfn.CONCAT(B6912,A6916)</f>
        <v>2AB93AB-C</v>
      </c>
      <c r="C6916" s="17" t="str">
        <f>_xlfn.XLOOKUP(H6916,'Materiales unitario'!$A$1:$A$2500,'Materiales unitario'!B$1:B$2500,,0,1)</f>
        <v>Cable de cobre aislado #2 AWG-THHN/THWN Color negro</v>
      </c>
      <c r="D6916" s="184" t="str">
        <f>_xlfn.XLOOKUP(H6916,'Materiales unitario'!A$1:A$2500,'Materiales unitario'!C$1:C$2500,,0,1)</f>
        <v>ml</v>
      </c>
      <c r="E6916" s="197">
        <f>_xlfn.XLOOKUP(H6916,'Materiales unitario'!$A$1:$A$2500,'Materiales unitario'!D$1:D$2500,,0,1)</f>
        <v>23687</v>
      </c>
      <c r="F6916" s="19">
        <v>1.05</v>
      </c>
      <c r="G6916" s="20">
        <f t="shared" si="195"/>
        <v>24871.350000000002</v>
      </c>
      <c r="H6916" s="217" t="s">
        <v>268</v>
      </c>
    </row>
    <row r="6917" spans="1:8" ht="15">
      <c r="A6917" s="211" t="s">
        <v>487</v>
      </c>
      <c r="B6917" s="216" t="str">
        <f ca="1">_xlfn.CONCAT(B6912,A6917)</f>
        <v>2AB93AB-D</v>
      </c>
      <c r="C6917" s="17" t="str">
        <f>_xlfn.XLOOKUP(H6917,'Materiales unitario'!$A$1:$A$2500,'Materiales unitario'!B$1:B$2500,,0,1)</f>
        <v>Borna terminal estañada  de ojo tipo pala #4/0 AWG</v>
      </c>
      <c r="D6917" s="184" t="str">
        <f>_xlfn.XLOOKUP(H6917,'Materiales unitario'!A$1:A$2500,'Materiales unitario'!C$1:C$2500,,0,1)</f>
        <v>un</v>
      </c>
      <c r="E6917" s="197">
        <f>_xlfn.XLOOKUP(H6917,'Materiales unitario'!$A$1:$A$2500,'Materiales unitario'!D$1:D$2500,,0,1)</f>
        <v>9430</v>
      </c>
      <c r="F6917" s="19">
        <v>1.5</v>
      </c>
      <c r="G6917" s="20">
        <f t="shared" si="195"/>
        <v>14145</v>
      </c>
      <c r="H6917" s="217" t="s">
        <v>250</v>
      </c>
    </row>
    <row r="6918" spans="1:8" ht="15">
      <c r="A6918" s="211" t="s">
        <v>488</v>
      </c>
      <c r="B6918" s="216" t="str">
        <f ca="1">_xlfn.CONCAT(B6912,A6918)</f>
        <v>2AB93AB-E</v>
      </c>
      <c r="C6918" s="17" t="str">
        <f>_xlfn.XLOOKUP(H6918,'Materiales unitario'!$A$1:$A$2500,'Materiales unitario'!B$1:B$2500,,0,1)</f>
        <v>Borna terminal estañada de ojo tipo pala #2 AWG</v>
      </c>
      <c r="D6918" s="184" t="str">
        <f>_xlfn.XLOOKUP(H6918,'Materiales unitario'!A$1:A$2500,'Materiales unitario'!C$1:C$2500,,0,1)</f>
        <v>un</v>
      </c>
      <c r="E6918" s="197">
        <f>_xlfn.XLOOKUP(H6918,'Materiales unitario'!$A$1:$A$2500,'Materiales unitario'!D$1:D$2500,,0,1)</f>
        <v>3251</v>
      </c>
      <c r="F6918" s="19">
        <v>0.2</v>
      </c>
      <c r="G6918" s="20">
        <f t="shared" si="195"/>
        <v>650.20000000000005</v>
      </c>
      <c r="H6918" s="217" t="s">
        <v>252</v>
      </c>
    </row>
    <row r="6919" spans="1:8" ht="15">
      <c r="A6919" s="211" t="s">
        <v>489</v>
      </c>
      <c r="B6919" s="216" t="str">
        <f ca="1">_xlfn.CONCAT(B6912,A6919)</f>
        <v>2AB93AB-F</v>
      </c>
      <c r="C6919" s="17" t="str">
        <f>_xlfn.XLOOKUP(H6919,'Materiales unitario'!$A$1:$A$2500,'Materiales unitario'!B$1:B$2500,,0,1)</f>
        <v>Termoencogible</v>
      </c>
      <c r="D6919" s="184" t="str">
        <f>_xlfn.XLOOKUP(H6919,'Materiales unitario'!A$1:A$2500,'Materiales unitario'!C$1:C$2500,,0,1)</f>
        <v>un</v>
      </c>
      <c r="E6919" s="197">
        <f>_xlfn.XLOOKUP(H6919,'Materiales unitario'!$A$1:$A$2500,'Materiales unitario'!D$1:D$2500,,0,1)</f>
        <v>5000</v>
      </c>
      <c r="F6919" s="19">
        <v>0.2</v>
      </c>
      <c r="G6919" s="20">
        <f t="shared" si="195"/>
        <v>1000</v>
      </c>
      <c r="H6919" s="217" t="s">
        <v>373</v>
      </c>
    </row>
    <row r="6920" spans="1:8" ht="15">
      <c r="A6920" s="211" t="s">
        <v>490</v>
      </c>
      <c r="B6920" s="216" t="str">
        <f ca="1">_xlfn.CONCAT(B6912,A6920)</f>
        <v>2AB93AB-G</v>
      </c>
      <c r="C6920" s="17"/>
      <c r="D6920" s="184"/>
      <c r="E6920" s="197"/>
      <c r="F6920" s="19"/>
      <c r="G6920" s="20"/>
      <c r="H6920" s="217"/>
    </row>
    <row r="6921" spans="1:8" ht="15">
      <c r="A6921" s="211" t="s">
        <v>491</v>
      </c>
      <c r="B6921" s="216" t="str">
        <f ca="1">_xlfn.CONCAT(B6912,A6921)</f>
        <v>2AB93AB-H</v>
      </c>
      <c r="C6921" s="17"/>
      <c r="D6921" s="184"/>
      <c r="E6921" s="197"/>
      <c r="F6921" s="19"/>
      <c r="G6921" s="20"/>
      <c r="H6921" s="217"/>
    </row>
    <row r="6922" spans="1:8" ht="15">
      <c r="A6922" s="211" t="s">
        <v>492</v>
      </c>
      <c r="B6922" s="216" t="str">
        <f ca="1">_xlfn.CONCAT(B6912,A6922)</f>
        <v>2AB93AB-I</v>
      </c>
      <c r="C6922" s="17"/>
      <c r="D6922" s="184"/>
      <c r="E6922" s="197"/>
      <c r="F6922" s="19"/>
      <c r="G6922" s="20"/>
      <c r="H6922" s="217"/>
    </row>
    <row r="6923" spans="1:8" ht="15">
      <c r="A6923" s="211" t="s">
        <v>493</v>
      </c>
      <c r="B6923" s="216" t="str">
        <f ca="1">_xlfn.CONCAT(B6912,A6923)</f>
        <v>2AB93AB-J</v>
      </c>
      <c r="C6923" s="17"/>
      <c r="D6923" s="184"/>
      <c r="E6923" s="197"/>
      <c r="F6923" s="19"/>
      <c r="G6923" s="20"/>
      <c r="H6923" s="217"/>
    </row>
    <row r="6924" spans="1:8" ht="15">
      <c r="A6924" s="211" t="s">
        <v>494</v>
      </c>
      <c r="B6924" s="216" t="str">
        <f ca="1">_xlfn.CONCAT(B6912,A6924)</f>
        <v>2AB93AB-K</v>
      </c>
      <c r="C6924" s="17"/>
      <c r="D6924" s="184"/>
      <c r="E6924" s="197"/>
      <c r="F6924" s="19"/>
      <c r="G6924" s="20"/>
      <c r="H6924" s="217"/>
    </row>
    <row r="6925" spans="1:8" ht="15">
      <c r="A6925" s="211" t="s">
        <v>495</v>
      </c>
      <c r="B6925" s="216" t="str">
        <f ca="1">_xlfn.CONCAT(B6912,A6925)</f>
        <v>2AB93AB-L</v>
      </c>
      <c r="C6925" s="17"/>
      <c r="D6925" s="184"/>
      <c r="E6925" s="197"/>
      <c r="F6925" s="19"/>
      <c r="G6925" s="20"/>
      <c r="H6925" s="217"/>
    </row>
    <row r="6926" spans="1:8" ht="15">
      <c r="A6926" s="211" t="s">
        <v>496</v>
      </c>
      <c r="B6926" s="216" t="str">
        <f ca="1">_xlfn.CONCAT(B6912,A6926)</f>
        <v>2AB93AB-M</v>
      </c>
      <c r="C6926" s="17"/>
      <c r="D6926" s="184"/>
      <c r="E6926" s="197"/>
      <c r="F6926" s="19"/>
      <c r="G6926" s="20"/>
      <c r="H6926" s="217"/>
    </row>
    <row r="6927" spans="1:8">
      <c r="A6927" s="211" t="s">
        <v>497</v>
      </c>
      <c r="B6927" s="216" t="str">
        <f ca="1">_xlfn.CONCAT(B6912,A6927)</f>
        <v>2AB93AB-N</v>
      </c>
      <c r="C6927" s="17"/>
      <c r="D6927" s="184"/>
      <c r="E6927" s="197"/>
      <c r="F6927" s="19"/>
      <c r="G6927" s="20"/>
    </row>
    <row r="6928" spans="1:8">
      <c r="A6928" s="211" t="s">
        <v>498</v>
      </c>
      <c r="B6928" s="216" t="str">
        <f ca="1">_xlfn.CONCAT(B6912,A6928)</f>
        <v>2AB93AB-O</v>
      </c>
      <c r="C6928" s="17"/>
      <c r="D6928" s="184"/>
      <c r="E6928" s="197"/>
      <c r="F6928" s="19"/>
      <c r="G6928" s="20"/>
    </row>
    <row r="6929" spans="1:8">
      <c r="A6929" s="211" t="s">
        <v>499</v>
      </c>
      <c r="B6929" s="216" t="str">
        <f ca="1">_xlfn.CONCAT(B6912,A6929)</f>
        <v>2AB93AB-P</v>
      </c>
      <c r="C6929" s="17"/>
      <c r="D6929" s="184"/>
      <c r="E6929" s="197"/>
      <c r="F6929" s="19"/>
      <c r="G6929" s="20"/>
    </row>
    <row r="6930" spans="1:8">
      <c r="A6930" s="211" t="s">
        <v>500</v>
      </c>
      <c r="B6930" s="216" t="str">
        <f ca="1">_xlfn.CONCAT(B6912,A6930)</f>
        <v>2AB93AB-Q</v>
      </c>
      <c r="C6930" s="17"/>
      <c r="D6930" s="184"/>
      <c r="E6930" s="197"/>
      <c r="F6930" s="19"/>
      <c r="G6930" s="20"/>
    </row>
    <row r="6931" spans="1:8">
      <c r="A6931" s="211" t="s">
        <v>501</v>
      </c>
      <c r="B6931" s="216" t="str">
        <f ca="1">_xlfn.CONCAT(B6912,A6931)</f>
        <v>2AB93AB-R</v>
      </c>
      <c r="C6931" s="17"/>
      <c r="D6931" s="184"/>
      <c r="E6931" s="197"/>
      <c r="F6931" s="19"/>
      <c r="G6931" s="20"/>
    </row>
    <row r="6932" spans="1:8">
      <c r="A6932" s="211" t="s">
        <v>502</v>
      </c>
      <c r="B6932" s="216" t="str">
        <f ca="1">_xlfn.CONCAT(B6912,A6932)</f>
        <v>2AB93AB-S</v>
      </c>
      <c r="C6932" s="17"/>
      <c r="D6932" s="184"/>
      <c r="E6932" s="197"/>
      <c r="F6932" s="19"/>
      <c r="G6932" s="20"/>
    </row>
    <row r="6933" spans="1:8">
      <c r="A6933" s="211" t="s">
        <v>503</v>
      </c>
      <c r="B6933" s="216" t="str">
        <f ca="1">_xlfn.CONCAT(B6912,A6933)</f>
        <v>2AB93AB-T</v>
      </c>
      <c r="C6933" s="17"/>
      <c r="D6933" s="184"/>
      <c r="E6933" s="197"/>
      <c r="F6933" s="19"/>
      <c r="G6933" s="20"/>
    </row>
    <row r="6934" spans="1:8" ht="14.25" thickBot="1">
      <c r="A6934" s="211" t="s">
        <v>504</v>
      </c>
      <c r="B6934" s="216" t="str">
        <f ca="1">_xlfn.CONCAT(B6912,A6934)</f>
        <v>2AB93AB-U</v>
      </c>
      <c r="C6934" s="17"/>
      <c r="D6934" s="184"/>
      <c r="E6934" s="197"/>
      <c r="F6934" s="19"/>
      <c r="G6934" s="20"/>
    </row>
    <row r="6935" spans="1:8" ht="14.25" thickBot="1">
      <c r="A6935" s="211" t="s">
        <v>505</v>
      </c>
      <c r="B6935" s="216" t="str">
        <f ca="1">_xlfn.CONCAT(B6912,A6935)</f>
        <v>2AB93AB-V</v>
      </c>
      <c r="C6935" s="17" t="s">
        <v>17</v>
      </c>
      <c r="D6935" s="192" t="s">
        <v>17</v>
      </c>
      <c r="E6935" s="18"/>
      <c r="F6935" s="22" t="s">
        <v>18</v>
      </c>
      <c r="G6935" s="23">
        <f>SUM(G6914:G6934)</f>
        <v>653621.04999999993</v>
      </c>
    </row>
    <row r="6936" spans="1:8" ht="15.75" thickBot="1">
      <c r="A6936" s="211" t="s">
        <v>506</v>
      </c>
      <c r="B6936" s="216" t="str">
        <f ca="1">_xlfn.CONCAT(B6912,A6936)</f>
        <v>2AB93AB-W</v>
      </c>
      <c r="C6936" s="10" t="s">
        <v>19</v>
      </c>
      <c r="D6936" s="190"/>
      <c r="E6936" s="11"/>
      <c r="F6936" s="12"/>
      <c r="G6936" s="13"/>
    </row>
    <row r="6937" spans="1:8" ht="14.25" thickBot="1">
      <c r="A6937" s="211" t="s">
        <v>507</v>
      </c>
      <c r="B6937" s="216" t="str">
        <f ca="1">_xlfn.CONCAT(B6912,A6937)</f>
        <v>2AB93AB-X</v>
      </c>
      <c r="C6937" s="14" t="s">
        <v>1</v>
      </c>
      <c r="D6937" s="15"/>
      <c r="E6937" s="15" t="s">
        <v>20</v>
      </c>
      <c r="F6937" s="16" t="s">
        <v>21</v>
      </c>
      <c r="G6937" s="15" t="s">
        <v>5</v>
      </c>
      <c r="H6937" s="215"/>
    </row>
    <row r="6938" spans="1:8">
      <c r="A6938" s="211" t="s">
        <v>508</v>
      </c>
      <c r="B6938" s="216" t="str">
        <f ca="1">_xlfn.CONCAT(B6912,A6938)</f>
        <v>2AB93AB-Y</v>
      </c>
      <c r="C6938" s="24" t="s">
        <v>22</v>
      </c>
      <c r="D6938" s="184"/>
      <c r="E6938" s="25">
        <f>_xlfn.XLOOKUP(C6938,'H-MO'!B$7:B$30,'H-MO'!D$7:D$30,,0,1)</f>
        <v>2436.5624999999995</v>
      </c>
      <c r="F6938" s="19">
        <v>1</v>
      </c>
      <c r="G6938" s="33">
        <f t="shared" ref="G6938:G6943" si="196">+E6938*F6938</f>
        <v>2436.5624999999995</v>
      </c>
    </row>
    <row r="6939" spans="1:8">
      <c r="A6939" s="211" t="s">
        <v>509</v>
      </c>
      <c r="B6939" s="216" t="str">
        <f ca="1">_xlfn.CONCAT(B6912,A6939)</f>
        <v>2AB93AB-Z</v>
      </c>
      <c r="C6939" s="24" t="s">
        <v>23</v>
      </c>
      <c r="D6939" s="184"/>
      <c r="E6939" s="25">
        <f>_xlfn.XLOOKUP(C6939,'H-MO'!B$7:B$30,'H-MO'!D$7:D$30,,0,1)</f>
        <v>1461.9374999999998</v>
      </c>
      <c r="F6939" s="19">
        <v>0.2</v>
      </c>
      <c r="G6939" s="33">
        <f t="shared" si="196"/>
        <v>292.38749999999999</v>
      </c>
    </row>
    <row r="6940" spans="1:8">
      <c r="A6940" s="211" t="s">
        <v>510</v>
      </c>
      <c r="B6940" s="216" t="str">
        <f ca="1">_xlfn.CONCAT(B6912,A6940)</f>
        <v>2AB93AB-aa</v>
      </c>
      <c r="C6940" s="24" t="s">
        <v>24</v>
      </c>
      <c r="D6940" s="185"/>
      <c r="E6940" s="25">
        <f>_xlfn.XLOOKUP(C6940,'H-MO'!B$7:B$30,'H-MO'!D$7:D$30,,0,1)</f>
        <v>29238.749999999996</v>
      </c>
      <c r="F6940" s="28">
        <v>0.1</v>
      </c>
      <c r="G6940" s="33">
        <f t="shared" si="196"/>
        <v>2923.875</v>
      </c>
    </row>
    <row r="6941" spans="1:8">
      <c r="A6941" s="211" t="s">
        <v>511</v>
      </c>
      <c r="B6941" s="216" t="str">
        <f ca="1">_xlfn.CONCAT(B6912,A6941)</f>
        <v>2AB93AB-ab</v>
      </c>
      <c r="C6941" s="24" t="s">
        <v>25</v>
      </c>
      <c r="D6941" s="185"/>
      <c r="E6941" s="25">
        <f>_xlfn.XLOOKUP(C6941,'H-MO'!B$7:B$30,'H-MO'!D$7:D$30,,0,1)</f>
        <v>2761.4374999999995</v>
      </c>
      <c r="F6941" s="28">
        <v>0.7</v>
      </c>
      <c r="G6941" s="33">
        <f t="shared" si="196"/>
        <v>1933.0062499999995</v>
      </c>
    </row>
    <row r="6942" spans="1:8">
      <c r="A6942" s="211" t="s">
        <v>512</v>
      </c>
      <c r="B6942" s="216" t="str">
        <f ca="1">_xlfn.CONCAT(B6912,A6942)</f>
        <v>2AB93AB-ac</v>
      </c>
      <c r="C6942" s="24"/>
      <c r="D6942" s="185"/>
      <c r="E6942" s="29"/>
      <c r="F6942" s="28"/>
      <c r="G6942" s="33">
        <f t="shared" si="196"/>
        <v>0</v>
      </c>
    </row>
    <row r="6943" spans="1:8" ht="14.25" thickBot="1">
      <c r="A6943" s="211" t="s">
        <v>513</v>
      </c>
      <c r="B6943" s="216" t="str">
        <f ca="1">_xlfn.CONCAT(B6912,A6943)</f>
        <v>2AB93AB-ad</v>
      </c>
      <c r="C6943" s="24"/>
      <c r="D6943" s="185"/>
      <c r="E6943" s="29"/>
      <c r="F6943" s="28"/>
      <c r="G6943" s="33">
        <f t="shared" si="196"/>
        <v>0</v>
      </c>
    </row>
    <row r="6944" spans="1:8" ht="14.25" thickBot="1">
      <c r="A6944" s="211" t="s">
        <v>514</v>
      </c>
      <c r="B6944" s="216" t="str">
        <f ca="1">_xlfn.CONCAT(B6912,A6944)</f>
        <v>2AB93AB-ae</v>
      </c>
      <c r="C6944" s="17"/>
      <c r="D6944" s="192"/>
      <c r="E6944" s="18"/>
      <c r="F6944" s="22" t="s">
        <v>26</v>
      </c>
      <c r="G6944" s="23">
        <f>SUM(G6938:G6943)</f>
        <v>7585.8312499999984</v>
      </c>
    </row>
    <row r="6945" spans="1:8" ht="15.75" thickBot="1">
      <c r="A6945" s="211" t="s">
        <v>515</v>
      </c>
      <c r="B6945" s="216" t="str">
        <f ca="1">_xlfn.CONCAT(B6912,A6945)</f>
        <v>2AB93AB-af</v>
      </c>
      <c r="C6945" s="10" t="s">
        <v>27</v>
      </c>
      <c r="D6945" s="190"/>
      <c r="E6945" s="11"/>
      <c r="F6945" s="12"/>
      <c r="G6945" s="13"/>
    </row>
    <row r="6946" spans="1:8" ht="14.25" thickBot="1">
      <c r="A6946" s="211" t="s">
        <v>516</v>
      </c>
      <c r="B6946" s="216" t="str">
        <f ca="1">_xlfn.CONCAT(B6912,A6946)</f>
        <v>2AB93AB-ag</v>
      </c>
      <c r="C6946" s="14" t="s">
        <v>1</v>
      </c>
      <c r="D6946" s="15" t="s">
        <v>28</v>
      </c>
      <c r="E6946" s="15" t="s">
        <v>20</v>
      </c>
      <c r="F6946" s="16" t="s">
        <v>21</v>
      </c>
      <c r="G6946" s="15" t="s">
        <v>5</v>
      </c>
      <c r="H6946" s="215"/>
    </row>
    <row r="6947" spans="1:8">
      <c r="A6947" s="211" t="s">
        <v>517</v>
      </c>
      <c r="B6947" s="216" t="str">
        <f ca="1">_xlfn.CONCAT(B6912,A6947)</f>
        <v>2AB93AB-ah</v>
      </c>
      <c r="C6947" s="30" t="s">
        <v>29</v>
      </c>
      <c r="D6947" s="186">
        <f>'H-MO'!$N$77</f>
        <v>725918.52892505517</v>
      </c>
      <c r="E6947" s="31">
        <f>+D6947/8</f>
        <v>90739.816115631897</v>
      </c>
      <c r="F6947" s="32">
        <v>1.655</v>
      </c>
      <c r="G6947" s="33">
        <f>+E6947*F6947</f>
        <v>150174.39567137079</v>
      </c>
      <c r="H6947" s="229"/>
    </row>
    <row r="6948" spans="1:8">
      <c r="A6948" s="211" t="s">
        <v>518</v>
      </c>
      <c r="B6948" s="216" t="str">
        <f ca="1">_xlfn.CONCAT(B6912,A6948)</f>
        <v>2AB93AB-ai</v>
      </c>
      <c r="C6948" s="34" t="s">
        <v>30</v>
      </c>
      <c r="D6948" s="187">
        <f>'H-MO'!$N$86</f>
        <v>685561.39085756091</v>
      </c>
      <c r="E6948" s="29">
        <f>+D6948/8</f>
        <v>85695.173857195114</v>
      </c>
      <c r="F6948" s="28"/>
      <c r="G6948" s="33">
        <f>+E6948*F6948</f>
        <v>0</v>
      </c>
    </row>
    <row r="6949" spans="1:8" ht="14.25" thickBot="1">
      <c r="A6949" s="211" t="s">
        <v>519</v>
      </c>
      <c r="B6949" s="216" t="str">
        <f ca="1">_xlfn.CONCAT(B6912,A6949)</f>
        <v>2AB93AB-aj</v>
      </c>
      <c r="C6949" s="34"/>
      <c r="D6949" s="187"/>
      <c r="E6949" s="29"/>
      <c r="F6949" s="28"/>
      <c r="G6949" s="33">
        <f>+E6949*F6949</f>
        <v>0</v>
      </c>
    </row>
    <row r="6950" spans="1:8" ht="14.25" thickBot="1">
      <c r="A6950" s="211" t="s">
        <v>520</v>
      </c>
      <c r="B6950" s="216" t="str">
        <f ca="1">_xlfn.CONCAT(B6912,A6950)</f>
        <v>2AB93AB-ak</v>
      </c>
      <c r="C6950" s="34"/>
      <c r="D6950" s="185"/>
      <c r="E6950" s="26"/>
      <c r="F6950" s="36" t="s">
        <v>31</v>
      </c>
      <c r="G6950" s="23">
        <f>SUM(G6947:G6949)</f>
        <v>150174.39567137079</v>
      </c>
    </row>
    <row r="6951" spans="1:8" ht="14.25" thickBot="1">
      <c r="A6951" s="211" t="s">
        <v>521</v>
      </c>
      <c r="B6951" s="216" t="str">
        <f ca="1">_xlfn.CONCAT(B6912,A6951)</f>
        <v>2AB93AB-al</v>
      </c>
      <c r="C6951" s="37"/>
      <c r="E6951" s="38"/>
      <c r="F6951" s="22"/>
      <c r="G6951" s="39"/>
    </row>
    <row r="6952" spans="1:8" ht="16.5" thickBot="1">
      <c r="A6952" s="211" t="s">
        <v>522</v>
      </c>
      <c r="B6952" s="216" t="str">
        <f ca="1">_xlfn.CONCAT(B6912,A6952)</f>
        <v>2AB93AB-am</v>
      </c>
      <c r="C6952" s="40"/>
      <c r="D6952" s="193"/>
      <c r="E6952" s="41"/>
      <c r="F6952" s="42"/>
      <c r="G6952" s="43">
        <f>+G6935+G6944+G6950</f>
        <v>811381.27692137077</v>
      </c>
    </row>
    <row r="6953" spans="1:8" ht="21.75" thickBot="1">
      <c r="B6953" s="212" t="s">
        <v>550</v>
      </c>
      <c r="C6953" s="2"/>
      <c r="D6953" s="183"/>
      <c r="F6953" s="4"/>
      <c r="G6953" s="5"/>
    </row>
    <row r="6954" spans="1:8" ht="18.75">
      <c r="A6954" s="213"/>
      <c r="B6954" s="214">
        <v>158</v>
      </c>
      <c r="C6954" s="242" t="str">
        <f ca="1">_xlfn.XLOOKUP(B6954,Cantidades!$A$10:$A$314,Cantidades!$C$10:$C$314,,0,1)</f>
        <v>Suministro e instalacion Cable de control 12x12</v>
      </c>
      <c r="D6954" s="243"/>
      <c r="E6954" s="243"/>
      <c r="F6954" s="243"/>
      <c r="G6954" s="244"/>
      <c r="H6954" s="213"/>
    </row>
    <row r="6955" spans="1:8" ht="19.5" thickBot="1">
      <c r="A6955" s="215"/>
      <c r="B6955" s="216" t="s">
        <v>550</v>
      </c>
      <c r="C6955" s="177"/>
      <c r="D6955" s="189"/>
      <c r="E6955" s="178"/>
      <c r="F6955" s="179" t="s">
        <v>636</v>
      </c>
      <c r="G6955" s="209" t="str">
        <f ca="1">B6956</f>
        <v>C122DD-</v>
      </c>
      <c r="H6955" s="215"/>
    </row>
    <row r="6956" spans="1:8" ht="15.75" thickBot="1">
      <c r="B6956" s="212" t="str">
        <f ca="1">_xlfn.XLOOKUP(C6954,Cantidades!$C$1:$C$314,Cantidades!$B$1:$B$314,"",0,1)</f>
        <v>C122DD-</v>
      </c>
      <c r="C6956" s="10" t="s">
        <v>0</v>
      </c>
      <c r="D6956" s="190"/>
      <c r="E6956" s="11"/>
      <c r="F6956" s="12"/>
      <c r="G6956" s="13"/>
    </row>
    <row r="6957" spans="1:8" ht="14.25" thickBot="1">
      <c r="A6957" s="215"/>
      <c r="B6957" s="216" t="s">
        <v>550</v>
      </c>
      <c r="C6957" s="14" t="s">
        <v>1</v>
      </c>
      <c r="D6957" s="15" t="s">
        <v>2</v>
      </c>
      <c r="E6957" s="15" t="s">
        <v>3</v>
      </c>
      <c r="F6957" s="16" t="s">
        <v>4</v>
      </c>
      <c r="G6957" s="15" t="s">
        <v>5</v>
      </c>
      <c r="H6957" s="215"/>
    </row>
    <row r="6958" spans="1:8" ht="15">
      <c r="A6958" s="211" t="s">
        <v>484</v>
      </c>
      <c r="B6958" s="216" t="str">
        <f ca="1">_xlfn.CONCAT(B6956,A6958)</f>
        <v>C122DD-A</v>
      </c>
      <c r="C6958" s="17" t="str">
        <f>_xlfn.XLOOKUP(H6958,'Materiales unitario'!$A$1:$A$2500,'Materiales unitario'!B$1:B$2500,,0,1)</f>
        <v>Cable Control 12x12</v>
      </c>
      <c r="D6958" s="184" t="str">
        <f>_xlfn.XLOOKUP(H6958,'Materiales unitario'!A$1:A$2500,'Materiales unitario'!C$1:C$2500,,0,1)</f>
        <v>un</v>
      </c>
      <c r="E6958" s="197">
        <f>_xlfn.XLOOKUP(H6958,'Materiales unitario'!$A$1:$A$2500,'Materiales unitario'!D$1:D$2500,,0,1)</f>
        <v>56210</v>
      </c>
      <c r="F6958" s="19">
        <v>2.1</v>
      </c>
      <c r="G6958" s="20">
        <f>+E6958*F6958</f>
        <v>118041</v>
      </c>
      <c r="H6958" s="217" t="s">
        <v>1345</v>
      </c>
    </row>
    <row r="6959" spans="1:8" ht="15">
      <c r="A6959" s="211" t="s">
        <v>485</v>
      </c>
      <c r="B6959" s="216" t="str">
        <f ca="1">_xlfn.CONCAT(B6956,A6959)</f>
        <v>C122DD-B</v>
      </c>
      <c r="C6959" s="17"/>
      <c r="D6959" s="184"/>
      <c r="E6959" s="197"/>
      <c r="F6959" s="19"/>
      <c r="G6959" s="20"/>
      <c r="H6959" s="217"/>
    </row>
    <row r="6960" spans="1:8" ht="15">
      <c r="A6960" s="211" t="s">
        <v>486</v>
      </c>
      <c r="B6960" s="216" t="str">
        <f ca="1">_xlfn.CONCAT(B6956,A6960)</f>
        <v>C122DD-C</v>
      </c>
      <c r="C6960" s="17"/>
      <c r="D6960" s="184"/>
      <c r="E6960" s="197"/>
      <c r="F6960" s="19"/>
      <c r="G6960" s="20"/>
      <c r="H6960" s="217"/>
    </row>
    <row r="6961" spans="1:8" ht="15">
      <c r="A6961" s="211" t="s">
        <v>487</v>
      </c>
      <c r="B6961" s="216" t="str">
        <f ca="1">_xlfn.CONCAT(B6956,A6961)</f>
        <v>C122DD-D</v>
      </c>
      <c r="C6961" s="17"/>
      <c r="D6961" s="184"/>
      <c r="E6961" s="197"/>
      <c r="F6961" s="19"/>
      <c r="G6961" s="20"/>
      <c r="H6961" s="217"/>
    </row>
    <row r="6962" spans="1:8" ht="15">
      <c r="A6962" s="211" t="s">
        <v>488</v>
      </c>
      <c r="B6962" s="216" t="str">
        <f ca="1">_xlfn.CONCAT(B6956,A6962)</f>
        <v>C122DD-E</v>
      </c>
      <c r="C6962" s="17"/>
      <c r="D6962" s="184"/>
      <c r="E6962" s="197"/>
      <c r="F6962" s="19"/>
      <c r="G6962" s="20"/>
      <c r="H6962" s="217"/>
    </row>
    <row r="6963" spans="1:8" ht="15">
      <c r="A6963" s="211" t="s">
        <v>489</v>
      </c>
      <c r="B6963" s="216" t="str">
        <f ca="1">_xlfn.CONCAT(B6956,A6963)</f>
        <v>C122DD-F</v>
      </c>
      <c r="C6963" s="17"/>
      <c r="D6963" s="184"/>
      <c r="E6963" s="197"/>
      <c r="F6963" s="19"/>
      <c r="G6963" s="20"/>
      <c r="H6963" s="217"/>
    </row>
    <row r="6964" spans="1:8" ht="15">
      <c r="A6964" s="211" t="s">
        <v>490</v>
      </c>
      <c r="B6964" s="216" t="str">
        <f ca="1">_xlfn.CONCAT(B6956,A6964)</f>
        <v>C122DD-G</v>
      </c>
      <c r="C6964" s="17"/>
      <c r="D6964" s="184"/>
      <c r="E6964" s="197"/>
      <c r="F6964" s="19"/>
      <c r="G6964" s="20"/>
      <c r="H6964" s="217"/>
    </row>
    <row r="6965" spans="1:8" ht="15">
      <c r="A6965" s="211" t="s">
        <v>491</v>
      </c>
      <c r="B6965" s="216" t="str">
        <f ca="1">_xlfn.CONCAT(B6956,A6965)</f>
        <v>C122DD-H</v>
      </c>
      <c r="C6965" s="17"/>
      <c r="D6965" s="184"/>
      <c r="E6965" s="197"/>
      <c r="F6965" s="19"/>
      <c r="G6965" s="20"/>
      <c r="H6965" s="217"/>
    </row>
    <row r="6966" spans="1:8" ht="15">
      <c r="A6966" s="211" t="s">
        <v>492</v>
      </c>
      <c r="B6966" s="216" t="str">
        <f ca="1">_xlfn.CONCAT(B6956,A6966)</f>
        <v>C122DD-I</v>
      </c>
      <c r="C6966" s="17"/>
      <c r="D6966" s="184"/>
      <c r="E6966" s="197"/>
      <c r="F6966" s="19"/>
      <c r="G6966" s="20"/>
      <c r="H6966" s="217"/>
    </row>
    <row r="6967" spans="1:8" ht="15">
      <c r="A6967" s="211" t="s">
        <v>493</v>
      </c>
      <c r="B6967" s="216" t="str">
        <f ca="1">_xlfn.CONCAT(B6956,A6967)</f>
        <v>C122DD-J</v>
      </c>
      <c r="C6967" s="17"/>
      <c r="D6967" s="184"/>
      <c r="E6967" s="197"/>
      <c r="F6967" s="19"/>
      <c r="G6967" s="20"/>
      <c r="H6967" s="217"/>
    </row>
    <row r="6968" spans="1:8" ht="15">
      <c r="A6968" s="211" t="s">
        <v>494</v>
      </c>
      <c r="B6968" s="216" t="str">
        <f ca="1">_xlfn.CONCAT(B6956,A6968)</f>
        <v>C122DD-K</v>
      </c>
      <c r="C6968" s="17"/>
      <c r="D6968" s="184"/>
      <c r="E6968" s="197"/>
      <c r="F6968" s="19"/>
      <c r="G6968" s="20"/>
      <c r="H6968" s="217"/>
    </row>
    <row r="6969" spans="1:8" ht="15">
      <c r="A6969" s="211" t="s">
        <v>495</v>
      </c>
      <c r="B6969" s="216" t="str">
        <f ca="1">_xlfn.CONCAT(B6956,A6969)</f>
        <v>C122DD-L</v>
      </c>
      <c r="C6969" s="17"/>
      <c r="D6969" s="184"/>
      <c r="E6969" s="197"/>
      <c r="F6969" s="19"/>
      <c r="G6969" s="20"/>
      <c r="H6969" s="217"/>
    </row>
    <row r="6970" spans="1:8" ht="15">
      <c r="A6970" s="211" t="s">
        <v>496</v>
      </c>
      <c r="B6970" s="216" t="str">
        <f ca="1">_xlfn.CONCAT(B6956,A6970)</f>
        <v>C122DD-M</v>
      </c>
      <c r="C6970" s="17"/>
      <c r="D6970" s="184"/>
      <c r="E6970" s="197"/>
      <c r="F6970" s="19"/>
      <c r="G6970" s="20"/>
      <c r="H6970" s="217"/>
    </row>
    <row r="6971" spans="1:8">
      <c r="A6971" s="211" t="s">
        <v>497</v>
      </c>
      <c r="B6971" s="216" t="str">
        <f ca="1">_xlfn.CONCAT(B6956,A6971)</f>
        <v>C122DD-N</v>
      </c>
      <c r="C6971" s="17"/>
      <c r="D6971" s="184"/>
      <c r="E6971" s="197"/>
      <c r="F6971" s="19"/>
      <c r="G6971" s="20"/>
    </row>
    <row r="6972" spans="1:8">
      <c r="A6972" s="211" t="s">
        <v>498</v>
      </c>
      <c r="B6972" s="216" t="str">
        <f ca="1">_xlfn.CONCAT(B6956,A6972)</f>
        <v>C122DD-O</v>
      </c>
      <c r="C6972" s="17"/>
      <c r="D6972" s="184"/>
      <c r="E6972" s="197"/>
      <c r="F6972" s="19"/>
      <c r="G6972" s="20"/>
    </row>
    <row r="6973" spans="1:8">
      <c r="A6973" s="211" t="s">
        <v>499</v>
      </c>
      <c r="B6973" s="216" t="str">
        <f ca="1">_xlfn.CONCAT(B6956,A6973)</f>
        <v>C122DD-P</v>
      </c>
      <c r="C6973" s="17"/>
      <c r="D6973" s="184"/>
      <c r="E6973" s="197"/>
      <c r="F6973" s="19"/>
      <c r="G6973" s="20"/>
    </row>
    <row r="6974" spans="1:8">
      <c r="A6974" s="211" t="s">
        <v>500</v>
      </c>
      <c r="B6974" s="216" t="str">
        <f ca="1">_xlfn.CONCAT(B6956,A6974)</f>
        <v>C122DD-Q</v>
      </c>
      <c r="C6974" s="17"/>
      <c r="D6974" s="184"/>
      <c r="E6974" s="197"/>
      <c r="F6974" s="19"/>
      <c r="G6974" s="20"/>
    </row>
    <row r="6975" spans="1:8">
      <c r="A6975" s="211" t="s">
        <v>501</v>
      </c>
      <c r="B6975" s="216" t="str">
        <f ca="1">_xlfn.CONCAT(B6956,A6975)</f>
        <v>C122DD-R</v>
      </c>
      <c r="C6975" s="17"/>
      <c r="D6975" s="184"/>
      <c r="E6975" s="197"/>
      <c r="F6975" s="19"/>
      <c r="G6975" s="20"/>
    </row>
    <row r="6976" spans="1:8">
      <c r="A6976" s="211" t="s">
        <v>502</v>
      </c>
      <c r="B6976" s="216" t="str">
        <f ca="1">_xlfn.CONCAT(B6956,A6976)</f>
        <v>C122DD-S</v>
      </c>
      <c r="C6976" s="17"/>
      <c r="D6976" s="184"/>
      <c r="E6976" s="197"/>
      <c r="F6976" s="19"/>
      <c r="G6976" s="20"/>
    </row>
    <row r="6977" spans="1:8">
      <c r="A6977" s="211" t="s">
        <v>503</v>
      </c>
      <c r="B6977" s="216" t="str">
        <f ca="1">_xlfn.CONCAT(B6956,A6977)</f>
        <v>C122DD-T</v>
      </c>
      <c r="C6977" s="17"/>
      <c r="D6977" s="184"/>
      <c r="E6977" s="197"/>
      <c r="F6977" s="19"/>
      <c r="G6977" s="20"/>
    </row>
    <row r="6978" spans="1:8" ht="14.25" thickBot="1">
      <c r="A6978" s="211" t="s">
        <v>504</v>
      </c>
      <c r="B6978" s="216" t="str">
        <f ca="1">_xlfn.CONCAT(B6956,A6978)</f>
        <v>C122DD-U</v>
      </c>
      <c r="C6978" s="17"/>
      <c r="D6978" s="184"/>
      <c r="E6978" s="197"/>
      <c r="F6978" s="19"/>
      <c r="G6978" s="20"/>
    </row>
    <row r="6979" spans="1:8" ht="14.25" thickBot="1">
      <c r="A6979" s="211" t="s">
        <v>505</v>
      </c>
      <c r="B6979" s="216" t="str">
        <f ca="1">_xlfn.CONCAT(B6956,A6979)</f>
        <v>C122DD-V</v>
      </c>
      <c r="C6979" s="17" t="s">
        <v>17</v>
      </c>
      <c r="D6979" s="192" t="s">
        <v>17</v>
      </c>
      <c r="E6979" s="18"/>
      <c r="F6979" s="22" t="s">
        <v>18</v>
      </c>
      <c r="G6979" s="23">
        <f>SUM(G6958:G6978)</f>
        <v>118041</v>
      </c>
    </row>
    <row r="6980" spans="1:8" ht="15.75" thickBot="1">
      <c r="A6980" s="211" t="s">
        <v>506</v>
      </c>
      <c r="B6980" s="216" t="str">
        <f ca="1">_xlfn.CONCAT(B6956,A6980)</f>
        <v>C122DD-W</v>
      </c>
      <c r="C6980" s="10" t="s">
        <v>19</v>
      </c>
      <c r="D6980" s="190"/>
      <c r="E6980" s="11"/>
      <c r="F6980" s="12"/>
      <c r="G6980" s="13"/>
    </row>
    <row r="6981" spans="1:8" ht="14.25" thickBot="1">
      <c r="A6981" s="211" t="s">
        <v>507</v>
      </c>
      <c r="B6981" s="216" t="str">
        <f ca="1">_xlfn.CONCAT(B6956,A6981)</f>
        <v>C122DD-X</v>
      </c>
      <c r="C6981" s="14" t="s">
        <v>1</v>
      </c>
      <c r="D6981" s="15"/>
      <c r="E6981" s="15" t="s">
        <v>20</v>
      </c>
      <c r="F6981" s="16" t="s">
        <v>21</v>
      </c>
      <c r="G6981" s="15" t="s">
        <v>5</v>
      </c>
      <c r="H6981" s="215"/>
    </row>
    <row r="6982" spans="1:8">
      <c r="A6982" s="211" t="s">
        <v>508</v>
      </c>
      <c r="B6982" s="216" t="str">
        <f ca="1">_xlfn.CONCAT(B6956,A6982)</f>
        <v>C122DD-Y</v>
      </c>
      <c r="C6982" s="24" t="s">
        <v>22</v>
      </c>
      <c r="D6982" s="184"/>
      <c r="E6982" s="25">
        <f>_xlfn.XLOOKUP(C6982,'H-MO'!B$7:B$30,'H-MO'!D$7:D$30,,0,1)</f>
        <v>2436.5624999999995</v>
      </c>
      <c r="F6982" s="19">
        <v>2</v>
      </c>
      <c r="G6982" s="33">
        <f t="shared" ref="G6982:G6987" si="197">+E6982*F6982</f>
        <v>4873.1249999999991</v>
      </c>
    </row>
    <row r="6983" spans="1:8">
      <c r="A6983" s="211" t="s">
        <v>509</v>
      </c>
      <c r="B6983" s="216" t="str">
        <f ca="1">_xlfn.CONCAT(B6956,A6983)</f>
        <v>C122DD-Z</v>
      </c>
      <c r="C6983" s="24" t="s">
        <v>23</v>
      </c>
      <c r="D6983" s="184"/>
      <c r="E6983" s="25">
        <f>_xlfn.XLOOKUP(C6983,'H-MO'!B$7:B$30,'H-MO'!D$7:D$30,,0,1)</f>
        <v>1461.9374999999998</v>
      </c>
      <c r="F6983" s="19">
        <v>0.1</v>
      </c>
      <c r="G6983" s="33">
        <f t="shared" si="197"/>
        <v>146.19374999999999</v>
      </c>
    </row>
    <row r="6984" spans="1:8">
      <c r="A6984" s="211" t="s">
        <v>510</v>
      </c>
      <c r="B6984" s="216" t="str">
        <f ca="1">_xlfn.CONCAT(B6956,A6984)</f>
        <v>C122DD-aa</v>
      </c>
      <c r="C6984" s="24" t="s">
        <v>24</v>
      </c>
      <c r="D6984" s="185"/>
      <c r="E6984" s="25">
        <f>_xlfn.XLOOKUP(C6984,'H-MO'!B$7:B$30,'H-MO'!D$7:D$30,,0,1)</f>
        <v>29238.749999999996</v>
      </c>
      <c r="F6984" s="28">
        <v>0.03</v>
      </c>
      <c r="G6984" s="33">
        <f t="shared" si="197"/>
        <v>877.16249999999991</v>
      </c>
    </row>
    <row r="6985" spans="1:8">
      <c r="A6985" s="211" t="s">
        <v>511</v>
      </c>
      <c r="B6985" s="216" t="str">
        <f ca="1">_xlfn.CONCAT(B6956,A6985)</f>
        <v>C122DD-ab</v>
      </c>
      <c r="C6985" s="24" t="s">
        <v>25</v>
      </c>
      <c r="D6985" s="185"/>
      <c r="E6985" s="25">
        <f>_xlfn.XLOOKUP(C6985,'H-MO'!B$7:B$30,'H-MO'!D$7:D$30,,0,1)</f>
        <v>2761.4374999999995</v>
      </c>
      <c r="F6985" s="28">
        <v>0.1</v>
      </c>
      <c r="G6985" s="33">
        <f t="shared" si="197"/>
        <v>276.14374999999995</v>
      </c>
    </row>
    <row r="6986" spans="1:8">
      <c r="A6986" s="211" t="s">
        <v>512</v>
      </c>
      <c r="B6986" s="216" t="str">
        <f ca="1">_xlfn.CONCAT(B6956,A6986)</f>
        <v>C122DD-ac</v>
      </c>
      <c r="C6986" s="24"/>
      <c r="D6986" s="185"/>
      <c r="E6986" s="29"/>
      <c r="F6986" s="28"/>
      <c r="G6986" s="33">
        <f t="shared" si="197"/>
        <v>0</v>
      </c>
    </row>
    <row r="6987" spans="1:8" ht="14.25" thickBot="1">
      <c r="A6987" s="211" t="s">
        <v>513</v>
      </c>
      <c r="B6987" s="216" t="str">
        <f ca="1">_xlfn.CONCAT(B6956,A6987)</f>
        <v>C122DD-ad</v>
      </c>
      <c r="C6987" s="24"/>
      <c r="D6987" s="185"/>
      <c r="E6987" s="29"/>
      <c r="F6987" s="28"/>
      <c r="G6987" s="33">
        <f t="shared" si="197"/>
        <v>0</v>
      </c>
    </row>
    <row r="6988" spans="1:8" ht="14.25" thickBot="1">
      <c r="A6988" s="211" t="s">
        <v>514</v>
      </c>
      <c r="B6988" s="216" t="str">
        <f ca="1">_xlfn.CONCAT(B6956,A6988)</f>
        <v>C122DD-ae</v>
      </c>
      <c r="C6988" s="17"/>
      <c r="D6988" s="192"/>
      <c r="E6988" s="18"/>
      <c r="F6988" s="22" t="s">
        <v>26</v>
      </c>
      <c r="G6988" s="23">
        <f>SUM(G6982:G6987)</f>
        <v>6172.6249999999991</v>
      </c>
    </row>
    <row r="6989" spans="1:8" ht="15.75" thickBot="1">
      <c r="A6989" s="211" t="s">
        <v>515</v>
      </c>
      <c r="B6989" s="216" t="str">
        <f ca="1">_xlfn.CONCAT(B6956,A6989)</f>
        <v>C122DD-af</v>
      </c>
      <c r="C6989" s="10" t="s">
        <v>27</v>
      </c>
      <c r="D6989" s="190"/>
      <c r="E6989" s="11"/>
      <c r="F6989" s="12"/>
      <c r="G6989" s="13"/>
    </row>
    <row r="6990" spans="1:8" ht="14.25" thickBot="1">
      <c r="A6990" s="211" t="s">
        <v>516</v>
      </c>
      <c r="B6990" s="216" t="str">
        <f ca="1">_xlfn.CONCAT(B6956,A6990)</f>
        <v>C122DD-ag</v>
      </c>
      <c r="C6990" s="14" t="s">
        <v>1</v>
      </c>
      <c r="D6990" s="15" t="s">
        <v>28</v>
      </c>
      <c r="E6990" s="15" t="s">
        <v>20</v>
      </c>
      <c r="F6990" s="16" t="s">
        <v>21</v>
      </c>
      <c r="G6990" s="15" t="s">
        <v>5</v>
      </c>
      <c r="H6990" s="215"/>
    </row>
    <row r="6991" spans="1:8">
      <c r="A6991" s="211" t="s">
        <v>517</v>
      </c>
      <c r="B6991" s="216" t="str">
        <f ca="1">_xlfn.CONCAT(B6956,A6991)</f>
        <v>C122DD-ah</v>
      </c>
      <c r="C6991" s="30" t="s">
        <v>29</v>
      </c>
      <c r="D6991" s="186">
        <f>'H-MO'!$N$77</f>
        <v>725918.52892505517</v>
      </c>
      <c r="E6991" s="31">
        <f>+D6991/8</f>
        <v>90739.816115631897</v>
      </c>
      <c r="F6991" s="32">
        <v>0.5</v>
      </c>
      <c r="G6991" s="33">
        <f>+E6991*F6991</f>
        <v>45369.908057815948</v>
      </c>
      <c r="H6991" s="229"/>
    </row>
    <row r="6992" spans="1:8">
      <c r="A6992" s="211" t="s">
        <v>518</v>
      </c>
      <c r="B6992" s="216" t="str">
        <f ca="1">_xlfn.CONCAT(B6956,A6992)</f>
        <v>C122DD-ai</v>
      </c>
      <c r="C6992" s="34" t="s">
        <v>30</v>
      </c>
      <c r="D6992" s="187">
        <f>'H-MO'!$N$86</f>
        <v>685561.39085756091</v>
      </c>
      <c r="E6992" s="29">
        <f>+D6992/8</f>
        <v>85695.173857195114</v>
      </c>
      <c r="F6992" s="28"/>
      <c r="G6992" s="33">
        <f>+E6992*F6992</f>
        <v>0</v>
      </c>
    </row>
    <row r="6993" spans="1:8" ht="14.25" thickBot="1">
      <c r="A6993" s="211" t="s">
        <v>519</v>
      </c>
      <c r="B6993" s="216" t="str">
        <f ca="1">_xlfn.CONCAT(B6956,A6993)</f>
        <v>C122DD-aj</v>
      </c>
      <c r="C6993" s="34"/>
      <c r="D6993" s="187"/>
      <c r="E6993" s="29"/>
      <c r="F6993" s="28"/>
      <c r="G6993" s="33">
        <f>+E6993*F6993</f>
        <v>0</v>
      </c>
    </row>
    <row r="6994" spans="1:8" ht="14.25" thickBot="1">
      <c r="A6994" s="211" t="s">
        <v>520</v>
      </c>
      <c r="B6994" s="216" t="str">
        <f ca="1">_xlfn.CONCAT(B6956,A6994)</f>
        <v>C122DD-ak</v>
      </c>
      <c r="C6994" s="34"/>
      <c r="D6994" s="185"/>
      <c r="E6994" s="26"/>
      <c r="F6994" s="36" t="s">
        <v>31</v>
      </c>
      <c r="G6994" s="23">
        <f>SUM(G6991:G6993)</f>
        <v>45369.908057815948</v>
      </c>
    </row>
    <row r="6995" spans="1:8" ht="14.25" thickBot="1">
      <c r="A6995" s="211" t="s">
        <v>521</v>
      </c>
      <c r="B6995" s="216" t="str">
        <f ca="1">_xlfn.CONCAT(B6956,A6995)</f>
        <v>C122DD-al</v>
      </c>
      <c r="C6995" s="37"/>
      <c r="E6995" s="38"/>
      <c r="F6995" s="22"/>
      <c r="G6995" s="39"/>
    </row>
    <row r="6996" spans="1:8" ht="16.5" thickBot="1">
      <c r="A6996" s="211" t="s">
        <v>522</v>
      </c>
      <c r="B6996" s="216" t="str">
        <f ca="1">_xlfn.CONCAT(B6956,A6996)</f>
        <v>C122DD-am</v>
      </c>
      <c r="C6996" s="40"/>
      <c r="D6996" s="193"/>
      <c r="E6996" s="41"/>
      <c r="F6996" s="42"/>
      <c r="G6996" s="43">
        <f>+G6979+G6988+G6994</f>
        <v>169583.53305781595</v>
      </c>
    </row>
    <row r="6997" spans="1:8" ht="21.75" thickBot="1">
      <c r="B6997" s="212" t="s">
        <v>550</v>
      </c>
      <c r="C6997" s="2"/>
      <c r="D6997" s="183"/>
      <c r="F6997" s="4"/>
      <c r="G6997" s="5"/>
    </row>
    <row r="6998" spans="1:8" ht="18.75">
      <c r="A6998" s="213"/>
      <c r="B6998" s="214">
        <v>159</v>
      </c>
      <c r="C6998" s="242" t="str">
        <f ca="1">_xlfn.XLOOKUP(B6998,Cantidades!$A$10:$A$314,Cantidades!$C$10:$C$314,,0,1)</f>
        <v>Suministro e instalación de tubería IMC de 3" x 3 m</v>
      </c>
      <c r="D6998" s="243"/>
      <c r="E6998" s="243"/>
      <c r="F6998" s="243"/>
      <c r="G6998" s="244"/>
    </row>
    <row r="6999" spans="1:8" ht="19.5" thickBot="1">
      <c r="A6999" s="215"/>
      <c r="B6999" s="216" t="s">
        <v>550</v>
      </c>
      <c r="C6999" s="177"/>
      <c r="D6999" s="189"/>
      <c r="E6999" s="178"/>
      <c r="F6999" s="179" t="s">
        <v>636</v>
      </c>
      <c r="G6999" s="209" t="str">
        <f ca="1">B7000</f>
        <v>121C1AFC-</v>
      </c>
    </row>
    <row r="7000" spans="1:8" ht="15.75" thickBot="1">
      <c r="B7000" s="212" t="str">
        <f ca="1">_xlfn.XLOOKUP(C6998,Cantidades!$C$1:$C$314,Cantidades!$B$1:$B$314,"",0,1)</f>
        <v>121C1AFC-</v>
      </c>
      <c r="C7000" s="10" t="s">
        <v>0</v>
      </c>
      <c r="D7000" s="190"/>
      <c r="E7000" s="11"/>
      <c r="F7000" s="12"/>
      <c r="G7000" s="13"/>
    </row>
    <row r="7001" spans="1:8" ht="14.25" thickBot="1">
      <c r="A7001" s="215"/>
      <c r="B7001" s="216" t="s">
        <v>550</v>
      </c>
      <c r="C7001" s="14" t="s">
        <v>1</v>
      </c>
      <c r="D7001" s="15" t="s">
        <v>2</v>
      </c>
      <c r="E7001" s="15" t="s">
        <v>3</v>
      </c>
      <c r="F7001" s="16" t="s">
        <v>4</v>
      </c>
      <c r="G7001" s="15" t="s">
        <v>5</v>
      </c>
    </row>
    <row r="7002" spans="1:8" ht="15">
      <c r="A7002" s="211" t="s">
        <v>484</v>
      </c>
      <c r="B7002" s="216" t="str">
        <f ca="1">_xlfn.CONCAT(B7000,A7002)</f>
        <v>121C1AFC-A</v>
      </c>
      <c r="C7002" s="17" t="str">
        <f>_xlfn.XLOOKUP(H7002,'Materiales unitario'!$A$1:$A$2500,'Materiales unitario'!B$1:B$2500,,0,1)</f>
        <v xml:space="preserve">Tubo metálico galv. Ø3" IMC </v>
      </c>
      <c r="D7002" s="184" t="str">
        <f>_xlfn.XLOOKUP(H7002,'Materiales unitario'!A$1:A$2500,'Materiales unitario'!C$1:C$2500,,0,1)</f>
        <v>ml</v>
      </c>
      <c r="E7002" s="197">
        <f>_xlfn.XLOOKUP(H7002,'Materiales unitario'!$A$1:$A$2500,'Materiales unitario'!D$1:D$2500,,0,1)</f>
        <v>136400</v>
      </c>
      <c r="F7002" s="19">
        <v>3.15</v>
      </c>
      <c r="G7002" s="20">
        <f>+E7002*F7002</f>
        <v>429660</v>
      </c>
      <c r="H7002" s="217" t="s">
        <v>1181</v>
      </c>
    </row>
    <row r="7003" spans="1:8" ht="15">
      <c r="A7003" s="211" t="s">
        <v>485</v>
      </c>
      <c r="B7003" s="216" t="str">
        <f ca="1">_xlfn.CONCAT(B7000,A7003)</f>
        <v>121C1AFC-B</v>
      </c>
      <c r="C7003" s="17" t="str">
        <f>_xlfn.XLOOKUP(H7003,'Materiales unitario'!$A$1:$A$2500,'Materiales unitario'!B$1:B$2500,,0,1)</f>
        <v xml:space="preserve">Unión Conduit galv. ø3" </v>
      </c>
      <c r="D7003" s="184" t="str">
        <f>_xlfn.XLOOKUP(H7003,'Materiales unitario'!A$1:A$2500,'Materiales unitario'!C$1:C$2500,,0,1)</f>
        <v>un</v>
      </c>
      <c r="E7003" s="197">
        <f>_xlfn.XLOOKUP(H7003,'Materiales unitario'!$A$1:$A$2500,'Materiales unitario'!D$1:D$2500,,0,1)</f>
        <v>23400</v>
      </c>
      <c r="F7003" s="19">
        <v>1</v>
      </c>
      <c r="G7003" s="20">
        <f>+E7003*F7003</f>
        <v>23400</v>
      </c>
      <c r="H7003" s="217" t="s">
        <v>1185</v>
      </c>
    </row>
    <row r="7004" spans="1:8" ht="15">
      <c r="A7004" s="211" t="s">
        <v>486</v>
      </c>
      <c r="B7004" s="216" t="str">
        <f ca="1">_xlfn.CONCAT(B7000,A7004)</f>
        <v>121C1AFC-C</v>
      </c>
      <c r="C7004" s="17" t="str">
        <f>_xlfn.XLOOKUP(H7004,'Materiales unitario'!$A$1:$A$2500,'Materiales unitario'!B$1:B$2500,,0,1)</f>
        <v>boquilla terminal 3"</v>
      </c>
      <c r="D7004" s="184" t="str">
        <f>_xlfn.XLOOKUP(H7004,'Materiales unitario'!A$1:A$2500,'Materiales unitario'!C$1:C$2500,,0,1)</f>
        <v>un</v>
      </c>
      <c r="E7004" s="197">
        <f>_xlfn.XLOOKUP(H7004,'Materiales unitario'!$A$1:$A$2500,'Materiales unitario'!D$1:D$2500,,0,1)</f>
        <v>13160</v>
      </c>
      <c r="F7004" s="19">
        <v>0.3</v>
      </c>
      <c r="G7004" s="20">
        <f>+E7004*F7004</f>
        <v>3948</v>
      </c>
      <c r="H7004" s="217" t="s">
        <v>1351</v>
      </c>
    </row>
    <row r="7005" spans="1:8" ht="15">
      <c r="A7005" s="211" t="s">
        <v>487</v>
      </c>
      <c r="B7005" s="216" t="str">
        <f ca="1">_xlfn.CONCAT(B7000,A7005)</f>
        <v>121C1AFC-D</v>
      </c>
      <c r="C7005" s="17" t="str">
        <f>_xlfn.XLOOKUP(H7005,'Materiales unitario'!$A$1:$A$2500,'Materiales unitario'!B$1:B$2500,,0,1)</f>
        <v>Curva IMC 3"</v>
      </c>
      <c r="D7005" s="184" t="str">
        <f>_xlfn.XLOOKUP(H7005,'Materiales unitario'!A$1:A$2500,'Materiales unitario'!C$1:C$2500,,0,1)</f>
        <v>un</v>
      </c>
      <c r="E7005" s="197">
        <f>_xlfn.XLOOKUP(H7005,'Materiales unitario'!$A$1:$A$2500,'Materiales unitario'!D$1:D$2500,,0,1)</f>
        <v>110220</v>
      </c>
      <c r="F7005" s="19">
        <v>0.25</v>
      </c>
      <c r="G7005" s="20">
        <f>+E7005*F7005</f>
        <v>27555</v>
      </c>
      <c r="H7005" s="217" t="s">
        <v>1353</v>
      </c>
    </row>
    <row r="7006" spans="1:8" ht="15">
      <c r="A7006" s="211" t="s">
        <v>488</v>
      </c>
      <c r="B7006" s="216" t="str">
        <f ca="1">_xlfn.CONCAT(B7000,A7006)</f>
        <v>121C1AFC-E</v>
      </c>
      <c r="C7006" s="17" t="str">
        <f>_xlfn.XLOOKUP(H7006,'Materiales unitario'!$A$1:$A$2500,'Materiales unitario'!B$1:B$2500,,0,1)</f>
        <v>Accesorios de anclaje y fijacion.</v>
      </c>
      <c r="D7006" s="184" t="str">
        <f>_xlfn.XLOOKUP(H7006,'Materiales unitario'!A$1:A$2500,'Materiales unitario'!C$1:C$2500,,0,1)</f>
        <v>un</v>
      </c>
      <c r="E7006" s="197">
        <f>_xlfn.XLOOKUP(H7006,'Materiales unitario'!$A$1:$A$2500,'Materiales unitario'!D$1:D$2500,,0,1)</f>
        <v>10000</v>
      </c>
      <c r="F7006" s="19">
        <v>0.5</v>
      </c>
      <c r="G7006" s="20">
        <f>+E7006*F7006</f>
        <v>5000</v>
      </c>
      <c r="H7006" s="217" t="s">
        <v>222</v>
      </c>
    </row>
    <row r="7007" spans="1:8" ht="15">
      <c r="A7007" s="211" t="s">
        <v>489</v>
      </c>
      <c r="B7007" s="216" t="str">
        <f ca="1">_xlfn.CONCAT(B7000,A7007)</f>
        <v>121C1AFC-F</v>
      </c>
      <c r="C7007" s="17"/>
      <c r="D7007" s="184"/>
      <c r="E7007" s="197"/>
      <c r="F7007" s="19"/>
      <c r="G7007" s="20"/>
      <c r="H7007" s="217"/>
    </row>
    <row r="7008" spans="1:8" ht="15">
      <c r="A7008" s="211" t="s">
        <v>490</v>
      </c>
      <c r="B7008" s="216" t="str">
        <f ca="1">_xlfn.CONCAT(B7000,A7008)</f>
        <v>121C1AFC-G</v>
      </c>
      <c r="C7008" s="17"/>
      <c r="D7008" s="184"/>
      <c r="E7008" s="197"/>
      <c r="F7008" s="19"/>
      <c r="G7008" s="20"/>
      <c r="H7008" s="217"/>
    </row>
    <row r="7009" spans="1:8" ht="15">
      <c r="A7009" s="211" t="s">
        <v>491</v>
      </c>
      <c r="B7009" s="216" t="str">
        <f ca="1">_xlfn.CONCAT(B7000,A7009)</f>
        <v>121C1AFC-H</v>
      </c>
      <c r="C7009" s="17"/>
      <c r="D7009" s="184"/>
      <c r="E7009" s="197"/>
      <c r="F7009" s="19"/>
      <c r="G7009" s="20"/>
      <c r="H7009" s="217"/>
    </row>
    <row r="7010" spans="1:8" ht="15">
      <c r="A7010" s="211" t="s">
        <v>492</v>
      </c>
      <c r="B7010" s="216" t="str">
        <f ca="1">_xlfn.CONCAT(B7000,A7010)</f>
        <v>121C1AFC-I</v>
      </c>
      <c r="C7010" s="17"/>
      <c r="D7010" s="184"/>
      <c r="E7010" s="197"/>
      <c r="F7010" s="19"/>
      <c r="G7010" s="20"/>
      <c r="H7010" s="217"/>
    </row>
    <row r="7011" spans="1:8" ht="15">
      <c r="A7011" s="211" t="s">
        <v>493</v>
      </c>
      <c r="B7011" s="216" t="str">
        <f ca="1">_xlfn.CONCAT(B7000,A7011)</f>
        <v>121C1AFC-J</v>
      </c>
      <c r="C7011" s="17"/>
      <c r="D7011" s="184"/>
      <c r="E7011" s="197"/>
      <c r="F7011" s="19"/>
      <c r="G7011" s="20"/>
      <c r="H7011" s="217"/>
    </row>
    <row r="7012" spans="1:8">
      <c r="A7012" s="211" t="s">
        <v>494</v>
      </c>
      <c r="B7012" s="216" t="str">
        <f ca="1">_xlfn.CONCAT(B7000,A7012)</f>
        <v>121C1AFC-K</v>
      </c>
      <c r="C7012" s="17"/>
      <c r="D7012" s="184"/>
      <c r="E7012" s="197"/>
      <c r="F7012" s="19"/>
      <c r="G7012" s="20"/>
    </row>
    <row r="7013" spans="1:8">
      <c r="A7013" s="211" t="s">
        <v>495</v>
      </c>
      <c r="B7013" s="216" t="str">
        <f ca="1">_xlfn.CONCAT(B7000,A7013)</f>
        <v>121C1AFC-L</v>
      </c>
      <c r="C7013" s="17"/>
      <c r="D7013" s="184"/>
      <c r="E7013" s="197"/>
      <c r="F7013" s="19"/>
      <c r="G7013" s="20"/>
    </row>
    <row r="7014" spans="1:8">
      <c r="A7014" s="211" t="s">
        <v>496</v>
      </c>
      <c r="B7014" s="216" t="str">
        <f ca="1">_xlfn.CONCAT(B7000,A7014)</f>
        <v>121C1AFC-M</v>
      </c>
      <c r="C7014" s="17"/>
      <c r="D7014" s="184"/>
      <c r="E7014" s="197"/>
      <c r="F7014" s="19"/>
      <c r="G7014" s="20"/>
    </row>
    <row r="7015" spans="1:8">
      <c r="A7015" s="211" t="s">
        <v>497</v>
      </c>
      <c r="B7015" s="216" t="str">
        <f ca="1">_xlfn.CONCAT(B7000,A7015)</f>
        <v>121C1AFC-N</v>
      </c>
      <c r="C7015" s="17"/>
      <c r="D7015" s="184"/>
      <c r="E7015" s="197"/>
      <c r="F7015" s="19"/>
      <c r="G7015" s="20"/>
    </row>
    <row r="7016" spans="1:8">
      <c r="A7016" s="211" t="s">
        <v>498</v>
      </c>
      <c r="B7016" s="216" t="str">
        <f ca="1">_xlfn.CONCAT(B7000,A7016)</f>
        <v>121C1AFC-O</v>
      </c>
      <c r="C7016" s="17"/>
      <c r="D7016" s="184"/>
      <c r="E7016" s="197"/>
      <c r="F7016" s="19"/>
      <c r="G7016" s="20"/>
    </row>
    <row r="7017" spans="1:8">
      <c r="A7017" s="211" t="s">
        <v>499</v>
      </c>
      <c r="B7017" s="216" t="str">
        <f ca="1">_xlfn.CONCAT(B7000,A7017)</f>
        <v>121C1AFC-P</v>
      </c>
      <c r="C7017" s="17"/>
      <c r="D7017" s="184"/>
      <c r="E7017" s="197"/>
      <c r="F7017" s="19"/>
      <c r="G7017" s="20"/>
    </row>
    <row r="7018" spans="1:8">
      <c r="A7018" s="211" t="s">
        <v>500</v>
      </c>
      <c r="B7018" s="216" t="str">
        <f ca="1">_xlfn.CONCAT(B7000,A7018)</f>
        <v>121C1AFC-Q</v>
      </c>
      <c r="C7018" s="17"/>
      <c r="D7018" s="184"/>
      <c r="E7018" s="197"/>
      <c r="F7018" s="19"/>
      <c r="G7018" s="20"/>
    </row>
    <row r="7019" spans="1:8">
      <c r="A7019" s="211" t="s">
        <v>501</v>
      </c>
      <c r="B7019" s="216" t="str">
        <f ca="1">_xlfn.CONCAT(B7000,A7019)</f>
        <v>121C1AFC-R</v>
      </c>
      <c r="C7019" s="17"/>
      <c r="D7019" s="184"/>
      <c r="E7019" s="197"/>
      <c r="F7019" s="19"/>
      <c r="G7019" s="20"/>
    </row>
    <row r="7020" spans="1:8">
      <c r="A7020" s="211" t="s">
        <v>502</v>
      </c>
      <c r="B7020" s="216" t="str">
        <f ca="1">_xlfn.CONCAT(B7000,A7020)</f>
        <v>121C1AFC-S</v>
      </c>
      <c r="C7020" s="17"/>
      <c r="D7020" s="184"/>
      <c r="E7020" s="197"/>
      <c r="F7020" s="19"/>
      <c r="G7020" s="20"/>
    </row>
    <row r="7021" spans="1:8">
      <c r="A7021" s="211" t="s">
        <v>503</v>
      </c>
      <c r="B7021" s="216" t="str">
        <f ca="1">_xlfn.CONCAT(B7000,A7021)</f>
        <v>121C1AFC-T</v>
      </c>
      <c r="C7021" s="17"/>
      <c r="D7021" s="184"/>
      <c r="E7021" s="197"/>
      <c r="F7021" s="19"/>
      <c r="G7021" s="20"/>
    </row>
    <row r="7022" spans="1:8" ht="14.25" thickBot="1">
      <c r="A7022" s="211" t="s">
        <v>504</v>
      </c>
      <c r="B7022" s="216" t="str">
        <f ca="1">_xlfn.CONCAT(B7000,A7022)</f>
        <v>121C1AFC-U</v>
      </c>
      <c r="C7022" s="17"/>
      <c r="D7022" s="184"/>
      <c r="E7022" s="197"/>
      <c r="F7022" s="19"/>
      <c r="G7022" s="20"/>
    </row>
    <row r="7023" spans="1:8" ht="14.25" thickBot="1">
      <c r="A7023" s="211" t="s">
        <v>505</v>
      </c>
      <c r="B7023" s="216" t="str">
        <f ca="1">_xlfn.CONCAT(B7000,A7023)</f>
        <v>121C1AFC-V</v>
      </c>
      <c r="C7023" s="17" t="s">
        <v>17</v>
      </c>
      <c r="D7023" s="192" t="s">
        <v>17</v>
      </c>
      <c r="E7023" s="18"/>
      <c r="F7023" s="22" t="s">
        <v>18</v>
      </c>
      <c r="G7023" s="23">
        <f>SUM(G7002:G7022)</f>
        <v>489563</v>
      </c>
    </row>
    <row r="7024" spans="1:8" ht="15.75" thickBot="1">
      <c r="A7024" s="211" t="s">
        <v>506</v>
      </c>
      <c r="B7024" s="216" t="str">
        <f ca="1">_xlfn.CONCAT(B7000,A7024)</f>
        <v>121C1AFC-W</v>
      </c>
      <c r="C7024" s="10" t="s">
        <v>19</v>
      </c>
      <c r="D7024" s="190"/>
      <c r="E7024" s="11"/>
      <c r="F7024" s="12"/>
      <c r="G7024" s="13"/>
    </row>
    <row r="7025" spans="1:7" ht="14.25" thickBot="1">
      <c r="A7025" s="211" t="s">
        <v>507</v>
      </c>
      <c r="B7025" s="216" t="str">
        <f ca="1">_xlfn.CONCAT(B7000,A7025)</f>
        <v>121C1AFC-X</v>
      </c>
      <c r="C7025" s="14" t="s">
        <v>1</v>
      </c>
      <c r="D7025" s="15"/>
      <c r="E7025" s="15" t="s">
        <v>20</v>
      </c>
      <c r="F7025" s="16" t="s">
        <v>21</v>
      </c>
      <c r="G7025" s="15" t="s">
        <v>5</v>
      </c>
    </row>
    <row r="7026" spans="1:7">
      <c r="A7026" s="211" t="s">
        <v>508</v>
      </c>
      <c r="B7026" s="216" t="str">
        <f ca="1">_xlfn.CONCAT(B7000,A7026)</f>
        <v>121C1AFC-Y</v>
      </c>
      <c r="C7026" s="24" t="s">
        <v>22</v>
      </c>
      <c r="D7026" s="184"/>
      <c r="E7026" s="25">
        <f>_xlfn.XLOOKUP(C7026,'H-MO'!B$7:B$30,'H-MO'!D$7:D$30,,0,1)</f>
        <v>2436.5624999999995</v>
      </c>
      <c r="F7026" s="19">
        <v>1</v>
      </c>
      <c r="G7026" s="33">
        <f t="shared" ref="G7026:G7031" si="198">+E7026*F7026</f>
        <v>2436.5624999999995</v>
      </c>
    </row>
    <row r="7027" spans="1:7">
      <c r="A7027" s="211" t="s">
        <v>509</v>
      </c>
      <c r="B7027" s="216" t="str">
        <f ca="1">_xlfn.CONCAT(B7000,A7027)</f>
        <v>121C1AFC-Z</v>
      </c>
      <c r="C7027" s="24" t="s">
        <v>23</v>
      </c>
      <c r="D7027" s="184"/>
      <c r="E7027" s="25">
        <f>_xlfn.XLOOKUP(C7027,'H-MO'!B$7:B$30,'H-MO'!D$7:D$30,,0,1)</f>
        <v>1461.9374999999998</v>
      </c>
      <c r="F7027" s="19">
        <v>0.4</v>
      </c>
      <c r="G7027" s="33">
        <f t="shared" si="198"/>
        <v>584.77499999999998</v>
      </c>
    </row>
    <row r="7028" spans="1:7">
      <c r="A7028" s="211" t="s">
        <v>510</v>
      </c>
      <c r="B7028" s="216" t="str">
        <f ca="1">_xlfn.CONCAT(B7000,A7028)</f>
        <v>121C1AFC-aa</v>
      </c>
      <c r="C7028" s="24" t="s">
        <v>24</v>
      </c>
      <c r="D7028" s="185"/>
      <c r="E7028" s="25">
        <f>_xlfn.XLOOKUP(C7028,'H-MO'!B$7:B$30,'H-MO'!D$7:D$30,,0,1)</f>
        <v>29238.749999999996</v>
      </c>
      <c r="F7028" s="28">
        <v>0.25</v>
      </c>
      <c r="G7028" s="33">
        <f t="shared" si="198"/>
        <v>7309.6874999999991</v>
      </c>
    </row>
    <row r="7029" spans="1:7">
      <c r="A7029" s="211" t="s">
        <v>511</v>
      </c>
      <c r="B7029" s="216" t="str">
        <f ca="1">_xlfn.CONCAT(B7000,A7029)</f>
        <v>121C1AFC-ab</v>
      </c>
      <c r="C7029" s="24" t="s">
        <v>25</v>
      </c>
      <c r="D7029" s="185"/>
      <c r="E7029" s="25">
        <f>_xlfn.XLOOKUP(C7029,'H-MO'!B$7:B$30,'H-MO'!D$7:D$30,,0,1)</f>
        <v>2761.4374999999995</v>
      </c>
      <c r="F7029" s="28">
        <v>1</v>
      </c>
      <c r="G7029" s="33">
        <f t="shared" si="198"/>
        <v>2761.4374999999995</v>
      </c>
    </row>
    <row r="7030" spans="1:7">
      <c r="A7030" s="211" t="s">
        <v>512</v>
      </c>
      <c r="B7030" s="216" t="str">
        <f ca="1">_xlfn.CONCAT(B7000,A7030)</f>
        <v>121C1AFC-ac</v>
      </c>
      <c r="C7030" s="24"/>
      <c r="D7030" s="185"/>
      <c r="E7030" s="29"/>
      <c r="F7030" s="28"/>
      <c r="G7030" s="33">
        <f t="shared" si="198"/>
        <v>0</v>
      </c>
    </row>
    <row r="7031" spans="1:7" ht="14.25" thickBot="1">
      <c r="A7031" s="211" t="s">
        <v>513</v>
      </c>
      <c r="B7031" s="216" t="str">
        <f ca="1">_xlfn.CONCAT(B7000,A7031)</f>
        <v>121C1AFC-ad</v>
      </c>
      <c r="C7031" s="24"/>
      <c r="D7031" s="185"/>
      <c r="E7031" s="29"/>
      <c r="F7031" s="28"/>
      <c r="G7031" s="33">
        <f t="shared" si="198"/>
        <v>0</v>
      </c>
    </row>
    <row r="7032" spans="1:7" ht="14.25" thickBot="1">
      <c r="A7032" s="211" t="s">
        <v>514</v>
      </c>
      <c r="B7032" s="216" t="str">
        <f ca="1">_xlfn.CONCAT(B7000,A7032)</f>
        <v>121C1AFC-ae</v>
      </c>
      <c r="C7032" s="17"/>
      <c r="D7032" s="192"/>
      <c r="E7032" s="18"/>
      <c r="F7032" s="22" t="s">
        <v>26</v>
      </c>
      <c r="G7032" s="23">
        <f>SUM(G7026:G7031)</f>
        <v>13092.462499999998</v>
      </c>
    </row>
    <row r="7033" spans="1:7" ht="15.75" thickBot="1">
      <c r="A7033" s="211" t="s">
        <v>515</v>
      </c>
      <c r="B7033" s="216" t="str">
        <f ca="1">_xlfn.CONCAT(B7000,A7033)</f>
        <v>121C1AFC-af</v>
      </c>
      <c r="C7033" s="10" t="s">
        <v>27</v>
      </c>
      <c r="D7033" s="190"/>
      <c r="E7033" s="11"/>
      <c r="F7033" s="12"/>
      <c r="G7033" s="13"/>
    </row>
    <row r="7034" spans="1:7" ht="14.25" thickBot="1">
      <c r="A7034" s="211" t="s">
        <v>516</v>
      </c>
      <c r="B7034" s="216" t="str">
        <f ca="1">_xlfn.CONCAT(B7000,A7034)</f>
        <v>121C1AFC-ag</v>
      </c>
      <c r="C7034" s="14" t="s">
        <v>1</v>
      </c>
      <c r="D7034" s="15" t="s">
        <v>28</v>
      </c>
      <c r="E7034" s="15" t="s">
        <v>20</v>
      </c>
      <c r="F7034" s="16" t="s">
        <v>21</v>
      </c>
      <c r="G7034" s="15" t="s">
        <v>5</v>
      </c>
    </row>
    <row r="7035" spans="1:7">
      <c r="A7035" s="211" t="s">
        <v>517</v>
      </c>
      <c r="B7035" s="216" t="str">
        <f ca="1">_xlfn.CONCAT(B7000,A7035)</f>
        <v>121C1AFC-ah</v>
      </c>
      <c r="C7035" s="30" t="s">
        <v>29</v>
      </c>
      <c r="D7035" s="186">
        <f>'H-MO'!$N$77</f>
        <v>725918.52892505517</v>
      </c>
      <c r="E7035" s="31">
        <f>+D7035/8</f>
        <v>90739.816115631897</v>
      </c>
      <c r="F7035" s="32">
        <v>1.4</v>
      </c>
      <c r="G7035" s="33">
        <f>+E7035*F7035</f>
        <v>127035.74256188465</v>
      </c>
    </row>
    <row r="7036" spans="1:7">
      <c r="A7036" s="211" t="s">
        <v>518</v>
      </c>
      <c r="B7036" s="216" t="str">
        <f ca="1">_xlfn.CONCAT(B7000,A7036)</f>
        <v>121C1AFC-ai</v>
      </c>
      <c r="C7036" s="34" t="s">
        <v>30</v>
      </c>
      <c r="D7036" s="187">
        <f>'H-MO'!$N$86</f>
        <v>685561.39085756091</v>
      </c>
      <c r="E7036" s="29">
        <f>+D7036/8</f>
        <v>85695.173857195114</v>
      </c>
      <c r="F7036" s="28">
        <v>0</v>
      </c>
      <c r="G7036" s="33">
        <f>+E7036*F7036</f>
        <v>0</v>
      </c>
    </row>
    <row r="7037" spans="1:7" ht="14.25" thickBot="1">
      <c r="A7037" s="211" t="s">
        <v>519</v>
      </c>
      <c r="B7037" s="216" t="str">
        <f ca="1">_xlfn.CONCAT(B7000,A7037)</f>
        <v>121C1AFC-aj</v>
      </c>
      <c r="C7037" s="34"/>
      <c r="D7037" s="187"/>
      <c r="E7037" s="29"/>
      <c r="F7037" s="28"/>
      <c r="G7037" s="33">
        <f>+E7037*F7037</f>
        <v>0</v>
      </c>
    </row>
    <row r="7038" spans="1:7" ht="14.25" thickBot="1">
      <c r="A7038" s="211" t="s">
        <v>520</v>
      </c>
      <c r="B7038" s="216" t="str">
        <f ca="1">_xlfn.CONCAT(B7000,A7038)</f>
        <v>121C1AFC-ak</v>
      </c>
      <c r="C7038" s="34"/>
      <c r="D7038" s="185"/>
      <c r="E7038" s="26"/>
      <c r="F7038" s="36" t="s">
        <v>31</v>
      </c>
      <c r="G7038" s="23">
        <f>SUM(G7035:G7037)</f>
        <v>127035.74256188465</v>
      </c>
    </row>
    <row r="7039" spans="1:7" ht="14.25" thickBot="1">
      <c r="A7039" s="211" t="s">
        <v>521</v>
      </c>
      <c r="B7039" s="216" t="str">
        <f ca="1">_xlfn.CONCAT(B7000,A7039)</f>
        <v>121C1AFC-al</v>
      </c>
      <c r="C7039" s="37"/>
      <c r="E7039" s="38"/>
      <c r="F7039" s="22"/>
      <c r="G7039" s="39"/>
    </row>
    <row r="7040" spans="1:7" ht="16.5" thickBot="1">
      <c r="A7040" s="211" t="s">
        <v>522</v>
      </c>
      <c r="B7040" s="216" t="str">
        <f ca="1">_xlfn.CONCAT(B7000,A7040)</f>
        <v>121C1AFC-am</v>
      </c>
      <c r="C7040" s="40"/>
      <c r="D7040" s="193"/>
      <c r="E7040" s="41"/>
      <c r="F7040" s="42"/>
      <c r="G7040" s="43">
        <f>+G7023+G7032+G7038</f>
        <v>629691.20506188471</v>
      </c>
    </row>
    <row r="7041" spans="1:8" ht="21.75" thickBot="1">
      <c r="B7041" s="212" t="s">
        <v>550</v>
      </c>
      <c r="C7041" s="2"/>
      <c r="D7041" s="183"/>
      <c r="F7041" s="4"/>
      <c r="G7041" s="5"/>
    </row>
    <row r="7042" spans="1:8" ht="18.75">
      <c r="A7042" s="213"/>
      <c r="B7042" s="214">
        <v>160</v>
      </c>
      <c r="C7042" s="242" t="str">
        <f ca="1">_xlfn.XLOOKUP(B7042,Cantidades!$A$10:$A$314,Cantidades!$C$10:$C$314,,0,1)</f>
        <v>Suministro e instalacion de tablero trifasico de 12 circuitos TWC</v>
      </c>
      <c r="D7042" s="243"/>
      <c r="E7042" s="243"/>
      <c r="F7042" s="243"/>
      <c r="G7042" s="244"/>
      <c r="H7042" s="213"/>
    </row>
    <row r="7043" spans="1:8" ht="19.5" thickBot="1">
      <c r="A7043" s="215"/>
      <c r="B7043" s="216" t="s">
        <v>550</v>
      </c>
      <c r="C7043" s="177"/>
      <c r="D7043" s="189"/>
      <c r="E7043" s="178"/>
      <c r="F7043" s="179" t="s">
        <v>636</v>
      </c>
      <c r="G7043" s="209" t="str">
        <f ca="1">B7044</f>
        <v>2F52EC59-</v>
      </c>
      <c r="H7043" s="215"/>
    </row>
    <row r="7044" spans="1:8" ht="15.75" thickBot="1">
      <c r="B7044" s="212" t="str">
        <f ca="1">_xlfn.XLOOKUP(C7042,Cantidades!$C$1:$C$314,Cantidades!$B$1:$B$314,"",0,1)</f>
        <v>2F52EC59-</v>
      </c>
      <c r="C7044" s="10" t="s">
        <v>0</v>
      </c>
      <c r="D7044" s="190"/>
      <c r="E7044" s="11"/>
      <c r="F7044" s="12"/>
      <c r="G7044" s="13"/>
    </row>
    <row r="7045" spans="1:8" ht="14.25" thickBot="1">
      <c r="A7045" s="215"/>
      <c r="B7045" s="216" t="s">
        <v>550</v>
      </c>
      <c r="C7045" s="14" t="s">
        <v>1</v>
      </c>
      <c r="D7045" s="15" t="s">
        <v>2</v>
      </c>
      <c r="E7045" s="15" t="s">
        <v>3</v>
      </c>
      <c r="F7045" s="16" t="s">
        <v>4</v>
      </c>
      <c r="G7045" s="15" t="s">
        <v>5</v>
      </c>
      <c r="H7045" s="215"/>
    </row>
    <row r="7046" spans="1:8" ht="15">
      <c r="A7046" s="211" t="s">
        <v>484</v>
      </c>
      <c r="B7046" s="216" t="str">
        <f ca="1">_xlfn.CONCAT(B7044,A7046)</f>
        <v>2F52EC59-A</v>
      </c>
      <c r="C7046" s="17" t="str">
        <f>_xlfn.XLOOKUP(H7046,'Materiales unitario'!$A$1:$A$2500,'Materiales unitario'!B$1:B$2500,,0,1)</f>
        <v>Tablero TWC-12MB ctos 200A  3F-6H.  CPCH. Espacio para totalizador</v>
      </c>
      <c r="D7046" s="184" t="str">
        <f>_xlfn.XLOOKUP(H7046,'Materiales unitario'!A$1:A$2500,'Materiales unitario'!C$1:C$2500,,0,1)</f>
        <v>un</v>
      </c>
      <c r="E7046" s="197">
        <f>_xlfn.XLOOKUP(H7046,'Materiales unitario'!$A$1:$A$2500,'Materiales unitario'!D$1:D$2500,,0,1)</f>
        <v>334700</v>
      </c>
      <c r="F7046" s="19">
        <v>1</v>
      </c>
      <c r="G7046" s="20">
        <f>+E7046*F7046</f>
        <v>334700</v>
      </c>
      <c r="H7046" s="217" t="s">
        <v>1357</v>
      </c>
    </row>
    <row r="7047" spans="1:8" ht="15">
      <c r="A7047" s="211" t="s">
        <v>485</v>
      </c>
      <c r="B7047" s="216" t="str">
        <f ca="1">_xlfn.CONCAT(B7044,A7047)</f>
        <v>2F52EC59-B</v>
      </c>
      <c r="C7047" s="17"/>
      <c r="D7047" s="184"/>
      <c r="E7047" s="197"/>
      <c r="F7047" s="19"/>
      <c r="G7047" s="20"/>
      <c r="H7047" s="217"/>
    </row>
    <row r="7048" spans="1:8">
      <c r="A7048" s="211" t="s">
        <v>486</v>
      </c>
      <c r="B7048" s="216" t="str">
        <f ca="1">_xlfn.CONCAT(B7044,A7048)</f>
        <v>2F52EC59-C</v>
      </c>
      <c r="C7048" s="17"/>
      <c r="D7048" s="184"/>
      <c r="E7048" s="197"/>
      <c r="F7048" s="19"/>
      <c r="G7048" s="20"/>
    </row>
    <row r="7049" spans="1:8">
      <c r="A7049" s="211" t="s">
        <v>487</v>
      </c>
      <c r="B7049" s="216" t="str">
        <f ca="1">_xlfn.CONCAT(B7044,A7049)</f>
        <v>2F52EC59-D</v>
      </c>
      <c r="C7049" s="17"/>
      <c r="D7049" s="184"/>
      <c r="E7049" s="197"/>
      <c r="F7049" s="19"/>
      <c r="G7049" s="20"/>
    </row>
    <row r="7050" spans="1:8">
      <c r="A7050" s="211" t="s">
        <v>488</v>
      </c>
      <c r="B7050" s="216" t="str">
        <f ca="1">_xlfn.CONCAT(B7044,A7050)</f>
        <v>2F52EC59-E</v>
      </c>
      <c r="C7050" s="17"/>
      <c r="D7050" s="184"/>
      <c r="E7050" s="197"/>
      <c r="F7050" s="19"/>
      <c r="G7050" s="20"/>
    </row>
    <row r="7051" spans="1:8">
      <c r="A7051" s="211" t="s">
        <v>489</v>
      </c>
      <c r="B7051" s="216" t="str">
        <f ca="1">_xlfn.CONCAT(B7044,A7051)</f>
        <v>2F52EC59-F</v>
      </c>
      <c r="C7051" s="17"/>
      <c r="D7051" s="184"/>
      <c r="E7051" s="197"/>
      <c r="F7051" s="19"/>
      <c r="G7051" s="20"/>
    </row>
    <row r="7052" spans="1:8">
      <c r="A7052" s="211" t="s">
        <v>490</v>
      </c>
      <c r="B7052" s="216" t="str">
        <f ca="1">_xlfn.CONCAT(B7044,A7052)</f>
        <v>2F52EC59-G</v>
      </c>
      <c r="C7052" s="17"/>
      <c r="D7052" s="184"/>
      <c r="E7052" s="197"/>
      <c r="F7052" s="19"/>
      <c r="G7052" s="20"/>
    </row>
    <row r="7053" spans="1:8">
      <c r="A7053" s="211" t="s">
        <v>491</v>
      </c>
      <c r="B7053" s="216" t="str">
        <f ca="1">_xlfn.CONCAT(B7044,A7053)</f>
        <v>2F52EC59-H</v>
      </c>
      <c r="C7053" s="17"/>
      <c r="D7053" s="184"/>
      <c r="E7053" s="197"/>
      <c r="F7053" s="19"/>
      <c r="G7053" s="20"/>
    </row>
    <row r="7054" spans="1:8">
      <c r="A7054" s="211" t="s">
        <v>492</v>
      </c>
      <c r="B7054" s="216" t="str">
        <f ca="1">_xlfn.CONCAT(B7044,A7054)</f>
        <v>2F52EC59-I</v>
      </c>
      <c r="C7054" s="17"/>
      <c r="D7054" s="184"/>
      <c r="E7054" s="197"/>
      <c r="F7054" s="19"/>
      <c r="G7054" s="20"/>
    </row>
    <row r="7055" spans="1:8">
      <c r="A7055" s="211" t="s">
        <v>493</v>
      </c>
      <c r="B7055" s="216" t="str">
        <f ca="1">_xlfn.CONCAT(B7044,A7055)</f>
        <v>2F52EC59-J</v>
      </c>
      <c r="C7055" s="17"/>
      <c r="D7055" s="184"/>
      <c r="E7055" s="197"/>
      <c r="F7055" s="19"/>
      <c r="G7055" s="20"/>
    </row>
    <row r="7056" spans="1:8">
      <c r="A7056" s="211" t="s">
        <v>494</v>
      </c>
      <c r="B7056" s="216" t="str">
        <f ca="1">_xlfn.CONCAT(B7044,A7056)</f>
        <v>2F52EC59-K</v>
      </c>
      <c r="C7056" s="17"/>
      <c r="D7056" s="184"/>
      <c r="E7056" s="197"/>
      <c r="F7056" s="19"/>
      <c r="G7056" s="20"/>
    </row>
    <row r="7057" spans="1:8">
      <c r="A7057" s="211" t="s">
        <v>495</v>
      </c>
      <c r="B7057" s="216" t="str">
        <f ca="1">_xlfn.CONCAT(B7044,A7057)</f>
        <v>2F52EC59-L</v>
      </c>
      <c r="C7057" s="17"/>
      <c r="D7057" s="184"/>
      <c r="E7057" s="197"/>
      <c r="F7057" s="19"/>
      <c r="G7057" s="20"/>
    </row>
    <row r="7058" spans="1:8">
      <c r="A7058" s="211" t="s">
        <v>496</v>
      </c>
      <c r="B7058" s="216" t="str">
        <f ca="1">_xlfn.CONCAT(B7044,A7058)</f>
        <v>2F52EC59-M</v>
      </c>
      <c r="C7058" s="17"/>
      <c r="D7058" s="184"/>
      <c r="E7058" s="197"/>
      <c r="F7058" s="19"/>
      <c r="G7058" s="20"/>
    </row>
    <row r="7059" spans="1:8">
      <c r="A7059" s="211" t="s">
        <v>497</v>
      </c>
      <c r="B7059" s="216" t="str">
        <f ca="1">_xlfn.CONCAT(B7044,A7059)</f>
        <v>2F52EC59-N</v>
      </c>
      <c r="C7059" s="17"/>
      <c r="D7059" s="184"/>
      <c r="E7059" s="197"/>
      <c r="F7059" s="19"/>
      <c r="G7059" s="20"/>
    </row>
    <row r="7060" spans="1:8">
      <c r="A7060" s="211" t="s">
        <v>498</v>
      </c>
      <c r="B7060" s="216" t="str">
        <f ca="1">_xlfn.CONCAT(B7044,A7060)</f>
        <v>2F52EC59-O</v>
      </c>
      <c r="C7060" s="17"/>
      <c r="D7060" s="184"/>
      <c r="E7060" s="197"/>
      <c r="F7060" s="19"/>
      <c r="G7060" s="20"/>
    </row>
    <row r="7061" spans="1:8">
      <c r="A7061" s="211" t="s">
        <v>499</v>
      </c>
      <c r="B7061" s="216" t="str">
        <f ca="1">_xlfn.CONCAT(B7044,A7061)</f>
        <v>2F52EC59-P</v>
      </c>
      <c r="C7061" s="17"/>
      <c r="D7061" s="184"/>
      <c r="E7061" s="197"/>
      <c r="F7061" s="19"/>
      <c r="G7061" s="20"/>
    </row>
    <row r="7062" spans="1:8">
      <c r="A7062" s="211" t="s">
        <v>500</v>
      </c>
      <c r="B7062" s="216" t="str">
        <f ca="1">_xlfn.CONCAT(B7044,A7062)</f>
        <v>2F52EC59-Q</v>
      </c>
      <c r="C7062" s="17"/>
      <c r="D7062" s="184"/>
      <c r="E7062" s="197"/>
      <c r="F7062" s="19"/>
      <c r="G7062" s="20"/>
    </row>
    <row r="7063" spans="1:8">
      <c r="A7063" s="211" t="s">
        <v>501</v>
      </c>
      <c r="B7063" s="216" t="str">
        <f ca="1">_xlfn.CONCAT(B7044,A7063)</f>
        <v>2F52EC59-R</v>
      </c>
      <c r="C7063" s="17"/>
      <c r="D7063" s="184"/>
      <c r="E7063" s="197"/>
      <c r="F7063" s="19"/>
      <c r="G7063" s="20"/>
    </row>
    <row r="7064" spans="1:8">
      <c r="A7064" s="211" t="s">
        <v>502</v>
      </c>
      <c r="B7064" s="216" t="str">
        <f ca="1">_xlfn.CONCAT(B7044,A7064)</f>
        <v>2F52EC59-S</v>
      </c>
      <c r="C7064" s="17"/>
      <c r="D7064" s="184"/>
      <c r="E7064" s="197"/>
      <c r="F7064" s="19"/>
      <c r="G7064" s="20"/>
    </row>
    <row r="7065" spans="1:8">
      <c r="A7065" s="211" t="s">
        <v>503</v>
      </c>
      <c r="B7065" s="216" t="str">
        <f ca="1">_xlfn.CONCAT(B7044,A7065)</f>
        <v>2F52EC59-T</v>
      </c>
      <c r="C7065" s="17"/>
      <c r="D7065" s="184"/>
      <c r="E7065" s="197"/>
      <c r="F7065" s="19"/>
      <c r="G7065" s="20"/>
    </row>
    <row r="7066" spans="1:8" ht="14.25" thickBot="1">
      <c r="A7066" s="211" t="s">
        <v>504</v>
      </c>
      <c r="B7066" s="216" t="str">
        <f ca="1">_xlfn.CONCAT(B7044,A7066)</f>
        <v>2F52EC59-U</v>
      </c>
      <c r="C7066" s="17"/>
      <c r="D7066" s="184"/>
      <c r="E7066" s="197"/>
      <c r="F7066" s="19"/>
      <c r="G7066" s="20"/>
    </row>
    <row r="7067" spans="1:8" ht="14.25" thickBot="1">
      <c r="A7067" s="211" t="s">
        <v>505</v>
      </c>
      <c r="B7067" s="216" t="str">
        <f ca="1">_xlfn.CONCAT(B7044,A7067)</f>
        <v>2F52EC59-V</v>
      </c>
      <c r="C7067" s="17" t="s">
        <v>17</v>
      </c>
      <c r="D7067" s="192" t="s">
        <v>17</v>
      </c>
      <c r="E7067" s="18"/>
      <c r="F7067" s="22" t="s">
        <v>18</v>
      </c>
      <c r="G7067" s="23">
        <f>SUM(G7046:G7066)</f>
        <v>334700</v>
      </c>
    </row>
    <row r="7068" spans="1:8" ht="15.75" thickBot="1">
      <c r="A7068" s="211" t="s">
        <v>506</v>
      </c>
      <c r="B7068" s="216" t="str">
        <f ca="1">_xlfn.CONCAT(B7044,A7068)</f>
        <v>2F52EC59-W</v>
      </c>
      <c r="C7068" s="10" t="s">
        <v>19</v>
      </c>
      <c r="D7068" s="190"/>
      <c r="E7068" s="11"/>
      <c r="F7068" s="12"/>
      <c r="G7068" s="13"/>
    </row>
    <row r="7069" spans="1:8" ht="14.25" thickBot="1">
      <c r="A7069" s="211" t="s">
        <v>507</v>
      </c>
      <c r="B7069" s="216" t="str">
        <f ca="1">_xlfn.CONCAT(B7044,A7069)</f>
        <v>2F52EC59-X</v>
      </c>
      <c r="C7069" s="14" t="s">
        <v>1</v>
      </c>
      <c r="D7069" s="15"/>
      <c r="E7069" s="15" t="s">
        <v>20</v>
      </c>
      <c r="F7069" s="16" t="s">
        <v>21</v>
      </c>
      <c r="G7069" s="15" t="s">
        <v>5</v>
      </c>
      <c r="H7069" s="215"/>
    </row>
    <row r="7070" spans="1:8">
      <c r="A7070" s="211" t="s">
        <v>508</v>
      </c>
      <c r="B7070" s="216" t="str">
        <f ca="1">_xlfn.CONCAT(B7044,A7070)</f>
        <v>2F52EC59-Y</v>
      </c>
      <c r="C7070" s="24" t="s">
        <v>22</v>
      </c>
      <c r="D7070" s="184"/>
      <c r="E7070" s="25">
        <f>_xlfn.XLOOKUP(C7070,'H-MO'!B$7:B$30,'H-MO'!D$7:D$30,,0,1)</f>
        <v>2436.5624999999995</v>
      </c>
      <c r="F7070" s="19">
        <v>0.55000000000000004</v>
      </c>
      <c r="G7070" s="33">
        <f t="shared" ref="G7070:G7075" si="199">+E7070*F7070</f>
        <v>1340.1093749999998</v>
      </c>
    </row>
    <row r="7071" spans="1:8">
      <c r="A7071" s="211" t="s">
        <v>509</v>
      </c>
      <c r="B7071" s="216" t="str">
        <f ca="1">_xlfn.CONCAT(B7044,A7071)</f>
        <v>2F52EC59-Z</v>
      </c>
      <c r="C7071" s="24" t="s">
        <v>23</v>
      </c>
      <c r="D7071" s="184"/>
      <c r="E7071" s="25">
        <f>_xlfn.XLOOKUP(C7071,'H-MO'!B$7:B$30,'H-MO'!D$7:D$30,,0,1)</f>
        <v>1461.9374999999998</v>
      </c>
      <c r="F7071" s="19">
        <v>0.1</v>
      </c>
      <c r="G7071" s="33">
        <f t="shared" si="199"/>
        <v>146.19374999999999</v>
      </c>
    </row>
    <row r="7072" spans="1:8">
      <c r="A7072" s="211" t="s">
        <v>510</v>
      </c>
      <c r="B7072" s="216" t="str">
        <f ca="1">_xlfn.CONCAT(B7044,A7072)</f>
        <v>2F52EC59-aa</v>
      </c>
      <c r="C7072" s="24" t="s">
        <v>24</v>
      </c>
      <c r="D7072" s="185"/>
      <c r="E7072" s="25">
        <f>_xlfn.XLOOKUP(C7072,'H-MO'!B$7:B$30,'H-MO'!D$7:D$30,,0,1)</f>
        <v>29238.749999999996</v>
      </c>
      <c r="F7072" s="28">
        <v>0.2</v>
      </c>
      <c r="G7072" s="33">
        <f t="shared" si="199"/>
        <v>5847.75</v>
      </c>
    </row>
    <row r="7073" spans="1:8">
      <c r="A7073" s="211" t="s">
        <v>511</v>
      </c>
      <c r="B7073" s="216" t="str">
        <f ca="1">_xlfn.CONCAT(B7044,A7073)</f>
        <v>2F52EC59-ab</v>
      </c>
      <c r="C7073" s="24" t="s">
        <v>25</v>
      </c>
      <c r="D7073" s="185"/>
      <c r="E7073" s="25">
        <f>_xlfn.XLOOKUP(C7073,'H-MO'!B$7:B$30,'H-MO'!D$7:D$30,,0,1)</f>
        <v>2761.4374999999995</v>
      </c>
      <c r="F7073" s="28">
        <v>0.4</v>
      </c>
      <c r="G7073" s="33">
        <f t="shared" si="199"/>
        <v>1104.5749999999998</v>
      </c>
    </row>
    <row r="7074" spans="1:8">
      <c r="A7074" s="211" t="s">
        <v>512</v>
      </c>
      <c r="B7074" s="216" t="str">
        <f ca="1">_xlfn.CONCAT(B7044,A7074)</f>
        <v>2F52EC59-ac</v>
      </c>
      <c r="C7074" s="24"/>
      <c r="D7074" s="185"/>
      <c r="E7074" s="29"/>
      <c r="F7074" s="28"/>
      <c r="G7074" s="33">
        <f t="shared" si="199"/>
        <v>0</v>
      </c>
    </row>
    <row r="7075" spans="1:8" ht="14.25" thickBot="1">
      <c r="A7075" s="211" t="s">
        <v>513</v>
      </c>
      <c r="B7075" s="216" t="str">
        <f ca="1">_xlfn.CONCAT(B7044,A7075)</f>
        <v>2F52EC59-ad</v>
      </c>
      <c r="C7075" s="24"/>
      <c r="D7075" s="185"/>
      <c r="E7075" s="29"/>
      <c r="F7075" s="28"/>
      <c r="G7075" s="33">
        <f t="shared" si="199"/>
        <v>0</v>
      </c>
    </row>
    <row r="7076" spans="1:8" ht="14.25" thickBot="1">
      <c r="A7076" s="211" t="s">
        <v>514</v>
      </c>
      <c r="B7076" s="216" t="str">
        <f ca="1">_xlfn.CONCAT(B7044,A7076)</f>
        <v>2F52EC59-ae</v>
      </c>
      <c r="C7076" s="17"/>
      <c r="D7076" s="192"/>
      <c r="E7076" s="18"/>
      <c r="F7076" s="22" t="s">
        <v>26</v>
      </c>
      <c r="G7076" s="23">
        <f>SUM(G7070:G7075)</f>
        <v>8438.6281249999993</v>
      </c>
    </row>
    <row r="7077" spans="1:8" ht="15.75" thickBot="1">
      <c r="A7077" s="211" t="s">
        <v>515</v>
      </c>
      <c r="B7077" s="216" t="str">
        <f ca="1">_xlfn.CONCAT(B7044,A7077)</f>
        <v>2F52EC59-af</v>
      </c>
      <c r="C7077" s="10" t="s">
        <v>27</v>
      </c>
      <c r="D7077" s="190"/>
      <c r="E7077" s="11"/>
      <c r="F7077" s="12"/>
      <c r="G7077" s="13"/>
    </row>
    <row r="7078" spans="1:8" ht="14.25" thickBot="1">
      <c r="A7078" s="211" t="s">
        <v>516</v>
      </c>
      <c r="B7078" s="216" t="str">
        <f ca="1">_xlfn.CONCAT(B7044,A7078)</f>
        <v>2F52EC59-ag</v>
      </c>
      <c r="C7078" s="14" t="s">
        <v>1</v>
      </c>
      <c r="D7078" s="15" t="s">
        <v>28</v>
      </c>
      <c r="E7078" s="15" t="s">
        <v>20</v>
      </c>
      <c r="F7078" s="16" t="s">
        <v>21</v>
      </c>
      <c r="G7078" s="15" t="s">
        <v>5</v>
      </c>
      <c r="H7078" s="215"/>
    </row>
    <row r="7079" spans="1:8">
      <c r="A7079" s="211" t="s">
        <v>517</v>
      </c>
      <c r="B7079" s="216" t="str">
        <f ca="1">_xlfn.CONCAT(B7044,A7079)</f>
        <v>2F52EC59-ah</v>
      </c>
      <c r="C7079" s="30" t="s">
        <v>29</v>
      </c>
      <c r="D7079" s="186">
        <f>'H-MO'!$N$77</f>
        <v>725918.52892505517</v>
      </c>
      <c r="E7079" s="31">
        <f>+D7079/8</f>
        <v>90739.816115631897</v>
      </c>
      <c r="F7079" s="32">
        <v>0.55000000000000004</v>
      </c>
      <c r="G7079" s="33">
        <f>+E7079*F7079</f>
        <v>49906.898863597547</v>
      </c>
    </row>
    <row r="7080" spans="1:8">
      <c r="A7080" s="211" t="s">
        <v>518</v>
      </c>
      <c r="B7080" s="216" t="str">
        <f ca="1">_xlfn.CONCAT(B7044,A7080)</f>
        <v>2F52EC59-ai</v>
      </c>
      <c r="C7080" s="34" t="s">
        <v>30</v>
      </c>
      <c r="D7080" s="187">
        <f>'H-MO'!$N$86</f>
        <v>685561.39085756091</v>
      </c>
      <c r="E7080" s="29">
        <f>+D7080/8</f>
        <v>85695.173857195114</v>
      </c>
      <c r="F7080" s="28">
        <v>0.1</v>
      </c>
      <c r="G7080" s="33">
        <f>+E7080*F7080</f>
        <v>8569.5173857195114</v>
      </c>
    </row>
    <row r="7081" spans="1:8" ht="14.25" thickBot="1">
      <c r="A7081" s="211" t="s">
        <v>519</v>
      </c>
      <c r="B7081" s="216" t="str">
        <f ca="1">_xlfn.CONCAT(B7044,A7081)</f>
        <v>2F52EC59-aj</v>
      </c>
      <c r="C7081" s="34"/>
      <c r="D7081" s="187"/>
      <c r="E7081" s="29"/>
      <c r="F7081" s="28"/>
      <c r="G7081" s="33">
        <f>+E7081*F7081</f>
        <v>0</v>
      </c>
    </row>
    <row r="7082" spans="1:8" ht="14.25" thickBot="1">
      <c r="A7082" s="211" t="s">
        <v>520</v>
      </c>
      <c r="B7082" s="216" t="str">
        <f ca="1">_xlfn.CONCAT(B7044,A7082)</f>
        <v>2F52EC59-ak</v>
      </c>
      <c r="C7082" s="34"/>
      <c r="D7082" s="185"/>
      <c r="E7082" s="26"/>
      <c r="F7082" s="36" t="s">
        <v>31</v>
      </c>
      <c r="G7082" s="23">
        <f>SUM(G7079:G7081)</f>
        <v>58476.416249317059</v>
      </c>
    </row>
    <row r="7083" spans="1:8" ht="14.25" thickBot="1">
      <c r="A7083" s="211" t="s">
        <v>521</v>
      </c>
      <c r="B7083" s="216" t="str">
        <f ca="1">_xlfn.CONCAT(B7044,A7083)</f>
        <v>2F52EC59-al</v>
      </c>
      <c r="C7083" s="37"/>
      <c r="E7083" s="38"/>
      <c r="F7083" s="22"/>
      <c r="G7083" s="39"/>
    </row>
    <row r="7084" spans="1:8" ht="16.5" thickBot="1">
      <c r="A7084" s="211" t="s">
        <v>522</v>
      </c>
      <c r="B7084" s="216" t="str">
        <f ca="1">_xlfn.CONCAT(B7044,A7084)</f>
        <v>2F52EC59-am</v>
      </c>
      <c r="C7084" s="40"/>
      <c r="D7084" s="193"/>
      <c r="E7084" s="41"/>
      <c r="F7084" s="42"/>
      <c r="G7084" s="43">
        <f>+G7067+G7076+G7082</f>
        <v>401615.04437431705</v>
      </c>
    </row>
    <row r="7085" spans="1:8" ht="21.75" thickBot="1">
      <c r="B7085" s="212" t="s">
        <v>550</v>
      </c>
      <c r="C7085" s="2"/>
      <c r="D7085" s="183"/>
      <c r="F7085" s="4"/>
      <c r="G7085" s="5"/>
    </row>
    <row r="7086" spans="1:8" ht="18.75">
      <c r="A7086" s="213"/>
      <c r="B7086" s="214">
        <v>161</v>
      </c>
      <c r="C7086" s="242" t="str">
        <f ca="1">_xlfn.XLOOKUP(B7086,Cantidades!$A$10:$A$314,Cantidades!$C$10:$C$314,,0,1)</f>
        <v>Suministro e instalación de interruptor automático 3x60A enchufable</v>
      </c>
      <c r="D7086" s="243"/>
      <c r="E7086" s="243"/>
      <c r="F7086" s="243"/>
      <c r="G7086" s="244"/>
      <c r="H7086" s="213"/>
    </row>
    <row r="7087" spans="1:8" ht="19.5" thickBot="1">
      <c r="A7087" s="215"/>
      <c r="B7087" s="216" t="s">
        <v>550</v>
      </c>
      <c r="C7087" s="177"/>
      <c r="D7087" s="189"/>
      <c r="E7087" s="178"/>
      <c r="F7087" s="179" t="s">
        <v>636</v>
      </c>
      <c r="G7087" s="209" t="str">
        <f ca="1">B7088</f>
        <v>B7C2561-</v>
      </c>
      <c r="H7087" s="215"/>
    </row>
    <row r="7088" spans="1:8" ht="15.75" thickBot="1">
      <c r="B7088" s="212" t="str">
        <f ca="1">_xlfn.XLOOKUP(C7086,Cantidades!$C$1:$C$314,Cantidades!$B$1:$B$314,"",0,1)</f>
        <v>B7C2561-</v>
      </c>
      <c r="C7088" s="10" t="s">
        <v>0</v>
      </c>
      <c r="D7088" s="190"/>
      <c r="E7088" s="11"/>
      <c r="F7088" s="12"/>
      <c r="G7088" s="13"/>
    </row>
    <row r="7089" spans="1:8" ht="14.25" thickBot="1">
      <c r="A7089" s="215"/>
      <c r="B7089" s="216" t="s">
        <v>550</v>
      </c>
      <c r="C7089" s="14" t="s">
        <v>1</v>
      </c>
      <c r="D7089" s="15" t="s">
        <v>2</v>
      </c>
      <c r="E7089" s="15" t="s">
        <v>3</v>
      </c>
      <c r="F7089" s="16" t="s">
        <v>4</v>
      </c>
      <c r="G7089" s="15" t="s">
        <v>5</v>
      </c>
      <c r="H7089" s="215"/>
    </row>
    <row r="7090" spans="1:8" ht="15">
      <c r="A7090" s="211" t="s">
        <v>484</v>
      </c>
      <c r="B7090" s="216" t="str">
        <f ca="1">_xlfn.CONCAT(B7088,A7090)</f>
        <v>B7C2561-A</v>
      </c>
      <c r="C7090" s="17" t="str">
        <f>_xlfn.XLOOKUP(H7090,'Materiales unitario'!$A$1:$A$2500,'Materiales unitario'!B$1:B$2500,,0,1)</f>
        <v xml:space="preserve">Automático enchufable.  Safic DSE 3x60A. 10KA </v>
      </c>
      <c r="D7090" s="184" t="str">
        <f>_xlfn.XLOOKUP(H7090,'Materiales unitario'!A$1:A$2500,'Materiales unitario'!C$1:C$2500,,0,1)</f>
        <v>un</v>
      </c>
      <c r="E7090" s="197">
        <f>_xlfn.XLOOKUP(H7090,'Materiales unitario'!$A$1:$A$2500,'Materiales unitario'!D$1:D$2500,,0,1)</f>
        <v>137400</v>
      </c>
      <c r="F7090" s="19">
        <v>1</v>
      </c>
      <c r="G7090" s="20">
        <f>+E7090*F7090</f>
        <v>137400</v>
      </c>
      <c r="H7090" s="217" t="s">
        <v>1361</v>
      </c>
    </row>
    <row r="7091" spans="1:8" ht="15">
      <c r="A7091" s="211" t="s">
        <v>485</v>
      </c>
      <c r="B7091" s="216" t="str">
        <f ca="1">_xlfn.CONCAT(B7088,A7091)</f>
        <v>B7C2561-B</v>
      </c>
      <c r="C7091" s="17"/>
      <c r="D7091" s="184"/>
      <c r="E7091" s="197"/>
      <c r="F7091" s="19"/>
      <c r="G7091" s="20"/>
      <c r="H7091" s="217"/>
    </row>
    <row r="7092" spans="1:8">
      <c r="A7092" s="211" t="s">
        <v>486</v>
      </c>
      <c r="B7092" s="216" t="str">
        <f ca="1">_xlfn.CONCAT(B7088,A7092)</f>
        <v>B7C2561-C</v>
      </c>
      <c r="C7092" s="17"/>
      <c r="D7092" s="184"/>
      <c r="E7092" s="197"/>
      <c r="F7092" s="19"/>
      <c r="G7092" s="20"/>
    </row>
    <row r="7093" spans="1:8">
      <c r="A7093" s="211" t="s">
        <v>487</v>
      </c>
      <c r="B7093" s="216" t="str">
        <f ca="1">_xlfn.CONCAT(B7088,A7093)</f>
        <v>B7C2561-D</v>
      </c>
      <c r="C7093" s="17"/>
      <c r="D7093" s="184"/>
      <c r="E7093" s="197"/>
      <c r="F7093" s="19"/>
      <c r="G7093" s="20"/>
    </row>
    <row r="7094" spans="1:8">
      <c r="A7094" s="211" t="s">
        <v>488</v>
      </c>
      <c r="B7094" s="216" t="str">
        <f ca="1">_xlfn.CONCAT(B7088,A7094)</f>
        <v>B7C2561-E</v>
      </c>
      <c r="C7094" s="17"/>
      <c r="D7094" s="184"/>
      <c r="E7094" s="197"/>
      <c r="F7094" s="19"/>
      <c r="G7094" s="20"/>
    </row>
    <row r="7095" spans="1:8">
      <c r="A7095" s="211" t="s">
        <v>489</v>
      </c>
      <c r="B7095" s="216" t="str">
        <f ca="1">_xlfn.CONCAT(B7088,A7095)</f>
        <v>B7C2561-F</v>
      </c>
      <c r="C7095" s="17"/>
      <c r="D7095" s="184"/>
      <c r="E7095" s="197"/>
      <c r="F7095" s="19"/>
      <c r="G7095" s="20"/>
    </row>
    <row r="7096" spans="1:8">
      <c r="A7096" s="211" t="s">
        <v>490</v>
      </c>
      <c r="B7096" s="216" t="str">
        <f ca="1">_xlfn.CONCAT(B7088,A7096)</f>
        <v>B7C2561-G</v>
      </c>
      <c r="C7096" s="17"/>
      <c r="D7096" s="184"/>
      <c r="E7096" s="197"/>
      <c r="F7096" s="19"/>
      <c r="G7096" s="20"/>
    </row>
    <row r="7097" spans="1:8">
      <c r="A7097" s="211" t="s">
        <v>491</v>
      </c>
      <c r="B7097" s="216" t="str">
        <f ca="1">_xlfn.CONCAT(B7088,A7097)</f>
        <v>B7C2561-H</v>
      </c>
      <c r="C7097" s="17"/>
      <c r="D7097" s="184"/>
      <c r="E7097" s="197"/>
      <c r="F7097" s="19"/>
      <c r="G7097" s="20"/>
    </row>
    <row r="7098" spans="1:8">
      <c r="A7098" s="211" t="s">
        <v>492</v>
      </c>
      <c r="B7098" s="216" t="str">
        <f ca="1">_xlfn.CONCAT(B7088,A7098)</f>
        <v>B7C2561-I</v>
      </c>
      <c r="C7098" s="17"/>
      <c r="D7098" s="184"/>
      <c r="E7098" s="197"/>
      <c r="F7098" s="19"/>
      <c r="G7098" s="20"/>
    </row>
    <row r="7099" spans="1:8">
      <c r="A7099" s="211" t="s">
        <v>493</v>
      </c>
      <c r="B7099" s="216" t="str">
        <f ca="1">_xlfn.CONCAT(B7088,A7099)</f>
        <v>B7C2561-J</v>
      </c>
      <c r="C7099" s="17"/>
      <c r="D7099" s="184"/>
      <c r="E7099" s="197"/>
      <c r="F7099" s="19"/>
      <c r="G7099" s="20"/>
    </row>
    <row r="7100" spans="1:8">
      <c r="A7100" s="211" t="s">
        <v>494</v>
      </c>
      <c r="B7100" s="216" t="str">
        <f ca="1">_xlfn.CONCAT(B7088,A7100)</f>
        <v>B7C2561-K</v>
      </c>
      <c r="C7100" s="17"/>
      <c r="D7100" s="184"/>
      <c r="E7100" s="197"/>
      <c r="F7100" s="19"/>
      <c r="G7100" s="20"/>
    </row>
    <row r="7101" spans="1:8">
      <c r="A7101" s="211" t="s">
        <v>495</v>
      </c>
      <c r="B7101" s="216" t="str">
        <f ca="1">_xlfn.CONCAT(B7088,A7101)</f>
        <v>B7C2561-L</v>
      </c>
      <c r="C7101" s="17"/>
      <c r="D7101" s="184"/>
      <c r="E7101" s="197"/>
      <c r="F7101" s="19"/>
      <c r="G7101" s="20"/>
    </row>
    <row r="7102" spans="1:8">
      <c r="A7102" s="211" t="s">
        <v>496</v>
      </c>
      <c r="B7102" s="216" t="str">
        <f ca="1">_xlfn.CONCAT(B7088,A7102)</f>
        <v>B7C2561-M</v>
      </c>
      <c r="C7102" s="17"/>
      <c r="D7102" s="184"/>
      <c r="E7102" s="197"/>
      <c r="F7102" s="19"/>
      <c r="G7102" s="20"/>
    </row>
    <row r="7103" spans="1:8">
      <c r="A7103" s="211" t="s">
        <v>497</v>
      </c>
      <c r="B7103" s="216" t="str">
        <f ca="1">_xlfn.CONCAT(B7088,A7103)</f>
        <v>B7C2561-N</v>
      </c>
      <c r="C7103" s="17"/>
      <c r="D7103" s="184"/>
      <c r="E7103" s="197"/>
      <c r="F7103" s="19"/>
      <c r="G7103" s="20"/>
    </row>
    <row r="7104" spans="1:8">
      <c r="A7104" s="211" t="s">
        <v>498</v>
      </c>
      <c r="B7104" s="216" t="str">
        <f ca="1">_xlfn.CONCAT(B7088,A7104)</f>
        <v>B7C2561-O</v>
      </c>
      <c r="C7104" s="17"/>
      <c r="D7104" s="184"/>
      <c r="E7104" s="197"/>
      <c r="F7104" s="19"/>
      <c r="G7104" s="20"/>
    </row>
    <row r="7105" spans="1:8">
      <c r="A7105" s="211" t="s">
        <v>499</v>
      </c>
      <c r="B7105" s="216" t="str">
        <f ca="1">_xlfn.CONCAT(B7088,A7105)</f>
        <v>B7C2561-P</v>
      </c>
      <c r="C7105" s="17"/>
      <c r="D7105" s="184"/>
      <c r="E7105" s="197"/>
      <c r="F7105" s="19"/>
      <c r="G7105" s="20"/>
    </row>
    <row r="7106" spans="1:8">
      <c r="A7106" s="211" t="s">
        <v>500</v>
      </c>
      <c r="B7106" s="216" t="str">
        <f ca="1">_xlfn.CONCAT(B7088,A7106)</f>
        <v>B7C2561-Q</v>
      </c>
      <c r="C7106" s="17"/>
      <c r="D7106" s="184"/>
      <c r="E7106" s="197"/>
      <c r="F7106" s="19"/>
      <c r="G7106" s="20"/>
    </row>
    <row r="7107" spans="1:8">
      <c r="A7107" s="211" t="s">
        <v>501</v>
      </c>
      <c r="B7107" s="216" t="str">
        <f ca="1">_xlfn.CONCAT(B7088,A7107)</f>
        <v>B7C2561-R</v>
      </c>
      <c r="C7107" s="17"/>
      <c r="D7107" s="184"/>
      <c r="E7107" s="197"/>
      <c r="F7107" s="19"/>
      <c r="G7107" s="20"/>
    </row>
    <row r="7108" spans="1:8">
      <c r="A7108" s="211" t="s">
        <v>502</v>
      </c>
      <c r="B7108" s="216" t="str">
        <f ca="1">_xlfn.CONCAT(B7088,A7108)</f>
        <v>B7C2561-S</v>
      </c>
      <c r="C7108" s="17"/>
      <c r="D7108" s="184"/>
      <c r="E7108" s="197"/>
      <c r="F7108" s="19"/>
      <c r="G7108" s="20"/>
    </row>
    <row r="7109" spans="1:8">
      <c r="A7109" s="211" t="s">
        <v>503</v>
      </c>
      <c r="B7109" s="216" t="str">
        <f ca="1">_xlfn.CONCAT(B7088,A7109)</f>
        <v>B7C2561-T</v>
      </c>
      <c r="C7109" s="17"/>
      <c r="D7109" s="184"/>
      <c r="E7109" s="197"/>
      <c r="F7109" s="19"/>
      <c r="G7109" s="20"/>
    </row>
    <row r="7110" spans="1:8" ht="14.25" thickBot="1">
      <c r="A7110" s="211" t="s">
        <v>504</v>
      </c>
      <c r="B7110" s="216" t="str">
        <f ca="1">_xlfn.CONCAT(B7088,A7110)</f>
        <v>B7C2561-U</v>
      </c>
      <c r="C7110" s="17"/>
      <c r="D7110" s="184"/>
      <c r="E7110" s="197"/>
      <c r="F7110" s="19"/>
      <c r="G7110" s="20"/>
    </row>
    <row r="7111" spans="1:8" ht="14.25" thickBot="1">
      <c r="A7111" s="211" t="s">
        <v>505</v>
      </c>
      <c r="B7111" s="216" t="str">
        <f ca="1">_xlfn.CONCAT(B7088,A7111)</f>
        <v>B7C2561-V</v>
      </c>
      <c r="C7111" s="17" t="s">
        <v>17</v>
      </c>
      <c r="D7111" s="192" t="s">
        <v>17</v>
      </c>
      <c r="E7111" s="18"/>
      <c r="F7111" s="22" t="s">
        <v>18</v>
      </c>
      <c r="G7111" s="23">
        <f>SUM(G7090:G7110)</f>
        <v>137400</v>
      </c>
    </row>
    <row r="7112" spans="1:8" ht="15.75" thickBot="1">
      <c r="A7112" s="211" t="s">
        <v>506</v>
      </c>
      <c r="B7112" s="216" t="str">
        <f ca="1">_xlfn.CONCAT(B7088,A7112)</f>
        <v>B7C2561-W</v>
      </c>
      <c r="C7112" s="10" t="s">
        <v>19</v>
      </c>
      <c r="D7112" s="190"/>
      <c r="E7112" s="11"/>
      <c r="F7112" s="12"/>
      <c r="G7112" s="13"/>
    </row>
    <row r="7113" spans="1:8" ht="14.25" thickBot="1">
      <c r="A7113" s="211" t="s">
        <v>507</v>
      </c>
      <c r="B7113" s="216" t="str">
        <f ca="1">_xlfn.CONCAT(B7088,A7113)</f>
        <v>B7C2561-X</v>
      </c>
      <c r="C7113" s="14" t="s">
        <v>1</v>
      </c>
      <c r="D7113" s="15"/>
      <c r="E7113" s="15" t="s">
        <v>20</v>
      </c>
      <c r="F7113" s="16" t="s">
        <v>21</v>
      </c>
      <c r="G7113" s="15" t="s">
        <v>5</v>
      </c>
      <c r="H7113" s="215"/>
    </row>
    <row r="7114" spans="1:8">
      <c r="A7114" s="211" t="s">
        <v>508</v>
      </c>
      <c r="B7114" s="216" t="str">
        <f ca="1">_xlfn.CONCAT(B7088,A7114)</f>
        <v>B7C2561-Y</v>
      </c>
      <c r="C7114" s="24" t="s">
        <v>22</v>
      </c>
      <c r="D7114" s="184"/>
      <c r="E7114" s="25">
        <f>_xlfn.XLOOKUP(C7114,'H-MO'!B$7:B$30,'H-MO'!D$7:D$30,,0,1)</f>
        <v>2436.5624999999995</v>
      </c>
      <c r="F7114" s="19">
        <v>0.1</v>
      </c>
      <c r="G7114" s="33">
        <f t="shared" ref="G7114:G7119" si="200">+E7114*F7114</f>
        <v>243.65624999999997</v>
      </c>
    </row>
    <row r="7115" spans="1:8">
      <c r="A7115" s="211" t="s">
        <v>509</v>
      </c>
      <c r="B7115" s="216" t="str">
        <f ca="1">_xlfn.CONCAT(B7088,A7115)</f>
        <v>B7C2561-Z</v>
      </c>
      <c r="C7115" s="24" t="s">
        <v>23</v>
      </c>
      <c r="D7115" s="184"/>
      <c r="E7115" s="25">
        <f>_xlfn.XLOOKUP(C7115,'H-MO'!B$7:B$30,'H-MO'!D$7:D$30,,0,1)</f>
        <v>1461.9374999999998</v>
      </c>
      <c r="F7115" s="19">
        <v>0.1</v>
      </c>
      <c r="G7115" s="33">
        <f t="shared" si="200"/>
        <v>146.19374999999999</v>
      </c>
    </row>
    <row r="7116" spans="1:8">
      <c r="A7116" s="211" t="s">
        <v>510</v>
      </c>
      <c r="B7116" s="216" t="str">
        <f ca="1">_xlfn.CONCAT(B7088,A7116)</f>
        <v>B7C2561-aa</v>
      </c>
      <c r="C7116" s="24" t="s">
        <v>24</v>
      </c>
      <c r="D7116" s="185"/>
      <c r="E7116" s="25">
        <f>_xlfn.XLOOKUP(C7116,'H-MO'!B$7:B$30,'H-MO'!D$7:D$30,,0,1)</f>
        <v>29238.749999999996</v>
      </c>
      <c r="F7116" s="28">
        <v>0.05</v>
      </c>
      <c r="G7116" s="33">
        <f t="shared" si="200"/>
        <v>1461.9375</v>
      </c>
    </row>
    <row r="7117" spans="1:8">
      <c r="A7117" s="211" t="s">
        <v>511</v>
      </c>
      <c r="B7117" s="216" t="str">
        <f ca="1">_xlfn.CONCAT(B7088,A7117)</f>
        <v>B7C2561-ab</v>
      </c>
      <c r="C7117" s="24" t="s">
        <v>25</v>
      </c>
      <c r="D7117" s="185"/>
      <c r="E7117" s="25">
        <f>_xlfn.XLOOKUP(C7117,'H-MO'!B$7:B$30,'H-MO'!D$7:D$30,,0,1)</f>
        <v>2761.4374999999995</v>
      </c>
      <c r="F7117" s="28">
        <v>0.01</v>
      </c>
      <c r="G7117" s="33">
        <f t="shared" si="200"/>
        <v>27.614374999999995</v>
      </c>
    </row>
    <row r="7118" spans="1:8">
      <c r="A7118" s="211" t="s">
        <v>512</v>
      </c>
      <c r="B7118" s="216" t="str">
        <f ca="1">_xlfn.CONCAT(B7088,A7118)</f>
        <v>B7C2561-ac</v>
      </c>
      <c r="C7118" s="24"/>
      <c r="D7118" s="185"/>
      <c r="E7118" s="29"/>
      <c r="F7118" s="28"/>
      <c r="G7118" s="33">
        <f t="shared" si="200"/>
        <v>0</v>
      </c>
    </row>
    <row r="7119" spans="1:8" ht="14.25" thickBot="1">
      <c r="A7119" s="211" t="s">
        <v>513</v>
      </c>
      <c r="B7119" s="216" t="str">
        <f ca="1">_xlfn.CONCAT(B7088,A7119)</f>
        <v>B7C2561-ad</v>
      </c>
      <c r="C7119" s="24"/>
      <c r="D7119" s="185"/>
      <c r="E7119" s="29"/>
      <c r="F7119" s="28"/>
      <c r="G7119" s="33">
        <f t="shared" si="200"/>
        <v>0</v>
      </c>
    </row>
    <row r="7120" spans="1:8" ht="14.25" thickBot="1">
      <c r="A7120" s="211" t="s">
        <v>514</v>
      </c>
      <c r="B7120" s="216" t="str">
        <f ca="1">_xlfn.CONCAT(B7088,A7120)</f>
        <v>B7C2561-ae</v>
      </c>
      <c r="C7120" s="17"/>
      <c r="D7120" s="192"/>
      <c r="E7120" s="18"/>
      <c r="F7120" s="22" t="s">
        <v>26</v>
      </c>
      <c r="G7120" s="23">
        <f>SUM(G7114:G7119)</f>
        <v>1879.401875</v>
      </c>
    </row>
    <row r="7121" spans="1:8" ht="15.75" thickBot="1">
      <c r="A7121" s="211" t="s">
        <v>515</v>
      </c>
      <c r="B7121" s="216" t="str">
        <f ca="1">_xlfn.CONCAT(B7088,A7121)</f>
        <v>B7C2561-af</v>
      </c>
      <c r="C7121" s="10" t="s">
        <v>27</v>
      </c>
      <c r="D7121" s="190"/>
      <c r="E7121" s="11"/>
      <c r="F7121" s="12"/>
      <c r="G7121" s="13"/>
    </row>
    <row r="7122" spans="1:8" ht="14.25" thickBot="1">
      <c r="A7122" s="211" t="s">
        <v>516</v>
      </c>
      <c r="B7122" s="216" t="str">
        <f ca="1">_xlfn.CONCAT(B7088,A7122)</f>
        <v>B7C2561-ag</v>
      </c>
      <c r="C7122" s="14" t="s">
        <v>1</v>
      </c>
      <c r="D7122" s="15" t="s">
        <v>28</v>
      </c>
      <c r="E7122" s="15" t="s">
        <v>20</v>
      </c>
      <c r="F7122" s="16" t="s">
        <v>21</v>
      </c>
      <c r="G7122" s="15" t="s">
        <v>5</v>
      </c>
      <c r="H7122" s="215"/>
    </row>
    <row r="7123" spans="1:8">
      <c r="A7123" s="211" t="s">
        <v>517</v>
      </c>
      <c r="B7123" s="216" t="str">
        <f ca="1">_xlfn.CONCAT(B7088,A7123)</f>
        <v>B7C2561-ah</v>
      </c>
      <c r="C7123" s="30" t="s">
        <v>29</v>
      </c>
      <c r="D7123" s="186">
        <f>'H-MO'!$N$77</f>
        <v>725918.52892505517</v>
      </c>
      <c r="E7123" s="31">
        <f>+D7123/8</f>
        <v>90739.816115631897</v>
      </c>
      <c r="F7123" s="32">
        <v>0.18</v>
      </c>
      <c r="G7123" s="33">
        <f>+E7123*F7123</f>
        <v>16333.166900813741</v>
      </c>
    </row>
    <row r="7124" spans="1:8">
      <c r="A7124" s="211" t="s">
        <v>518</v>
      </c>
      <c r="B7124" s="216" t="str">
        <f ca="1">_xlfn.CONCAT(B7088,A7124)</f>
        <v>B7C2561-ai</v>
      </c>
      <c r="C7124" s="34" t="s">
        <v>30</v>
      </c>
      <c r="D7124" s="187">
        <f>'H-MO'!$N$86</f>
        <v>685561.39085756091</v>
      </c>
      <c r="E7124" s="29">
        <f>+D7124/8</f>
        <v>85695.173857195114</v>
      </c>
      <c r="F7124" s="28">
        <v>0</v>
      </c>
      <c r="G7124" s="33">
        <f>+E7124*F7124</f>
        <v>0</v>
      </c>
    </row>
    <row r="7125" spans="1:8" ht="14.25" thickBot="1">
      <c r="A7125" s="211" t="s">
        <v>519</v>
      </c>
      <c r="B7125" s="216" t="str">
        <f ca="1">_xlfn.CONCAT(B7088,A7125)</f>
        <v>B7C2561-aj</v>
      </c>
      <c r="C7125" s="34"/>
      <c r="D7125" s="187"/>
      <c r="E7125" s="29"/>
      <c r="F7125" s="28"/>
      <c r="G7125" s="33">
        <f>+E7125*F7125</f>
        <v>0</v>
      </c>
    </row>
    <row r="7126" spans="1:8" ht="14.25" thickBot="1">
      <c r="A7126" s="211" t="s">
        <v>520</v>
      </c>
      <c r="B7126" s="216" t="str">
        <f ca="1">_xlfn.CONCAT(B7088,A7126)</f>
        <v>B7C2561-ak</v>
      </c>
      <c r="C7126" s="34"/>
      <c r="D7126" s="185"/>
      <c r="E7126" s="26"/>
      <c r="F7126" s="36" t="s">
        <v>31</v>
      </c>
      <c r="G7126" s="23">
        <f>SUM(G7123:G7125)</f>
        <v>16333.166900813741</v>
      </c>
    </row>
    <row r="7127" spans="1:8" ht="14.25" thickBot="1">
      <c r="A7127" s="211" t="s">
        <v>521</v>
      </c>
      <c r="B7127" s="216" t="str">
        <f ca="1">_xlfn.CONCAT(B7088,A7127)</f>
        <v>B7C2561-al</v>
      </c>
      <c r="C7127" s="37"/>
      <c r="E7127" s="38"/>
      <c r="F7127" s="22"/>
      <c r="G7127" s="39"/>
    </row>
    <row r="7128" spans="1:8" ht="16.5" thickBot="1">
      <c r="A7128" s="211" t="s">
        <v>522</v>
      </c>
      <c r="B7128" s="216" t="str">
        <f ca="1">_xlfn.CONCAT(B7088,A7128)</f>
        <v>B7C2561-am</v>
      </c>
      <c r="C7128" s="40"/>
      <c r="D7128" s="193"/>
      <c r="E7128" s="41"/>
      <c r="F7128" s="42"/>
      <c r="G7128" s="43">
        <f>+G7111+G7120+G7126</f>
        <v>155612.56877581376</v>
      </c>
    </row>
    <row r="7129" spans="1:8" ht="21.75" thickBot="1">
      <c r="B7129" s="212" t="s">
        <v>550</v>
      </c>
      <c r="C7129" s="2"/>
      <c r="D7129" s="183"/>
      <c r="F7129" s="4"/>
      <c r="G7129" s="5"/>
    </row>
    <row r="7130" spans="1:8" ht="18.75">
      <c r="A7130" s="213"/>
      <c r="B7130" s="214">
        <v>162</v>
      </c>
      <c r="C7130" s="242" t="str">
        <f ca="1">_xlfn.XLOOKUP(B7130,Cantidades!$A$10:$A$314,Cantidades!$C$10:$C$314,,0,1)</f>
        <v>Suministro e instalación de malla de puesta a tierra subestación. Incluye 9 varillas CW 5/8"x8', 90m de cable 2/0 Cu desnudo, soldaduras cadweld.</v>
      </c>
      <c r="D7130" s="243"/>
      <c r="E7130" s="243"/>
      <c r="F7130" s="243"/>
      <c r="G7130" s="244"/>
    </row>
    <row r="7131" spans="1:8" ht="19.5" thickBot="1">
      <c r="A7131" s="215"/>
      <c r="B7131" s="216" t="s">
        <v>550</v>
      </c>
      <c r="C7131" s="177"/>
      <c r="D7131" s="189"/>
      <c r="E7131" s="178"/>
      <c r="F7131" s="179" t="s">
        <v>636</v>
      </c>
      <c r="G7131" s="209" t="str">
        <f ca="1">B7132</f>
        <v>2382DBD1-</v>
      </c>
    </row>
    <row r="7132" spans="1:8" ht="15.75" thickBot="1">
      <c r="B7132" s="212" t="str">
        <f ca="1">_xlfn.XLOOKUP(C7130,Cantidades!$C$1:$C$314,Cantidades!$B$1:$B$314,"",0,1)</f>
        <v>2382DBD1-</v>
      </c>
      <c r="C7132" s="10" t="s">
        <v>0</v>
      </c>
      <c r="D7132" s="190"/>
      <c r="E7132" s="11"/>
      <c r="F7132" s="12"/>
      <c r="G7132" s="13"/>
    </row>
    <row r="7133" spans="1:8" ht="14.25" thickBot="1">
      <c r="A7133" s="215"/>
      <c r="B7133" s="216" t="s">
        <v>550</v>
      </c>
      <c r="C7133" s="14" t="s">
        <v>1</v>
      </c>
      <c r="D7133" s="15" t="s">
        <v>2</v>
      </c>
      <c r="E7133" s="15" t="s">
        <v>3</v>
      </c>
      <c r="F7133" s="16" t="s">
        <v>4</v>
      </c>
      <c r="G7133" s="15" t="s">
        <v>5</v>
      </c>
    </row>
    <row r="7134" spans="1:8">
      <c r="A7134" s="211" t="s">
        <v>484</v>
      </c>
      <c r="B7134" s="216" t="str">
        <f ca="1">_xlfn.CONCAT(B7132,A7134)</f>
        <v>2382DBD1-A</v>
      </c>
      <c r="C7134" s="17" t="str">
        <f>_xlfn.XLOOKUP(H7134,'Materiales unitario'!$A$1:$A$2500,'Materiales unitario'!B$1:B$2500,,0,1)</f>
        <v xml:space="preserve">Cable de cobre desnudo #2/0 AWG </v>
      </c>
      <c r="D7134" s="184" t="str">
        <f>_xlfn.XLOOKUP(H7134,'Materiales unitario'!A$1:A$2500,'Materiales unitario'!C$1:C$2500,,0,1)</f>
        <v>ml</v>
      </c>
      <c r="E7134" s="197">
        <f>_xlfn.XLOOKUP(H7134,'Materiales unitario'!$A$1:$A$2500,'Materiales unitario'!D$1:D$2500,,0,1)</f>
        <v>46870</v>
      </c>
      <c r="F7134" s="19">
        <v>110</v>
      </c>
      <c r="G7134" s="20">
        <f>+E7134*F7134</f>
        <v>5155700</v>
      </c>
      <c r="H7134" s="211" t="s">
        <v>275</v>
      </c>
    </row>
    <row r="7135" spans="1:8">
      <c r="A7135" s="211" t="s">
        <v>485</v>
      </c>
      <c r="B7135" s="216" t="str">
        <f ca="1">_xlfn.CONCAT(B7132,A7135)</f>
        <v>2382DBD1-B</v>
      </c>
      <c r="C7135" s="17" t="str">
        <f>_xlfn.XLOOKUP(H7135,'Materiales unitario'!$A$1:$A$2500,'Materiales unitario'!B$1:B$2500,,0,1)</f>
        <v>Varilla de cobre ø5/8" X 2.40 mts - tierras</v>
      </c>
      <c r="D7135" s="184" t="str">
        <f>_xlfn.XLOOKUP(H7135,'Materiales unitario'!A$1:A$2500,'Materiales unitario'!C$1:C$2500,,0,1)</f>
        <v>un</v>
      </c>
      <c r="E7135" s="197">
        <f>_xlfn.XLOOKUP(H7135,'Materiales unitario'!$A$1:$A$2500,'Materiales unitario'!D$1:D$2500,,0,1)</f>
        <v>308445</v>
      </c>
      <c r="F7135" s="19">
        <v>9</v>
      </c>
      <c r="G7135" s="20">
        <f t="shared" ref="G7135:G7140" si="201">+E7135*F7135</f>
        <v>2776005</v>
      </c>
      <c r="H7135" s="211" t="s">
        <v>394</v>
      </c>
    </row>
    <row r="7136" spans="1:8">
      <c r="A7136" s="211" t="s">
        <v>486</v>
      </c>
      <c r="B7136" s="216" t="str">
        <f ca="1">_xlfn.CONCAT(B7132,A7136)</f>
        <v>2382DBD1-C</v>
      </c>
      <c r="C7136" s="17" t="str">
        <f>_xlfn.XLOOKUP(H7136,'Materiales unitario'!$A$1:$A$2500,'Materiales unitario'!B$1:B$2500,,0,1)</f>
        <v>Favigel (bulto de 25 Kgs)</v>
      </c>
      <c r="D7136" s="184" t="str">
        <f>_xlfn.XLOOKUP(H7136,'Materiales unitario'!A$1:A$2500,'Materiales unitario'!C$1:C$2500,,0,1)</f>
        <v>Kg.</v>
      </c>
      <c r="E7136" s="197">
        <f>_xlfn.XLOOKUP(H7136,'Materiales unitario'!$A$1:$A$2500,'Materiales unitario'!D$1:D$2500,,0,1)</f>
        <v>124600</v>
      </c>
      <c r="F7136" s="19">
        <v>9</v>
      </c>
      <c r="G7136" s="20">
        <f t="shared" si="201"/>
        <v>1121400</v>
      </c>
      <c r="H7136" s="211" t="s">
        <v>322</v>
      </c>
    </row>
    <row r="7137" spans="1:8">
      <c r="A7137" s="211" t="s">
        <v>487</v>
      </c>
      <c r="B7137" s="216" t="str">
        <f ca="1">_xlfn.CONCAT(B7132,A7137)</f>
        <v>2382DBD1-D</v>
      </c>
      <c r="C7137" s="17" t="str">
        <f>_xlfn.XLOOKUP(H7137,'Materiales unitario'!$A$1:$A$2500,'Materiales unitario'!B$1:B$2500,,0,1)</f>
        <v>Soldadura Cadweld 115 gr.</v>
      </c>
      <c r="D7137" s="184" t="str">
        <f>_xlfn.XLOOKUP(H7137,'Materiales unitario'!A$1:A$2500,'Materiales unitario'!C$1:C$2500,,0,1)</f>
        <v>un</v>
      </c>
      <c r="E7137" s="197">
        <f>_xlfn.XLOOKUP(H7137,'Materiales unitario'!$A$1:$A$2500,'Materiales unitario'!D$1:D$2500,,0,1)</f>
        <v>20845</v>
      </c>
      <c r="F7137" s="19">
        <v>35</v>
      </c>
      <c r="G7137" s="20">
        <f t="shared" si="201"/>
        <v>729575</v>
      </c>
      <c r="H7137" s="211" t="s">
        <v>353</v>
      </c>
    </row>
    <row r="7138" spans="1:8">
      <c r="A7138" s="211" t="s">
        <v>488</v>
      </c>
      <c r="B7138" s="216" t="str">
        <f ca="1">_xlfn.CONCAT(B7132,A7138)</f>
        <v>2382DBD1-E</v>
      </c>
      <c r="C7138" s="17" t="str">
        <f>_xlfn.XLOOKUP(H7138,'Materiales unitario'!$A$1:$A$2500,'Materiales unitario'!B$1:B$2500,,0,1)</f>
        <v>Molde estandar en grafito + pinza  para soldadura</v>
      </c>
      <c r="D7138" s="184" t="str">
        <f>_xlfn.XLOOKUP(H7138,'Materiales unitario'!A$1:A$2500,'Materiales unitario'!C$1:C$2500,,0,1)</f>
        <v>jg</v>
      </c>
      <c r="E7138" s="197">
        <f>_xlfn.XLOOKUP(H7138,'Materiales unitario'!$A$1:$A$2500,'Materiales unitario'!D$1:D$2500,,0,1)</f>
        <v>256333</v>
      </c>
      <c r="F7138" s="19">
        <v>1.1000000000000001</v>
      </c>
      <c r="G7138" s="20">
        <f t="shared" si="201"/>
        <v>281966.30000000005</v>
      </c>
      <c r="H7138" s="211" t="s">
        <v>340</v>
      </c>
    </row>
    <row r="7139" spans="1:8">
      <c r="A7139" s="211" t="s">
        <v>489</v>
      </c>
      <c r="B7139" s="216" t="str">
        <f ca="1">_xlfn.CONCAT(B7132,A7139)</f>
        <v>2382DBD1-F</v>
      </c>
      <c r="C7139" s="17" t="str">
        <f>_xlfn.XLOOKUP(H7139,'Materiales unitario'!$A$1:$A$2500,'Materiales unitario'!B$1:B$2500,,0,1)</f>
        <v>Accesorios de limpieza (Cepillo de alambre - Chispero)</v>
      </c>
      <c r="D7139" s="184" t="str">
        <f>_xlfn.XLOOKUP(H7139,'Materiales unitario'!A$1:A$2500,'Materiales unitario'!C$1:C$2500,,0,1)</f>
        <v>un</v>
      </c>
      <c r="E7139" s="197">
        <f>_xlfn.XLOOKUP(H7139,'Materiales unitario'!$A$1:$A$2500,'Materiales unitario'!D$1:D$2500,,0,1)</f>
        <v>12000</v>
      </c>
      <c r="F7139" s="19">
        <v>1</v>
      </c>
      <c r="G7139" s="20">
        <f t="shared" si="201"/>
        <v>12000</v>
      </c>
      <c r="H7139" s="211" t="s">
        <v>223</v>
      </c>
    </row>
    <row r="7140" spans="1:8">
      <c r="A7140" s="211" t="s">
        <v>490</v>
      </c>
      <c r="B7140" s="216" t="str">
        <f ca="1">_xlfn.CONCAT(B7132,A7140)</f>
        <v>2382DBD1-G</v>
      </c>
      <c r="C7140" s="17" t="str">
        <f>_xlfn.XLOOKUP(H7140,'Materiales unitario'!$A$1:$A$2500,'Materiales unitario'!B$1:B$2500,,0,1)</f>
        <v>Borna terminal estañada  de ojo tipo pala #2/0 AWG</v>
      </c>
      <c r="D7140" s="184" t="str">
        <f>_xlfn.XLOOKUP(H7140,'Materiales unitario'!A$1:A$2500,'Materiales unitario'!C$1:C$2500,,0,1)</f>
        <v>un</v>
      </c>
      <c r="E7140" s="197">
        <f>_xlfn.XLOOKUP(H7140,'Materiales unitario'!$A$1:$A$2500,'Materiales unitario'!D$1:D$2500,,0,1)</f>
        <v>7120</v>
      </c>
      <c r="F7140" s="19">
        <v>3</v>
      </c>
      <c r="G7140" s="20">
        <f t="shared" si="201"/>
        <v>21360</v>
      </c>
      <c r="H7140" s="211" t="s">
        <v>249</v>
      </c>
    </row>
    <row r="7141" spans="1:8">
      <c r="A7141" s="211" t="s">
        <v>491</v>
      </c>
      <c r="B7141" s="216" t="str">
        <f ca="1">_xlfn.CONCAT(B7132,A7141)</f>
        <v>2382DBD1-H</v>
      </c>
      <c r="C7141" s="17"/>
      <c r="D7141" s="184"/>
      <c r="E7141" s="197"/>
      <c r="F7141" s="19"/>
      <c r="G7141" s="20"/>
    </row>
    <row r="7142" spans="1:8">
      <c r="A7142" s="211" t="s">
        <v>492</v>
      </c>
      <c r="B7142" s="216" t="str">
        <f ca="1">_xlfn.CONCAT(B7132,A7142)</f>
        <v>2382DBD1-I</v>
      </c>
      <c r="C7142" s="17"/>
      <c r="D7142" s="184"/>
      <c r="E7142" s="197"/>
      <c r="F7142" s="19"/>
      <c r="G7142" s="20"/>
    </row>
    <row r="7143" spans="1:8">
      <c r="A7143" s="211" t="s">
        <v>493</v>
      </c>
      <c r="B7143" s="216" t="str">
        <f ca="1">_xlfn.CONCAT(B7132,A7143)</f>
        <v>2382DBD1-J</v>
      </c>
      <c r="C7143" s="17"/>
      <c r="D7143" s="184"/>
      <c r="E7143" s="197"/>
      <c r="F7143" s="19"/>
      <c r="G7143" s="20"/>
    </row>
    <row r="7144" spans="1:8">
      <c r="A7144" s="211" t="s">
        <v>494</v>
      </c>
      <c r="B7144" s="216" t="str">
        <f ca="1">_xlfn.CONCAT(B7132,A7144)</f>
        <v>2382DBD1-K</v>
      </c>
      <c r="C7144" s="17"/>
      <c r="D7144" s="184"/>
      <c r="E7144" s="197"/>
      <c r="F7144" s="19"/>
      <c r="G7144" s="20"/>
    </row>
    <row r="7145" spans="1:8">
      <c r="A7145" s="211" t="s">
        <v>495</v>
      </c>
      <c r="B7145" s="216" t="str">
        <f ca="1">_xlfn.CONCAT(B7132,A7145)</f>
        <v>2382DBD1-L</v>
      </c>
      <c r="C7145" s="17"/>
      <c r="D7145" s="184"/>
      <c r="E7145" s="197"/>
      <c r="F7145" s="19"/>
      <c r="G7145" s="20"/>
    </row>
    <row r="7146" spans="1:8">
      <c r="A7146" s="211" t="s">
        <v>496</v>
      </c>
      <c r="B7146" s="216" t="str">
        <f ca="1">_xlfn.CONCAT(B7132,A7146)</f>
        <v>2382DBD1-M</v>
      </c>
      <c r="C7146" s="17"/>
      <c r="D7146" s="184"/>
      <c r="E7146" s="197"/>
      <c r="F7146" s="19"/>
      <c r="G7146" s="20"/>
    </row>
    <row r="7147" spans="1:8">
      <c r="A7147" s="211" t="s">
        <v>497</v>
      </c>
      <c r="B7147" s="216" t="str">
        <f ca="1">_xlfn.CONCAT(B7132,A7147)</f>
        <v>2382DBD1-N</v>
      </c>
      <c r="C7147" s="17"/>
      <c r="D7147" s="184"/>
      <c r="E7147" s="197"/>
      <c r="F7147" s="19"/>
      <c r="G7147" s="20"/>
    </row>
    <row r="7148" spans="1:8">
      <c r="A7148" s="211" t="s">
        <v>498</v>
      </c>
      <c r="B7148" s="216" t="str">
        <f ca="1">_xlfn.CONCAT(B7132,A7148)</f>
        <v>2382DBD1-O</v>
      </c>
      <c r="C7148" s="17"/>
      <c r="D7148" s="184"/>
      <c r="E7148" s="197"/>
      <c r="F7148" s="19"/>
      <c r="G7148" s="20"/>
    </row>
    <row r="7149" spans="1:8">
      <c r="A7149" s="211" t="s">
        <v>499</v>
      </c>
      <c r="B7149" s="216" t="str">
        <f ca="1">_xlfn.CONCAT(B7132,A7149)</f>
        <v>2382DBD1-P</v>
      </c>
      <c r="C7149" s="17"/>
      <c r="D7149" s="184"/>
      <c r="E7149" s="197"/>
      <c r="F7149" s="19"/>
      <c r="G7149" s="20"/>
    </row>
    <row r="7150" spans="1:8">
      <c r="A7150" s="211" t="s">
        <v>500</v>
      </c>
      <c r="B7150" s="216" t="str">
        <f ca="1">_xlfn.CONCAT(B7132,A7150)</f>
        <v>2382DBD1-Q</v>
      </c>
      <c r="C7150" s="17"/>
      <c r="D7150" s="184"/>
      <c r="E7150" s="197"/>
      <c r="F7150" s="19"/>
      <c r="G7150" s="20"/>
    </row>
    <row r="7151" spans="1:8">
      <c r="A7151" s="211" t="s">
        <v>501</v>
      </c>
      <c r="B7151" s="216" t="str">
        <f ca="1">_xlfn.CONCAT(B7132,A7151)</f>
        <v>2382DBD1-R</v>
      </c>
      <c r="C7151" s="17"/>
      <c r="D7151" s="184"/>
      <c r="E7151" s="197"/>
      <c r="F7151" s="19"/>
      <c r="G7151" s="20"/>
    </row>
    <row r="7152" spans="1:8">
      <c r="A7152" s="211" t="s">
        <v>502</v>
      </c>
      <c r="B7152" s="216" t="str">
        <f ca="1">_xlfn.CONCAT(B7132,A7152)</f>
        <v>2382DBD1-S</v>
      </c>
      <c r="C7152" s="17"/>
      <c r="D7152" s="184"/>
      <c r="E7152" s="197"/>
      <c r="F7152" s="19"/>
      <c r="G7152" s="20"/>
    </row>
    <row r="7153" spans="1:7">
      <c r="A7153" s="211" t="s">
        <v>503</v>
      </c>
      <c r="B7153" s="216" t="str">
        <f ca="1">_xlfn.CONCAT(B7132,A7153)</f>
        <v>2382DBD1-T</v>
      </c>
      <c r="C7153" s="17"/>
      <c r="D7153" s="184"/>
      <c r="E7153" s="197"/>
      <c r="F7153" s="19"/>
      <c r="G7153" s="20"/>
    </row>
    <row r="7154" spans="1:7" ht="14.25" thickBot="1">
      <c r="A7154" s="211" t="s">
        <v>504</v>
      </c>
      <c r="B7154" s="216" t="str">
        <f ca="1">_xlfn.CONCAT(B7132,A7154)</f>
        <v>2382DBD1-U</v>
      </c>
      <c r="C7154" s="17"/>
      <c r="D7154" s="184"/>
      <c r="E7154" s="197"/>
      <c r="F7154" s="19"/>
      <c r="G7154" s="20"/>
    </row>
    <row r="7155" spans="1:7" ht="14.25" thickBot="1">
      <c r="A7155" s="211" t="s">
        <v>505</v>
      </c>
      <c r="B7155" s="216" t="str">
        <f ca="1">_xlfn.CONCAT(B7132,A7155)</f>
        <v>2382DBD1-V</v>
      </c>
      <c r="C7155" s="17" t="s">
        <v>17</v>
      </c>
      <c r="D7155" s="192" t="s">
        <v>17</v>
      </c>
      <c r="E7155" s="18"/>
      <c r="F7155" s="22" t="s">
        <v>18</v>
      </c>
      <c r="G7155" s="23">
        <f>SUM(G7134:G7154)</f>
        <v>10098006.300000001</v>
      </c>
    </row>
    <row r="7156" spans="1:7" ht="15.75" thickBot="1">
      <c r="A7156" s="211" t="s">
        <v>506</v>
      </c>
      <c r="B7156" s="216" t="str">
        <f ca="1">_xlfn.CONCAT(B7132,A7156)</f>
        <v>2382DBD1-W</v>
      </c>
      <c r="C7156" s="10" t="s">
        <v>19</v>
      </c>
      <c r="D7156" s="190"/>
      <c r="E7156" s="11"/>
      <c r="F7156" s="12"/>
      <c r="G7156" s="13"/>
    </row>
    <row r="7157" spans="1:7" ht="14.25" thickBot="1">
      <c r="A7157" s="211" t="s">
        <v>507</v>
      </c>
      <c r="B7157" s="216" t="str">
        <f ca="1">_xlfn.CONCAT(B7132,A7157)</f>
        <v>2382DBD1-X</v>
      </c>
      <c r="C7157" s="14" t="s">
        <v>1</v>
      </c>
      <c r="D7157" s="15"/>
      <c r="E7157" s="15" t="s">
        <v>20</v>
      </c>
      <c r="F7157" s="16" t="s">
        <v>21</v>
      </c>
      <c r="G7157" s="15" t="s">
        <v>5</v>
      </c>
    </row>
    <row r="7158" spans="1:7">
      <c r="A7158" s="211" t="s">
        <v>508</v>
      </c>
      <c r="B7158" s="216" t="str">
        <f ca="1">_xlfn.CONCAT(B7132,A7158)</f>
        <v>2382DBD1-Y</v>
      </c>
      <c r="C7158" s="24" t="s">
        <v>22</v>
      </c>
      <c r="D7158" s="184"/>
      <c r="E7158" s="25">
        <f>_xlfn.XLOOKUP(C7158,'H-MO'!B$7:B$30,'H-MO'!D$7:D$30,,0,1)</f>
        <v>2436.5624999999995</v>
      </c>
      <c r="F7158" s="19">
        <v>12</v>
      </c>
      <c r="G7158" s="33">
        <f t="shared" ref="G7158:G7163" si="202">+E7158*F7158</f>
        <v>29238.749999999993</v>
      </c>
    </row>
    <row r="7159" spans="1:7">
      <c r="A7159" s="211" t="s">
        <v>509</v>
      </c>
      <c r="B7159" s="216" t="str">
        <f ca="1">_xlfn.CONCAT(B7132,A7159)</f>
        <v>2382DBD1-Z</v>
      </c>
      <c r="C7159" s="24" t="s">
        <v>23</v>
      </c>
      <c r="D7159" s="184"/>
      <c r="E7159" s="25">
        <f>_xlfn.XLOOKUP(C7159,'H-MO'!B$7:B$30,'H-MO'!D$7:D$30,,0,1)</f>
        <v>1461.9374999999998</v>
      </c>
      <c r="F7159" s="19">
        <v>5</v>
      </c>
      <c r="G7159" s="33">
        <f t="shared" si="202"/>
        <v>7309.6874999999991</v>
      </c>
    </row>
    <row r="7160" spans="1:7">
      <c r="A7160" s="211" t="s">
        <v>510</v>
      </c>
      <c r="B7160" s="216" t="str">
        <f ca="1">_xlfn.CONCAT(B7132,A7160)</f>
        <v>2382DBD1-aa</v>
      </c>
      <c r="C7160" s="24" t="s">
        <v>24</v>
      </c>
      <c r="D7160" s="185"/>
      <c r="E7160" s="25">
        <f>_xlfn.XLOOKUP(C7160,'H-MO'!B$7:B$30,'H-MO'!D$7:D$30,,0,1)</f>
        <v>29238.749999999996</v>
      </c>
      <c r="F7160" s="28">
        <v>2</v>
      </c>
      <c r="G7160" s="33">
        <f t="shared" si="202"/>
        <v>58477.499999999993</v>
      </c>
    </row>
    <row r="7161" spans="1:7">
      <c r="A7161" s="211" t="s">
        <v>511</v>
      </c>
      <c r="B7161" s="216" t="str">
        <f ca="1">_xlfn.CONCAT(B7132,A7161)</f>
        <v>2382DBD1-ab</v>
      </c>
      <c r="C7161" s="24" t="s">
        <v>25</v>
      </c>
      <c r="D7161" s="185"/>
      <c r="E7161" s="25">
        <f>_xlfn.XLOOKUP(C7161,'H-MO'!B$7:B$30,'H-MO'!D$7:D$30,,0,1)</f>
        <v>2761.4374999999995</v>
      </c>
      <c r="F7161" s="28">
        <v>1</v>
      </c>
      <c r="G7161" s="33">
        <f t="shared" si="202"/>
        <v>2761.4374999999995</v>
      </c>
    </row>
    <row r="7162" spans="1:7">
      <c r="A7162" s="211" t="s">
        <v>512</v>
      </c>
      <c r="B7162" s="216" t="str">
        <f ca="1">_xlfn.CONCAT(B7132,A7162)</f>
        <v>2382DBD1-ac</v>
      </c>
      <c r="C7162" s="24"/>
      <c r="D7162" s="185"/>
      <c r="E7162" s="29"/>
      <c r="F7162" s="28"/>
      <c r="G7162" s="33">
        <f t="shared" si="202"/>
        <v>0</v>
      </c>
    </row>
    <row r="7163" spans="1:7" ht="14.25" thickBot="1">
      <c r="A7163" s="211" t="s">
        <v>513</v>
      </c>
      <c r="B7163" s="216" t="str">
        <f ca="1">_xlfn.CONCAT(B7132,A7163)</f>
        <v>2382DBD1-ad</v>
      </c>
      <c r="C7163" s="24"/>
      <c r="D7163" s="185"/>
      <c r="E7163" s="29"/>
      <c r="F7163" s="28"/>
      <c r="G7163" s="33">
        <f t="shared" si="202"/>
        <v>0</v>
      </c>
    </row>
    <row r="7164" spans="1:7" ht="14.25" thickBot="1">
      <c r="A7164" s="211" t="s">
        <v>514</v>
      </c>
      <c r="B7164" s="216" t="str">
        <f ca="1">_xlfn.CONCAT(B7132,A7164)</f>
        <v>2382DBD1-ae</v>
      </c>
      <c r="C7164" s="17"/>
      <c r="D7164" s="192"/>
      <c r="E7164" s="18"/>
      <c r="F7164" s="22" t="s">
        <v>26</v>
      </c>
      <c r="G7164" s="23">
        <f>SUM(G7158:G7163)</f>
        <v>97787.374999999985</v>
      </c>
    </row>
    <row r="7165" spans="1:7" ht="15.75" thickBot="1">
      <c r="A7165" s="211" t="s">
        <v>515</v>
      </c>
      <c r="B7165" s="216" t="str">
        <f ca="1">_xlfn.CONCAT(B7132,A7165)</f>
        <v>2382DBD1-af</v>
      </c>
      <c r="C7165" s="10" t="s">
        <v>27</v>
      </c>
      <c r="D7165" s="190"/>
      <c r="E7165" s="11"/>
      <c r="F7165" s="12"/>
      <c r="G7165" s="13"/>
    </row>
    <row r="7166" spans="1:7" ht="14.25" thickBot="1">
      <c r="A7166" s="211" t="s">
        <v>516</v>
      </c>
      <c r="B7166" s="216" t="str">
        <f ca="1">_xlfn.CONCAT(B7132,A7166)</f>
        <v>2382DBD1-ag</v>
      </c>
      <c r="C7166" s="14" t="s">
        <v>1</v>
      </c>
      <c r="D7166" s="15" t="s">
        <v>28</v>
      </c>
      <c r="E7166" s="15" t="s">
        <v>20</v>
      </c>
      <c r="F7166" s="16" t="s">
        <v>21</v>
      </c>
      <c r="G7166" s="15" t="s">
        <v>5</v>
      </c>
    </row>
    <row r="7167" spans="1:7">
      <c r="A7167" s="211" t="s">
        <v>517</v>
      </c>
      <c r="B7167" s="216" t="str">
        <f ca="1">_xlfn.CONCAT(B7132,A7167)</f>
        <v>2382DBD1-ah</v>
      </c>
      <c r="C7167" s="30" t="s">
        <v>29</v>
      </c>
      <c r="D7167" s="186">
        <f>'H-MO'!$N$77</f>
        <v>725918.52892505517</v>
      </c>
      <c r="E7167" s="31">
        <f>+D7167/8</f>
        <v>90739.816115631897</v>
      </c>
      <c r="F7167" s="32">
        <v>20</v>
      </c>
      <c r="G7167" s="33">
        <f>+E7167*F7167</f>
        <v>1814796.3223126379</v>
      </c>
    </row>
    <row r="7168" spans="1:7">
      <c r="A7168" s="211" t="s">
        <v>518</v>
      </c>
      <c r="B7168" s="216" t="str">
        <f ca="1">_xlfn.CONCAT(B7132,A7168)</f>
        <v>2382DBD1-ai</v>
      </c>
      <c r="C7168" s="34" t="s">
        <v>30</v>
      </c>
      <c r="D7168" s="187">
        <f>'H-MO'!$N$86</f>
        <v>685561.39085756091</v>
      </c>
      <c r="E7168" s="29">
        <f>+D7168/8</f>
        <v>85695.173857195114</v>
      </c>
      <c r="F7168" s="28">
        <v>2</v>
      </c>
      <c r="G7168" s="33">
        <f>+E7168*F7168</f>
        <v>171390.34771439023</v>
      </c>
    </row>
    <row r="7169" spans="1:8" ht="14.25" thickBot="1">
      <c r="A7169" s="211" t="s">
        <v>519</v>
      </c>
      <c r="B7169" s="216" t="str">
        <f ca="1">_xlfn.CONCAT(B7132,A7169)</f>
        <v>2382DBD1-aj</v>
      </c>
      <c r="C7169" s="34"/>
      <c r="D7169" s="187"/>
      <c r="E7169" s="29"/>
      <c r="F7169" s="28"/>
      <c r="G7169" s="33">
        <f>+E7169*F7169</f>
        <v>0</v>
      </c>
    </row>
    <row r="7170" spans="1:8" ht="14.25" thickBot="1">
      <c r="A7170" s="211" t="s">
        <v>520</v>
      </c>
      <c r="B7170" s="216" t="str">
        <f ca="1">_xlfn.CONCAT(B7132,A7170)</f>
        <v>2382DBD1-ak</v>
      </c>
      <c r="C7170" s="34"/>
      <c r="D7170" s="185"/>
      <c r="E7170" s="26"/>
      <c r="F7170" s="36" t="s">
        <v>31</v>
      </c>
      <c r="G7170" s="23">
        <f>SUM(G7167:G7169)</f>
        <v>1986186.6700270281</v>
      </c>
    </row>
    <row r="7171" spans="1:8" ht="14.25" thickBot="1">
      <c r="A7171" s="211" t="s">
        <v>521</v>
      </c>
      <c r="B7171" s="216" t="str">
        <f ca="1">_xlfn.CONCAT(B7132,A7171)</f>
        <v>2382DBD1-al</v>
      </c>
      <c r="C7171" s="37"/>
      <c r="E7171" s="38"/>
      <c r="F7171" s="22"/>
      <c r="G7171" s="39"/>
    </row>
    <row r="7172" spans="1:8" ht="16.5" thickBot="1">
      <c r="A7172" s="211" t="s">
        <v>522</v>
      </c>
      <c r="B7172" s="216" t="str">
        <f ca="1">_xlfn.CONCAT(B7132,A7172)</f>
        <v>2382DBD1-am</v>
      </c>
      <c r="C7172" s="40"/>
      <c r="D7172" s="193"/>
      <c r="E7172" s="41"/>
      <c r="F7172" s="42"/>
      <c r="G7172" s="43">
        <f>+G7155+G7164+G7170</f>
        <v>12181980.34502703</v>
      </c>
    </row>
    <row r="7173" spans="1:8" ht="21.75" thickBot="1">
      <c r="B7173" s="212" t="s">
        <v>550</v>
      </c>
      <c r="C7173" s="2"/>
      <c r="D7173" s="183"/>
      <c r="F7173" s="4"/>
      <c r="G7173" s="5"/>
    </row>
    <row r="7174" spans="1:8" ht="18.75">
      <c r="A7174" s="213"/>
      <c r="B7174" s="214">
        <v>163</v>
      </c>
      <c r="C7174" s="242" t="str">
        <f ca="1">_xlfn.XLOOKUP(B7174,Cantidades!$A$10:$A$314,Cantidades!$C$10:$C$314,,0,1)</f>
        <v>Suministro e instalacion de tablero bypass manual con seleccionador tripolar 150A</v>
      </c>
      <c r="D7174" s="243"/>
      <c r="E7174" s="243"/>
      <c r="F7174" s="243"/>
      <c r="G7174" s="244"/>
    </row>
    <row r="7175" spans="1:8" ht="19.5" thickBot="1">
      <c r="A7175" s="215"/>
      <c r="B7175" s="216" t="s">
        <v>550</v>
      </c>
      <c r="C7175" s="177"/>
      <c r="D7175" s="189"/>
      <c r="E7175" s="178"/>
      <c r="F7175" s="179" t="s">
        <v>636</v>
      </c>
      <c r="G7175" s="209" t="str">
        <f ca="1">B7176</f>
        <v>BDF69F4-</v>
      </c>
    </row>
    <row r="7176" spans="1:8" ht="15.75" thickBot="1">
      <c r="B7176" s="212" t="str">
        <f ca="1">_xlfn.XLOOKUP(C7174,Cantidades!$C$1:$C$314,Cantidades!$B$1:$B$314,"",0,1)</f>
        <v>BDF69F4-</v>
      </c>
      <c r="C7176" s="10" t="s">
        <v>0</v>
      </c>
      <c r="D7176" s="190"/>
      <c r="E7176" s="11"/>
      <c r="F7176" s="12"/>
      <c r="G7176" s="13"/>
    </row>
    <row r="7177" spans="1:8" ht="14.25" thickBot="1">
      <c r="A7177" s="215"/>
      <c r="B7177" s="216" t="s">
        <v>550</v>
      </c>
      <c r="C7177" s="14" t="s">
        <v>1</v>
      </c>
      <c r="D7177" s="15" t="s">
        <v>2</v>
      </c>
      <c r="E7177" s="15" t="s">
        <v>3</v>
      </c>
      <c r="F7177" s="16" t="s">
        <v>4</v>
      </c>
      <c r="G7177" s="15" t="s">
        <v>5</v>
      </c>
    </row>
    <row r="7178" spans="1:8">
      <c r="A7178" s="211" t="s">
        <v>484</v>
      </c>
      <c r="B7178" s="216" t="str">
        <f ca="1">_xlfn.CONCAT(B7176,A7178)</f>
        <v>BDF69F4-A</v>
      </c>
      <c r="C7178" s="17" t="str">
        <f>_xlfn.XLOOKUP(H7178,'Materiales unitario'!$A$1:$A$2500,'Materiales unitario'!B$1:B$2500,,0,1)</f>
        <v>Gabinete metalico para tablero cal 16</v>
      </c>
      <c r="D7178" s="184" t="str">
        <f>_xlfn.XLOOKUP(H7178,'Materiales unitario'!A$1:A$2500,'Materiales unitario'!C$1:C$2500,,0,1)</f>
        <v>un</v>
      </c>
      <c r="E7178" s="197">
        <f>_xlfn.XLOOKUP(H7178,'Materiales unitario'!$A$1:$A$2500,'Materiales unitario'!D$1:D$2500,,0,1)</f>
        <v>1600000</v>
      </c>
      <c r="F7178" s="19">
        <v>1</v>
      </c>
      <c r="G7178" s="20">
        <f t="shared" ref="G7178:G7184" si="203">+E7178*F7178</f>
        <v>1600000</v>
      </c>
      <c r="H7178" s="211" t="s">
        <v>1367</v>
      </c>
    </row>
    <row r="7179" spans="1:8">
      <c r="A7179" s="211" t="s">
        <v>485</v>
      </c>
      <c r="B7179" s="216" t="str">
        <f ca="1">_xlfn.CONCAT(B7176,A7179)</f>
        <v>BDF69F4-B</v>
      </c>
      <c r="C7179" s="17" t="str">
        <f>_xlfn.XLOOKUP(H7179,'Materiales unitario'!$A$1:$A$2500,'Materiales unitario'!B$1:B$2500,,0,1)</f>
        <v>Totalizador industrial 3x150 amperios</v>
      </c>
      <c r="D7179" s="184" t="str">
        <f>_xlfn.XLOOKUP(H7179,'Materiales unitario'!A$1:A$2500,'Materiales unitario'!C$1:C$2500,,0,1)</f>
        <v>un</v>
      </c>
      <c r="E7179" s="197">
        <f>_xlfn.XLOOKUP(H7179,'Materiales unitario'!$A$1:$A$2500,'Materiales unitario'!D$1:D$2500,,0,1)</f>
        <v>721630</v>
      </c>
      <c r="F7179" s="19">
        <v>3</v>
      </c>
      <c r="G7179" s="20">
        <f t="shared" si="203"/>
        <v>2164890</v>
      </c>
      <c r="H7179" s="211" t="s">
        <v>1369</v>
      </c>
    </row>
    <row r="7180" spans="1:8">
      <c r="A7180" s="211" t="s">
        <v>486</v>
      </c>
      <c r="B7180" s="216" t="str">
        <f ca="1">_xlfn.CONCAT(B7176,A7180)</f>
        <v>BDF69F4-C</v>
      </c>
      <c r="C7180" s="17" t="str">
        <f>_xlfn.XLOOKUP(H7180,'Materiales unitario'!$A$1:$A$2500,'Materiales unitario'!B$1:B$2500,,0,1)</f>
        <v>platina de cobre 1/8"x5/8" 200A</v>
      </c>
      <c r="D7180" s="184" t="str">
        <f>_xlfn.XLOOKUP(H7180,'Materiales unitario'!A$1:A$2500,'Materiales unitario'!C$1:C$2500,,0,1)</f>
        <v>ml</v>
      </c>
      <c r="E7180" s="197">
        <f>_xlfn.XLOOKUP(H7180,'Materiales unitario'!$A$1:$A$2500,'Materiales unitario'!D$1:D$2500,,0,1)</f>
        <v>68300</v>
      </c>
      <c r="F7180" s="19">
        <v>5</v>
      </c>
      <c r="G7180" s="20">
        <f t="shared" si="203"/>
        <v>341500</v>
      </c>
      <c r="H7180" s="211" t="s">
        <v>1371</v>
      </c>
    </row>
    <row r="7181" spans="1:8">
      <c r="A7181" s="211" t="s">
        <v>487</v>
      </c>
      <c r="B7181" s="216" t="str">
        <f ca="1">_xlfn.CONCAT(B7176,A7181)</f>
        <v>BDF69F4-D</v>
      </c>
      <c r="C7181" s="17" t="str">
        <f>_xlfn.XLOOKUP(H7181,'Materiales unitario'!$A$1:$A$2500,'Materiales unitario'!B$1:B$2500,,0,1)</f>
        <v>Soporte aislador para barraje</v>
      </c>
      <c r="D7181" s="184" t="str">
        <f>_xlfn.XLOOKUP(H7181,'Materiales unitario'!A$1:A$2500,'Materiales unitario'!C$1:C$2500,,0,1)</f>
        <v>un</v>
      </c>
      <c r="E7181" s="197">
        <f>_xlfn.XLOOKUP(H7181,'Materiales unitario'!$A$1:$A$2500,'Materiales unitario'!D$1:D$2500,,0,1)</f>
        <v>6200</v>
      </c>
      <c r="F7181" s="19">
        <v>12</v>
      </c>
      <c r="G7181" s="20">
        <f t="shared" si="203"/>
        <v>74400</v>
      </c>
      <c r="H7181" s="211" t="s">
        <v>1373</v>
      </c>
    </row>
    <row r="7182" spans="1:8">
      <c r="A7182" s="211" t="s">
        <v>488</v>
      </c>
      <c r="B7182" s="216" t="str">
        <f ca="1">_xlfn.CONCAT(B7176,A7182)</f>
        <v>BDF69F4-E</v>
      </c>
      <c r="C7182" s="17" t="str">
        <f>_xlfn.XLOOKUP(H7182,'Materiales unitario'!$A$1:$A$2500,'Materiales unitario'!B$1:B$2500,,0,1)</f>
        <v>Transferencia manual 150A</v>
      </c>
      <c r="D7182" s="184" t="str">
        <f>_xlfn.XLOOKUP(H7182,'Materiales unitario'!A$1:A$2500,'Materiales unitario'!C$1:C$2500,,0,1)</f>
        <v>un</v>
      </c>
      <c r="E7182" s="197">
        <f>_xlfn.XLOOKUP(H7182,'Materiales unitario'!$A$1:$A$2500,'Materiales unitario'!D$1:D$2500,,0,1)</f>
        <v>294630</v>
      </c>
      <c r="F7182" s="19">
        <v>1</v>
      </c>
      <c r="G7182" s="20">
        <f t="shared" si="203"/>
        <v>294630</v>
      </c>
      <c r="H7182" s="211" t="s">
        <v>1375</v>
      </c>
    </row>
    <row r="7183" spans="1:8">
      <c r="A7183" s="211" t="s">
        <v>489</v>
      </c>
      <c r="B7183" s="216" t="str">
        <f ca="1">_xlfn.CONCAT(B7176,A7183)</f>
        <v>BDF69F4-F</v>
      </c>
      <c r="C7183" s="17" t="str">
        <f>_xlfn.XLOOKUP(H7183,'Materiales unitario'!$A$1:$A$2500,'Materiales unitario'!B$1:B$2500,,0,1)</f>
        <v>Termoencogible</v>
      </c>
      <c r="D7183" s="184" t="str">
        <f>_xlfn.XLOOKUP(H7183,'Materiales unitario'!A$1:A$2500,'Materiales unitario'!C$1:C$2500,,0,1)</f>
        <v>un</v>
      </c>
      <c r="E7183" s="197">
        <f>_xlfn.XLOOKUP(H7183,'Materiales unitario'!$A$1:$A$2500,'Materiales unitario'!D$1:D$2500,,0,1)</f>
        <v>5000</v>
      </c>
      <c r="F7183" s="19">
        <v>12</v>
      </c>
      <c r="G7183" s="20">
        <f t="shared" si="203"/>
        <v>60000</v>
      </c>
      <c r="H7183" s="211" t="s">
        <v>373</v>
      </c>
    </row>
    <row r="7184" spans="1:8">
      <c r="A7184" s="211" t="s">
        <v>490</v>
      </c>
      <c r="B7184" s="216" t="str">
        <f ca="1">_xlfn.CONCAT(B7176,A7184)</f>
        <v>BDF69F4-G</v>
      </c>
      <c r="C7184" s="17" t="str">
        <f>_xlfn.XLOOKUP(H7184,'Materiales unitario'!$A$1:$A$2500,'Materiales unitario'!B$1:B$2500,,0,1)</f>
        <v>Insumos menores</v>
      </c>
      <c r="D7184" s="184" t="str">
        <f>_xlfn.XLOOKUP(H7184,'Materiales unitario'!A$1:A$2500,'Materiales unitario'!C$1:C$2500,,0,1)</f>
        <v>un</v>
      </c>
      <c r="E7184" s="197">
        <f>_xlfn.XLOOKUP(H7184,'Materiales unitario'!$A$1:$A$2500,'Materiales unitario'!D$1:D$2500,,0,1)</f>
        <v>7300</v>
      </c>
      <c r="F7184" s="19">
        <v>35</v>
      </c>
      <c r="G7184" s="20">
        <f t="shared" si="203"/>
        <v>255500</v>
      </c>
      <c r="H7184" s="211" t="s">
        <v>532</v>
      </c>
    </row>
    <row r="7185" spans="1:7">
      <c r="A7185" s="211" t="s">
        <v>491</v>
      </c>
      <c r="B7185" s="216" t="str">
        <f ca="1">_xlfn.CONCAT(B7176,A7185)</f>
        <v>BDF69F4-H</v>
      </c>
      <c r="C7185" s="17"/>
      <c r="D7185" s="184"/>
      <c r="E7185" s="197"/>
      <c r="F7185" s="19"/>
      <c r="G7185" s="20"/>
    </row>
    <row r="7186" spans="1:7">
      <c r="A7186" s="211" t="s">
        <v>492</v>
      </c>
      <c r="B7186" s="216" t="str">
        <f ca="1">_xlfn.CONCAT(B7176,A7186)</f>
        <v>BDF69F4-I</v>
      </c>
      <c r="C7186" s="17"/>
      <c r="D7186" s="184"/>
      <c r="E7186" s="197"/>
      <c r="F7186" s="19"/>
      <c r="G7186" s="20"/>
    </row>
    <row r="7187" spans="1:7">
      <c r="A7187" s="211" t="s">
        <v>493</v>
      </c>
      <c r="B7187" s="216" t="str">
        <f ca="1">_xlfn.CONCAT(B7176,A7187)</f>
        <v>BDF69F4-J</v>
      </c>
      <c r="C7187" s="17"/>
      <c r="D7187" s="184"/>
      <c r="E7187" s="197"/>
      <c r="F7187" s="19"/>
      <c r="G7187" s="20"/>
    </row>
    <row r="7188" spans="1:7">
      <c r="A7188" s="211" t="s">
        <v>494</v>
      </c>
      <c r="B7188" s="216" t="str">
        <f ca="1">_xlfn.CONCAT(B7176,A7188)</f>
        <v>BDF69F4-K</v>
      </c>
      <c r="C7188" s="17"/>
      <c r="D7188" s="184"/>
      <c r="E7188" s="197"/>
      <c r="F7188" s="19"/>
      <c r="G7188" s="20"/>
    </row>
    <row r="7189" spans="1:7">
      <c r="A7189" s="211" t="s">
        <v>495</v>
      </c>
      <c r="B7189" s="216" t="str">
        <f ca="1">_xlfn.CONCAT(B7176,A7189)</f>
        <v>BDF69F4-L</v>
      </c>
      <c r="C7189" s="17"/>
      <c r="D7189" s="184"/>
      <c r="E7189" s="197"/>
      <c r="F7189" s="19"/>
      <c r="G7189" s="20"/>
    </row>
    <row r="7190" spans="1:7">
      <c r="A7190" s="211" t="s">
        <v>496</v>
      </c>
      <c r="B7190" s="216" t="str">
        <f ca="1">_xlfn.CONCAT(B7176,A7190)</f>
        <v>BDF69F4-M</v>
      </c>
      <c r="C7190" s="17"/>
      <c r="D7190" s="184"/>
      <c r="E7190" s="197"/>
      <c r="F7190" s="19"/>
      <c r="G7190" s="20"/>
    </row>
    <row r="7191" spans="1:7">
      <c r="A7191" s="211" t="s">
        <v>497</v>
      </c>
      <c r="B7191" s="216" t="str">
        <f ca="1">_xlfn.CONCAT(B7176,A7191)</f>
        <v>BDF69F4-N</v>
      </c>
      <c r="C7191" s="17"/>
      <c r="D7191" s="184"/>
      <c r="E7191" s="197"/>
      <c r="F7191" s="19"/>
      <c r="G7191" s="20"/>
    </row>
    <row r="7192" spans="1:7">
      <c r="A7192" s="211" t="s">
        <v>498</v>
      </c>
      <c r="B7192" s="216" t="str">
        <f ca="1">_xlfn.CONCAT(B7176,A7192)</f>
        <v>BDF69F4-O</v>
      </c>
      <c r="C7192" s="17"/>
      <c r="D7192" s="184"/>
      <c r="E7192" s="197"/>
      <c r="F7192" s="19"/>
      <c r="G7192" s="20"/>
    </row>
    <row r="7193" spans="1:7">
      <c r="A7193" s="211" t="s">
        <v>499</v>
      </c>
      <c r="B7193" s="216" t="str">
        <f ca="1">_xlfn.CONCAT(B7176,A7193)</f>
        <v>BDF69F4-P</v>
      </c>
      <c r="C7193" s="17"/>
      <c r="D7193" s="184"/>
      <c r="E7193" s="197"/>
      <c r="F7193" s="19"/>
      <c r="G7193" s="20"/>
    </row>
    <row r="7194" spans="1:7">
      <c r="A7194" s="211" t="s">
        <v>500</v>
      </c>
      <c r="B7194" s="216" t="str">
        <f ca="1">_xlfn.CONCAT(B7176,A7194)</f>
        <v>BDF69F4-Q</v>
      </c>
      <c r="C7194" s="17"/>
      <c r="D7194" s="184"/>
      <c r="E7194" s="197"/>
      <c r="F7194" s="19"/>
      <c r="G7194" s="20"/>
    </row>
    <row r="7195" spans="1:7">
      <c r="A7195" s="211" t="s">
        <v>501</v>
      </c>
      <c r="B7195" s="216" t="str">
        <f ca="1">_xlfn.CONCAT(B7176,A7195)</f>
        <v>BDF69F4-R</v>
      </c>
      <c r="C7195" s="17"/>
      <c r="D7195" s="184"/>
      <c r="E7195" s="197"/>
      <c r="F7195" s="19"/>
      <c r="G7195" s="20"/>
    </row>
    <row r="7196" spans="1:7">
      <c r="A7196" s="211" t="s">
        <v>502</v>
      </c>
      <c r="B7196" s="216" t="str">
        <f ca="1">_xlfn.CONCAT(B7176,A7196)</f>
        <v>BDF69F4-S</v>
      </c>
      <c r="C7196" s="17"/>
      <c r="D7196" s="184"/>
      <c r="E7196" s="197"/>
      <c r="F7196" s="19"/>
      <c r="G7196" s="20"/>
    </row>
    <row r="7197" spans="1:7">
      <c r="A7197" s="211" t="s">
        <v>503</v>
      </c>
      <c r="B7197" s="216" t="str">
        <f ca="1">_xlfn.CONCAT(B7176,A7197)</f>
        <v>BDF69F4-T</v>
      </c>
      <c r="C7197" s="17"/>
      <c r="D7197" s="184"/>
      <c r="E7197" s="197"/>
      <c r="F7197" s="19"/>
      <c r="G7197" s="20"/>
    </row>
    <row r="7198" spans="1:7" ht="14.25" thickBot="1">
      <c r="A7198" s="211" t="s">
        <v>504</v>
      </c>
      <c r="B7198" s="216" t="str">
        <f ca="1">_xlfn.CONCAT(B7176,A7198)</f>
        <v>BDF69F4-U</v>
      </c>
      <c r="C7198" s="17"/>
      <c r="D7198" s="184"/>
      <c r="E7198" s="197"/>
      <c r="F7198" s="19"/>
      <c r="G7198" s="20"/>
    </row>
    <row r="7199" spans="1:7" ht="14.25" thickBot="1">
      <c r="A7199" s="211" t="s">
        <v>505</v>
      </c>
      <c r="B7199" s="216" t="str">
        <f ca="1">_xlfn.CONCAT(B7176,A7199)</f>
        <v>BDF69F4-V</v>
      </c>
      <c r="C7199" s="17" t="s">
        <v>17</v>
      </c>
      <c r="D7199" s="192" t="s">
        <v>17</v>
      </c>
      <c r="E7199" s="18"/>
      <c r="F7199" s="22" t="s">
        <v>18</v>
      </c>
      <c r="G7199" s="23">
        <f>SUM(G7178:G7198)</f>
        <v>4790920</v>
      </c>
    </row>
    <row r="7200" spans="1:7" ht="15.75" thickBot="1">
      <c r="A7200" s="211" t="s">
        <v>506</v>
      </c>
      <c r="B7200" s="216" t="str">
        <f ca="1">_xlfn.CONCAT(B7176,A7200)</f>
        <v>BDF69F4-W</v>
      </c>
      <c r="C7200" s="10" t="s">
        <v>19</v>
      </c>
      <c r="D7200" s="190"/>
      <c r="E7200" s="11"/>
      <c r="F7200" s="12"/>
      <c r="G7200" s="13"/>
    </row>
    <row r="7201" spans="1:7" ht="14.25" thickBot="1">
      <c r="A7201" s="211" t="s">
        <v>507</v>
      </c>
      <c r="B7201" s="216" t="str">
        <f ca="1">_xlfn.CONCAT(B7176,A7201)</f>
        <v>BDF69F4-X</v>
      </c>
      <c r="C7201" s="14" t="s">
        <v>1</v>
      </c>
      <c r="D7201" s="15"/>
      <c r="E7201" s="15" t="s">
        <v>20</v>
      </c>
      <c r="F7201" s="16" t="s">
        <v>21</v>
      </c>
      <c r="G7201" s="15" t="s">
        <v>5</v>
      </c>
    </row>
    <row r="7202" spans="1:7">
      <c r="A7202" s="211" t="s">
        <v>508</v>
      </c>
      <c r="B7202" s="216" t="str">
        <f ca="1">_xlfn.CONCAT(B7176,A7202)</f>
        <v>BDF69F4-Y</v>
      </c>
      <c r="C7202" s="24" t="s">
        <v>22</v>
      </c>
      <c r="D7202" s="184"/>
      <c r="E7202" s="25">
        <f>_xlfn.XLOOKUP(C7202,'H-MO'!B$7:B$30,'H-MO'!D$7:D$30,,0,1)</f>
        <v>2436.5624999999995</v>
      </c>
      <c r="F7202" s="19">
        <v>25</v>
      </c>
      <c r="G7202" s="33">
        <f t="shared" ref="G7202:G7207" si="204">+E7202*F7202</f>
        <v>60914.062499999985</v>
      </c>
    </row>
    <row r="7203" spans="1:7">
      <c r="A7203" s="211" t="s">
        <v>509</v>
      </c>
      <c r="B7203" s="216" t="str">
        <f ca="1">_xlfn.CONCAT(B7176,A7203)</f>
        <v>BDF69F4-Z</v>
      </c>
      <c r="C7203" s="24" t="s">
        <v>23</v>
      </c>
      <c r="D7203" s="184"/>
      <c r="E7203" s="25">
        <f>_xlfn.XLOOKUP(C7203,'H-MO'!B$7:B$30,'H-MO'!D$7:D$30,,0,1)</f>
        <v>1461.9374999999998</v>
      </c>
      <c r="F7203" s="19">
        <v>0.3</v>
      </c>
      <c r="G7203" s="33">
        <f t="shared" si="204"/>
        <v>438.5812499999999</v>
      </c>
    </row>
    <row r="7204" spans="1:7">
      <c r="A7204" s="211" t="s">
        <v>510</v>
      </c>
      <c r="B7204" s="216" t="str">
        <f ca="1">_xlfn.CONCAT(B7176,A7204)</f>
        <v>BDF69F4-aa</v>
      </c>
      <c r="C7204" s="24" t="s">
        <v>24</v>
      </c>
      <c r="D7204" s="185"/>
      <c r="E7204" s="25">
        <f>_xlfn.XLOOKUP(C7204,'H-MO'!B$7:B$30,'H-MO'!D$7:D$30,,0,1)</f>
        <v>29238.749999999996</v>
      </c>
      <c r="F7204" s="28">
        <v>4</v>
      </c>
      <c r="G7204" s="33">
        <f t="shared" si="204"/>
        <v>116954.99999999999</v>
      </c>
    </row>
    <row r="7205" spans="1:7">
      <c r="A7205" s="211" t="s">
        <v>511</v>
      </c>
      <c r="B7205" s="216" t="str">
        <f ca="1">_xlfn.CONCAT(B7176,A7205)</f>
        <v>BDF69F4-ab</v>
      </c>
      <c r="C7205" s="24" t="s">
        <v>25</v>
      </c>
      <c r="D7205" s="185"/>
      <c r="E7205" s="25">
        <f>_xlfn.XLOOKUP(C7205,'H-MO'!B$7:B$30,'H-MO'!D$7:D$30,,0,1)</f>
        <v>2761.4374999999995</v>
      </c>
      <c r="F7205" s="28">
        <v>1</v>
      </c>
      <c r="G7205" s="33">
        <f t="shared" si="204"/>
        <v>2761.4374999999995</v>
      </c>
    </row>
    <row r="7206" spans="1:7">
      <c r="A7206" s="211" t="s">
        <v>512</v>
      </c>
      <c r="B7206" s="216" t="str">
        <f ca="1">_xlfn.CONCAT(B7176,A7206)</f>
        <v>BDF69F4-ac</v>
      </c>
      <c r="C7206" s="24"/>
      <c r="D7206" s="185"/>
      <c r="E7206" s="29"/>
      <c r="F7206" s="28"/>
      <c r="G7206" s="33">
        <f t="shared" si="204"/>
        <v>0</v>
      </c>
    </row>
    <row r="7207" spans="1:7" ht="14.25" thickBot="1">
      <c r="A7207" s="211" t="s">
        <v>513</v>
      </c>
      <c r="B7207" s="216" t="str">
        <f ca="1">_xlfn.CONCAT(B7176,A7207)</f>
        <v>BDF69F4-ad</v>
      </c>
      <c r="C7207" s="24"/>
      <c r="D7207" s="185"/>
      <c r="E7207" s="29"/>
      <c r="F7207" s="28"/>
      <c r="G7207" s="33">
        <f t="shared" si="204"/>
        <v>0</v>
      </c>
    </row>
    <row r="7208" spans="1:7" ht="14.25" thickBot="1">
      <c r="A7208" s="211" t="s">
        <v>514</v>
      </c>
      <c r="B7208" s="216" t="str">
        <f ca="1">_xlfn.CONCAT(B7176,A7208)</f>
        <v>BDF69F4-ae</v>
      </c>
      <c r="C7208" s="17"/>
      <c r="D7208" s="192"/>
      <c r="E7208" s="18"/>
      <c r="F7208" s="22" t="s">
        <v>26</v>
      </c>
      <c r="G7208" s="23">
        <f>SUM(G7202:G7207)</f>
        <v>181069.08124999999</v>
      </c>
    </row>
    <row r="7209" spans="1:7" ht="15.75" thickBot="1">
      <c r="A7209" s="211" t="s">
        <v>515</v>
      </c>
      <c r="B7209" s="216" t="str">
        <f ca="1">_xlfn.CONCAT(B7176,A7209)</f>
        <v>BDF69F4-af</v>
      </c>
      <c r="C7209" s="10" t="s">
        <v>27</v>
      </c>
      <c r="D7209" s="190"/>
      <c r="E7209" s="11"/>
      <c r="F7209" s="12"/>
      <c r="G7209" s="13"/>
    </row>
    <row r="7210" spans="1:7" ht="14.25" thickBot="1">
      <c r="A7210" s="211" t="s">
        <v>516</v>
      </c>
      <c r="B7210" s="216" t="str">
        <f ca="1">_xlfn.CONCAT(B7176,A7210)</f>
        <v>BDF69F4-ag</v>
      </c>
      <c r="C7210" s="14" t="s">
        <v>1</v>
      </c>
      <c r="D7210" s="15" t="s">
        <v>28</v>
      </c>
      <c r="E7210" s="15" t="s">
        <v>20</v>
      </c>
      <c r="F7210" s="16" t="s">
        <v>21</v>
      </c>
      <c r="G7210" s="15" t="s">
        <v>5</v>
      </c>
    </row>
    <row r="7211" spans="1:7">
      <c r="A7211" s="211" t="s">
        <v>517</v>
      </c>
      <c r="B7211" s="216" t="str">
        <f ca="1">_xlfn.CONCAT(B7176,A7211)</f>
        <v>BDF69F4-ah</v>
      </c>
      <c r="C7211" s="30" t="s">
        <v>29</v>
      </c>
      <c r="D7211" s="186">
        <f>'H-MO'!$N$77</f>
        <v>725918.52892505517</v>
      </c>
      <c r="E7211" s="31">
        <f>+D7211/8</f>
        <v>90739.816115631897</v>
      </c>
      <c r="F7211" s="32">
        <v>14</v>
      </c>
      <c r="G7211" s="33">
        <f>+E7211*F7211</f>
        <v>1270357.4256188464</v>
      </c>
    </row>
    <row r="7212" spans="1:7">
      <c r="A7212" s="211" t="s">
        <v>518</v>
      </c>
      <c r="B7212" s="216" t="str">
        <f ca="1">_xlfn.CONCAT(B7176,A7212)</f>
        <v>BDF69F4-ai</v>
      </c>
      <c r="C7212" s="34" t="s">
        <v>30</v>
      </c>
      <c r="D7212" s="187">
        <f>'H-MO'!$N$86</f>
        <v>685561.39085756091</v>
      </c>
      <c r="E7212" s="29">
        <f>+D7212/8</f>
        <v>85695.173857195114</v>
      </c>
      <c r="F7212" s="28">
        <v>0</v>
      </c>
      <c r="G7212" s="33">
        <f>+E7212*F7212</f>
        <v>0</v>
      </c>
    </row>
    <row r="7213" spans="1:7" ht="14.25" thickBot="1">
      <c r="A7213" s="211" t="s">
        <v>519</v>
      </c>
      <c r="B7213" s="216" t="str">
        <f ca="1">_xlfn.CONCAT(B7176,A7213)</f>
        <v>BDF69F4-aj</v>
      </c>
      <c r="C7213" s="34"/>
      <c r="D7213" s="187"/>
      <c r="E7213" s="29"/>
      <c r="F7213" s="28"/>
      <c r="G7213" s="33">
        <f>+E7213*F7213</f>
        <v>0</v>
      </c>
    </row>
    <row r="7214" spans="1:7" ht="14.25" thickBot="1">
      <c r="A7214" s="211" t="s">
        <v>520</v>
      </c>
      <c r="B7214" s="216" t="str">
        <f ca="1">_xlfn.CONCAT(B7176,A7214)</f>
        <v>BDF69F4-ak</v>
      </c>
      <c r="C7214" s="34"/>
      <c r="D7214" s="185"/>
      <c r="E7214" s="26"/>
      <c r="F7214" s="36" t="s">
        <v>31</v>
      </c>
      <c r="G7214" s="23">
        <f>SUM(G7211:G7213)</f>
        <v>1270357.4256188464</v>
      </c>
    </row>
    <row r="7215" spans="1:7" ht="14.25" thickBot="1">
      <c r="A7215" s="211" t="s">
        <v>521</v>
      </c>
      <c r="B7215" s="216" t="str">
        <f ca="1">_xlfn.CONCAT(B7176,A7215)</f>
        <v>BDF69F4-al</v>
      </c>
      <c r="C7215" s="37"/>
      <c r="E7215" s="38"/>
      <c r="F7215" s="22"/>
      <c r="G7215" s="39"/>
    </row>
    <row r="7216" spans="1:7" ht="16.5" thickBot="1">
      <c r="A7216" s="211" t="s">
        <v>522</v>
      </c>
      <c r="B7216" s="216" t="str">
        <f ca="1">_xlfn.CONCAT(B7176,A7216)</f>
        <v>BDF69F4-am</v>
      </c>
      <c r="C7216" s="40"/>
      <c r="D7216" s="193"/>
      <c r="E7216" s="41"/>
      <c r="F7216" s="42"/>
      <c r="G7216" s="43">
        <f>+G7199+G7208+G7214</f>
        <v>6242346.5068688467</v>
      </c>
    </row>
    <row r="7217" spans="1:8" ht="21.75" thickBot="1">
      <c r="B7217" s="212" t="s">
        <v>550</v>
      </c>
      <c r="C7217" s="2"/>
      <c r="D7217" s="183"/>
      <c r="F7217" s="4"/>
      <c r="G7217" s="5"/>
    </row>
    <row r="7218" spans="1:8" ht="18.75">
      <c r="A7218" s="213"/>
      <c r="B7218" s="214">
        <v>164</v>
      </c>
      <c r="C7218" s="242" t="str">
        <f ca="1">_xlfn.XLOOKUP(B7218,Cantidades!$A$10:$A$314,Cantidades!$C$10:$C$314,,0,1)</f>
        <v>Suministro e instalacion de Mastil IMC de 1" x 3m</v>
      </c>
      <c r="D7218" s="243"/>
      <c r="E7218" s="243"/>
      <c r="F7218" s="243"/>
      <c r="G7218" s="244"/>
      <c r="H7218" s="213"/>
    </row>
    <row r="7219" spans="1:8" ht="19.5" thickBot="1">
      <c r="A7219" s="215"/>
      <c r="B7219" s="216" t="s">
        <v>550</v>
      </c>
      <c r="C7219" s="177"/>
      <c r="D7219" s="189"/>
      <c r="E7219" s="178"/>
      <c r="F7219" s="179" t="s">
        <v>636</v>
      </c>
      <c r="G7219" s="209" t="str">
        <f ca="1">B7220</f>
        <v>F280D43-</v>
      </c>
      <c r="H7219" s="215"/>
    </row>
    <row r="7220" spans="1:8" ht="15.75" thickBot="1">
      <c r="B7220" s="212" t="str">
        <f ca="1">_xlfn.XLOOKUP(C7218,Cantidades!$C$1:$C$314,Cantidades!$B$1:$B$314,"",0,1)</f>
        <v>F280D43-</v>
      </c>
      <c r="C7220" s="10" t="s">
        <v>0</v>
      </c>
      <c r="D7220" s="190"/>
      <c r="E7220" s="11"/>
      <c r="F7220" s="12"/>
      <c r="G7220" s="13"/>
    </row>
    <row r="7221" spans="1:8" ht="14.25" thickBot="1">
      <c r="A7221" s="215"/>
      <c r="B7221" s="216" t="s">
        <v>550</v>
      </c>
      <c r="C7221" s="14" t="s">
        <v>1</v>
      </c>
      <c r="D7221" s="15" t="s">
        <v>2</v>
      </c>
      <c r="E7221" s="15" t="s">
        <v>3</v>
      </c>
      <c r="F7221" s="16" t="s">
        <v>4</v>
      </c>
      <c r="G7221" s="15" t="s">
        <v>5</v>
      </c>
      <c r="H7221" s="215"/>
    </row>
    <row r="7222" spans="1:8" ht="15">
      <c r="A7222" s="211" t="s">
        <v>484</v>
      </c>
      <c r="B7222" s="216" t="str">
        <f ca="1">_xlfn.CONCAT(B7220,A7222)</f>
        <v>F280D43-A</v>
      </c>
      <c r="C7222" s="17" t="str">
        <f>_xlfn.XLOOKUP(H7222,'Materiales unitario'!$A$1:$A$2500,'Materiales unitario'!B$1:B$2500,,0,1)</f>
        <v>Tubo metalico galv. IMC 1"</v>
      </c>
      <c r="D7222" s="184" t="str">
        <f>_xlfn.XLOOKUP(H7222,'Materiales unitario'!A$1:A$2500,'Materiales unitario'!C$1:C$2500,,0,1)</f>
        <v>ml</v>
      </c>
      <c r="E7222" s="197">
        <f>_xlfn.XLOOKUP(H7222,'Materiales unitario'!$A$1:$A$2500,'Materiales unitario'!D$1:D$2500,,0,1)</f>
        <v>29322</v>
      </c>
      <c r="F7222" s="19">
        <v>3</v>
      </c>
      <c r="G7222" s="20">
        <f t="shared" ref="G7222:G7227" si="205">+E7222*F7222</f>
        <v>87966</v>
      </c>
      <c r="H7222" s="217" t="s">
        <v>1377</v>
      </c>
    </row>
    <row r="7223" spans="1:8" ht="15">
      <c r="A7223" s="211" t="s">
        <v>485</v>
      </c>
      <c r="B7223" s="216" t="str">
        <f ca="1">_xlfn.CONCAT(B7220,A7223)</f>
        <v>F280D43-B</v>
      </c>
      <c r="C7223" s="17" t="str">
        <f>_xlfn.XLOOKUP(H7223,'Materiales unitario'!$A$1:$A$2500,'Materiales unitario'!B$1:B$2500,,0,1)</f>
        <v>Union metalica galv. IMC 1"</v>
      </c>
      <c r="D7223" s="184" t="str">
        <f>_xlfn.XLOOKUP(H7223,'Materiales unitario'!A$1:A$2500,'Materiales unitario'!C$1:C$2500,,0,1)</f>
        <v>un</v>
      </c>
      <c r="E7223" s="197">
        <f>_xlfn.XLOOKUP(H7223,'Materiales unitario'!$A$1:$A$2500,'Materiales unitario'!D$1:D$2500,,0,1)</f>
        <v>3670</v>
      </c>
      <c r="F7223" s="19">
        <v>1</v>
      </c>
      <c r="G7223" s="20">
        <f t="shared" si="205"/>
        <v>3670</v>
      </c>
      <c r="H7223" s="217" t="s">
        <v>1379</v>
      </c>
    </row>
    <row r="7224" spans="1:8" ht="15">
      <c r="A7224" s="211" t="s">
        <v>486</v>
      </c>
      <c r="B7224" s="216" t="str">
        <f ca="1">_xlfn.CONCAT(B7220,A7224)</f>
        <v>F280D43-C</v>
      </c>
      <c r="C7224" s="17" t="str">
        <f>_xlfn.XLOOKUP(H7224,'Materiales unitario'!$A$1:$A$2500,'Materiales unitario'!B$1:B$2500,,0,1)</f>
        <v xml:space="preserve">Boquilla + contratuerca ø1" </v>
      </c>
      <c r="D7224" s="184" t="str">
        <f>_xlfn.XLOOKUP(H7224,'Materiales unitario'!A$1:A$2500,'Materiales unitario'!C$1:C$2500,,0,1)</f>
        <v>un</v>
      </c>
      <c r="E7224" s="197">
        <f>_xlfn.XLOOKUP(H7224,'Materiales unitario'!$A$1:$A$2500,'Materiales unitario'!D$1:D$2500,,0,1)</f>
        <v>2500</v>
      </c>
      <c r="F7224" s="19">
        <v>1</v>
      </c>
      <c r="G7224" s="20">
        <f t="shared" si="205"/>
        <v>2500</v>
      </c>
      <c r="H7224" s="217" t="s">
        <v>1381</v>
      </c>
    </row>
    <row r="7225" spans="1:8" ht="15">
      <c r="A7225" s="211" t="s">
        <v>487</v>
      </c>
      <c r="B7225" s="216" t="str">
        <f ca="1">_xlfn.CONCAT(B7220,A7225)</f>
        <v>F280D43-D</v>
      </c>
      <c r="C7225" s="17" t="str">
        <f>_xlfn.XLOOKUP(H7225,'Materiales unitario'!$A$1:$A$2500,'Materiales unitario'!B$1:B$2500,,0,1)</f>
        <v>Capacete en aluminio fundido ø1"</v>
      </c>
      <c r="D7225" s="184" t="str">
        <f>_xlfn.XLOOKUP(H7225,'Materiales unitario'!A$1:A$2500,'Materiales unitario'!C$1:C$2500,,0,1)</f>
        <v>un</v>
      </c>
      <c r="E7225" s="197">
        <f>_xlfn.XLOOKUP(H7225,'Materiales unitario'!$A$1:$A$2500,'Materiales unitario'!D$1:D$2500,,0,1)</f>
        <v>5700</v>
      </c>
      <c r="F7225" s="19">
        <v>1</v>
      </c>
      <c r="G7225" s="20">
        <f t="shared" si="205"/>
        <v>5700</v>
      </c>
      <c r="H7225" s="217" t="s">
        <v>1383</v>
      </c>
    </row>
    <row r="7226" spans="1:8" ht="15">
      <c r="A7226" s="211" t="s">
        <v>488</v>
      </c>
      <c r="B7226" s="216" t="str">
        <f ca="1">_xlfn.CONCAT(B7220,A7226)</f>
        <v>F280D43-E</v>
      </c>
      <c r="C7226" s="17" t="str">
        <f>_xlfn.XLOOKUP(H7226,'Materiales unitario'!$A$1:$A$2500,'Materiales unitario'!B$1:B$2500,,0,1)</f>
        <v>Base Triangular Galvanizada para Mástil de 1" a 2"</v>
      </c>
      <c r="D7226" s="184" t="str">
        <f>_xlfn.XLOOKUP(H7226,'Materiales unitario'!A$1:A$2500,'Materiales unitario'!C$1:C$2500,,0,1)</f>
        <v>un</v>
      </c>
      <c r="E7226" s="197">
        <f>_xlfn.XLOOKUP(H7226,'Materiales unitario'!$A$1:$A$2500,'Materiales unitario'!D$1:D$2500,,0,1)</f>
        <v>66744</v>
      </c>
      <c r="F7226" s="19">
        <v>1</v>
      </c>
      <c r="G7226" s="20">
        <f t="shared" si="205"/>
        <v>66744</v>
      </c>
      <c r="H7226" s="217" t="s">
        <v>1385</v>
      </c>
    </row>
    <row r="7227" spans="1:8" ht="15">
      <c r="A7227" s="211" t="s">
        <v>489</v>
      </c>
      <c r="B7227" s="216" t="str">
        <f ca="1">_xlfn.CONCAT(B7220,A7227)</f>
        <v>F280D43-F</v>
      </c>
      <c r="C7227" s="17" t="str">
        <f>_xlfn.XLOOKUP(H7227,'Materiales unitario'!$A$1:$A$2500,'Materiales unitario'!B$1:B$2500,,0,1)</f>
        <v>Accesorios de anclaje y fijacion.</v>
      </c>
      <c r="D7227" s="184" t="str">
        <f>_xlfn.XLOOKUP(H7227,'Materiales unitario'!A$1:A$2500,'Materiales unitario'!C$1:C$2500,,0,1)</f>
        <v>un</v>
      </c>
      <c r="E7227" s="197">
        <f>_xlfn.XLOOKUP(H7227,'Materiales unitario'!$A$1:$A$2500,'Materiales unitario'!D$1:D$2500,,0,1)</f>
        <v>10000</v>
      </c>
      <c r="F7227" s="19">
        <v>2</v>
      </c>
      <c r="G7227" s="20">
        <f t="shared" si="205"/>
        <v>20000</v>
      </c>
      <c r="H7227" s="217" t="s">
        <v>222</v>
      </c>
    </row>
    <row r="7228" spans="1:8">
      <c r="A7228" s="211" t="s">
        <v>490</v>
      </c>
      <c r="B7228" s="216" t="str">
        <f ca="1">_xlfn.CONCAT(B7220,A7228)</f>
        <v>F280D43-G</v>
      </c>
      <c r="C7228" s="17"/>
      <c r="D7228" s="184"/>
      <c r="E7228" s="197"/>
      <c r="F7228" s="19"/>
      <c r="G7228" s="20"/>
    </row>
    <row r="7229" spans="1:8">
      <c r="A7229" s="211" t="s">
        <v>491</v>
      </c>
      <c r="B7229" s="216" t="str">
        <f ca="1">_xlfn.CONCAT(B7220,A7229)</f>
        <v>F280D43-H</v>
      </c>
      <c r="C7229" s="17"/>
      <c r="D7229" s="184"/>
      <c r="E7229" s="197"/>
      <c r="F7229" s="19"/>
      <c r="G7229" s="20"/>
    </row>
    <row r="7230" spans="1:8">
      <c r="A7230" s="211" t="s">
        <v>492</v>
      </c>
      <c r="B7230" s="216" t="str">
        <f ca="1">_xlfn.CONCAT(B7220,A7230)</f>
        <v>F280D43-I</v>
      </c>
      <c r="C7230" s="17"/>
      <c r="D7230" s="184"/>
      <c r="E7230" s="197"/>
      <c r="F7230" s="19"/>
      <c r="G7230" s="20"/>
    </row>
    <row r="7231" spans="1:8">
      <c r="A7231" s="211" t="s">
        <v>493</v>
      </c>
      <c r="B7231" s="216" t="str">
        <f ca="1">_xlfn.CONCAT(B7220,A7231)</f>
        <v>F280D43-J</v>
      </c>
      <c r="C7231" s="17"/>
      <c r="D7231" s="184"/>
      <c r="E7231" s="197"/>
      <c r="F7231" s="19"/>
      <c r="G7231" s="20"/>
    </row>
    <row r="7232" spans="1:8">
      <c r="A7232" s="211" t="s">
        <v>494</v>
      </c>
      <c r="B7232" s="216" t="str">
        <f ca="1">_xlfn.CONCAT(B7220,A7232)</f>
        <v>F280D43-K</v>
      </c>
      <c r="C7232" s="17"/>
      <c r="D7232" s="184"/>
      <c r="E7232" s="197"/>
      <c r="F7232" s="19"/>
      <c r="G7232" s="20"/>
    </row>
    <row r="7233" spans="1:8">
      <c r="A7233" s="211" t="s">
        <v>495</v>
      </c>
      <c r="B7233" s="216" t="str">
        <f ca="1">_xlfn.CONCAT(B7220,A7233)</f>
        <v>F280D43-L</v>
      </c>
      <c r="C7233" s="17"/>
      <c r="D7233" s="184"/>
      <c r="E7233" s="197"/>
      <c r="F7233" s="19"/>
      <c r="G7233" s="20"/>
    </row>
    <row r="7234" spans="1:8">
      <c r="A7234" s="211" t="s">
        <v>496</v>
      </c>
      <c r="B7234" s="216" t="str">
        <f ca="1">_xlfn.CONCAT(B7220,A7234)</f>
        <v>F280D43-M</v>
      </c>
      <c r="C7234" s="17"/>
      <c r="D7234" s="184"/>
      <c r="E7234" s="197"/>
      <c r="F7234" s="19"/>
      <c r="G7234" s="20"/>
    </row>
    <row r="7235" spans="1:8">
      <c r="A7235" s="211" t="s">
        <v>497</v>
      </c>
      <c r="B7235" s="216" t="str">
        <f ca="1">_xlfn.CONCAT(B7220,A7235)</f>
        <v>F280D43-N</v>
      </c>
      <c r="C7235" s="17"/>
      <c r="D7235" s="184"/>
      <c r="E7235" s="197"/>
      <c r="F7235" s="19"/>
      <c r="G7235" s="20"/>
    </row>
    <row r="7236" spans="1:8">
      <c r="A7236" s="211" t="s">
        <v>498</v>
      </c>
      <c r="B7236" s="216" t="str">
        <f ca="1">_xlfn.CONCAT(B7220,A7236)</f>
        <v>F280D43-O</v>
      </c>
      <c r="C7236" s="17"/>
      <c r="D7236" s="184"/>
      <c r="E7236" s="197"/>
      <c r="F7236" s="19"/>
      <c r="G7236" s="20"/>
    </row>
    <row r="7237" spans="1:8">
      <c r="A7237" s="211" t="s">
        <v>499</v>
      </c>
      <c r="B7237" s="216" t="str">
        <f ca="1">_xlfn.CONCAT(B7220,A7237)</f>
        <v>F280D43-P</v>
      </c>
      <c r="C7237" s="17"/>
      <c r="D7237" s="184"/>
      <c r="E7237" s="197"/>
      <c r="F7237" s="19"/>
      <c r="G7237" s="20"/>
    </row>
    <row r="7238" spans="1:8">
      <c r="A7238" s="211" t="s">
        <v>500</v>
      </c>
      <c r="B7238" s="216" t="str">
        <f ca="1">_xlfn.CONCAT(B7220,A7238)</f>
        <v>F280D43-Q</v>
      </c>
      <c r="C7238" s="17"/>
      <c r="D7238" s="184"/>
      <c r="E7238" s="197"/>
      <c r="F7238" s="19"/>
      <c r="G7238" s="20"/>
    </row>
    <row r="7239" spans="1:8">
      <c r="A7239" s="211" t="s">
        <v>501</v>
      </c>
      <c r="B7239" s="216" t="str">
        <f ca="1">_xlfn.CONCAT(B7220,A7239)</f>
        <v>F280D43-R</v>
      </c>
      <c r="C7239" s="17"/>
      <c r="D7239" s="184"/>
      <c r="E7239" s="197"/>
      <c r="F7239" s="19"/>
      <c r="G7239" s="20"/>
    </row>
    <row r="7240" spans="1:8">
      <c r="A7240" s="211" t="s">
        <v>502</v>
      </c>
      <c r="B7240" s="216" t="str">
        <f ca="1">_xlfn.CONCAT(B7220,A7240)</f>
        <v>F280D43-S</v>
      </c>
      <c r="C7240" s="17"/>
      <c r="D7240" s="184"/>
      <c r="E7240" s="197"/>
      <c r="F7240" s="19"/>
      <c r="G7240" s="20"/>
    </row>
    <row r="7241" spans="1:8">
      <c r="A7241" s="211" t="s">
        <v>503</v>
      </c>
      <c r="B7241" s="216" t="str">
        <f ca="1">_xlfn.CONCAT(B7220,A7241)</f>
        <v>F280D43-T</v>
      </c>
      <c r="C7241" s="17"/>
      <c r="D7241" s="184"/>
      <c r="E7241" s="197"/>
      <c r="F7241" s="19"/>
      <c r="G7241" s="20"/>
    </row>
    <row r="7242" spans="1:8" ht="14.25" thickBot="1">
      <c r="A7242" s="211" t="s">
        <v>504</v>
      </c>
      <c r="B7242" s="216" t="str">
        <f ca="1">_xlfn.CONCAT(B7220,A7242)</f>
        <v>F280D43-U</v>
      </c>
      <c r="C7242" s="17"/>
      <c r="D7242" s="184"/>
      <c r="E7242" s="197"/>
      <c r="F7242" s="19"/>
      <c r="G7242" s="20"/>
    </row>
    <row r="7243" spans="1:8" ht="14.25" thickBot="1">
      <c r="A7243" s="211" t="s">
        <v>505</v>
      </c>
      <c r="B7243" s="216" t="str">
        <f ca="1">_xlfn.CONCAT(B7220,A7243)</f>
        <v>F280D43-V</v>
      </c>
      <c r="C7243" s="17" t="s">
        <v>17</v>
      </c>
      <c r="D7243" s="192" t="s">
        <v>17</v>
      </c>
      <c r="E7243" s="18"/>
      <c r="F7243" s="22" t="s">
        <v>18</v>
      </c>
      <c r="G7243" s="23">
        <f>SUM(G7222:G7242)</f>
        <v>186580</v>
      </c>
    </row>
    <row r="7244" spans="1:8" ht="15.75" thickBot="1">
      <c r="A7244" s="211" t="s">
        <v>506</v>
      </c>
      <c r="B7244" s="216" t="str">
        <f ca="1">_xlfn.CONCAT(B7220,A7244)</f>
        <v>F280D43-W</v>
      </c>
      <c r="C7244" s="10" t="s">
        <v>19</v>
      </c>
      <c r="D7244" s="190"/>
      <c r="E7244" s="11"/>
      <c r="F7244" s="12"/>
      <c r="G7244" s="13"/>
    </row>
    <row r="7245" spans="1:8" ht="14.25" thickBot="1">
      <c r="A7245" s="211" t="s">
        <v>507</v>
      </c>
      <c r="B7245" s="216" t="str">
        <f ca="1">_xlfn.CONCAT(B7220,A7245)</f>
        <v>F280D43-X</v>
      </c>
      <c r="C7245" s="14" t="s">
        <v>1</v>
      </c>
      <c r="D7245" s="15"/>
      <c r="E7245" s="15" t="s">
        <v>20</v>
      </c>
      <c r="F7245" s="16" t="s">
        <v>21</v>
      </c>
      <c r="G7245" s="15" t="s">
        <v>5</v>
      </c>
      <c r="H7245" s="215"/>
    </row>
    <row r="7246" spans="1:8">
      <c r="A7246" s="211" t="s">
        <v>508</v>
      </c>
      <c r="B7246" s="216" t="str">
        <f ca="1">_xlfn.CONCAT(B7220,A7246)</f>
        <v>F280D43-Y</v>
      </c>
      <c r="C7246" s="24" t="s">
        <v>22</v>
      </c>
      <c r="D7246" s="184"/>
      <c r="E7246" s="25">
        <f>_xlfn.XLOOKUP(C7246,'H-MO'!B$7:B$30,'H-MO'!D$7:D$30,,0,1)</f>
        <v>2436.5624999999995</v>
      </c>
      <c r="F7246" s="19">
        <v>0.42963478260869564</v>
      </c>
      <c r="G7246" s="33">
        <f t="shared" ref="G7246:G7251" si="206">+E7246*F7246</f>
        <v>1046.8319999999999</v>
      </c>
    </row>
    <row r="7247" spans="1:8">
      <c r="A7247" s="211" t="s">
        <v>509</v>
      </c>
      <c r="B7247" s="216" t="str">
        <f ca="1">_xlfn.CONCAT(B7220,A7247)</f>
        <v>F280D43-Z</v>
      </c>
      <c r="C7247" s="24" t="s">
        <v>23</v>
      </c>
      <c r="D7247" s="184"/>
      <c r="E7247" s="25">
        <f>_xlfn.XLOOKUP(C7247,'H-MO'!B$7:B$30,'H-MO'!D$7:D$30,,0,1)</f>
        <v>1461.9374999999998</v>
      </c>
      <c r="F7247" s="19">
        <v>1</v>
      </c>
      <c r="G7247" s="33">
        <f t="shared" si="206"/>
        <v>1461.9374999999998</v>
      </c>
    </row>
    <row r="7248" spans="1:8">
      <c r="A7248" s="211" t="s">
        <v>510</v>
      </c>
      <c r="B7248" s="216" t="str">
        <f ca="1">_xlfn.CONCAT(B7220,A7248)</f>
        <v>F280D43-aa</v>
      </c>
      <c r="C7248" s="24" t="s">
        <v>24</v>
      </c>
      <c r="D7248" s="185"/>
      <c r="E7248" s="25">
        <f>_xlfn.XLOOKUP(C7248,'H-MO'!B$7:B$30,'H-MO'!D$7:D$30,,0,1)</f>
        <v>29238.749999999996</v>
      </c>
      <c r="F7248" s="28">
        <v>0.1</v>
      </c>
      <c r="G7248" s="33">
        <f t="shared" si="206"/>
        <v>2923.875</v>
      </c>
    </row>
    <row r="7249" spans="1:8">
      <c r="A7249" s="211" t="s">
        <v>511</v>
      </c>
      <c r="B7249" s="216" t="str">
        <f ca="1">_xlfn.CONCAT(B7220,A7249)</f>
        <v>F280D43-ab</v>
      </c>
      <c r="C7249" s="24" t="s">
        <v>25</v>
      </c>
      <c r="D7249" s="185"/>
      <c r="E7249" s="25">
        <f>_xlfn.XLOOKUP(C7249,'H-MO'!B$7:B$30,'H-MO'!D$7:D$30,,0,1)</f>
        <v>2761.4374999999995</v>
      </c>
      <c r="F7249" s="28">
        <v>3</v>
      </c>
      <c r="G7249" s="33">
        <f t="shared" si="206"/>
        <v>8284.3124999999982</v>
      </c>
    </row>
    <row r="7250" spans="1:8">
      <c r="A7250" s="211" t="s">
        <v>512</v>
      </c>
      <c r="B7250" s="216" t="str">
        <f ca="1">_xlfn.CONCAT(B7220,A7250)</f>
        <v>F280D43-ac</v>
      </c>
      <c r="C7250" s="24"/>
      <c r="D7250" s="185"/>
      <c r="E7250" s="29"/>
      <c r="F7250" s="28"/>
      <c r="G7250" s="33">
        <f t="shared" si="206"/>
        <v>0</v>
      </c>
    </row>
    <row r="7251" spans="1:8" ht="14.25" thickBot="1">
      <c r="A7251" s="211" t="s">
        <v>513</v>
      </c>
      <c r="B7251" s="216" t="str">
        <f ca="1">_xlfn.CONCAT(B7220,A7251)</f>
        <v>F280D43-ad</v>
      </c>
      <c r="C7251" s="24"/>
      <c r="D7251" s="185"/>
      <c r="E7251" s="29"/>
      <c r="F7251" s="28"/>
      <c r="G7251" s="33">
        <f t="shared" si="206"/>
        <v>0</v>
      </c>
    </row>
    <row r="7252" spans="1:8" ht="14.25" thickBot="1">
      <c r="A7252" s="211" t="s">
        <v>514</v>
      </c>
      <c r="B7252" s="216" t="str">
        <f ca="1">_xlfn.CONCAT(B7220,A7252)</f>
        <v>F280D43-ae</v>
      </c>
      <c r="C7252" s="17"/>
      <c r="D7252" s="192"/>
      <c r="E7252" s="18"/>
      <c r="F7252" s="22" t="s">
        <v>26</v>
      </c>
      <c r="G7252" s="23">
        <f>SUM(G7246:G7251)</f>
        <v>13716.956999999999</v>
      </c>
    </row>
    <row r="7253" spans="1:8" ht="15.75" thickBot="1">
      <c r="A7253" s="211" t="s">
        <v>515</v>
      </c>
      <c r="B7253" s="216" t="str">
        <f ca="1">_xlfn.CONCAT(B7220,A7253)</f>
        <v>F280D43-af</v>
      </c>
      <c r="C7253" s="10" t="s">
        <v>27</v>
      </c>
      <c r="D7253" s="190"/>
      <c r="E7253" s="11"/>
      <c r="F7253" s="12"/>
      <c r="G7253" s="13"/>
    </row>
    <row r="7254" spans="1:8" ht="14.25" thickBot="1">
      <c r="A7254" s="211" t="s">
        <v>516</v>
      </c>
      <c r="B7254" s="216" t="str">
        <f ca="1">_xlfn.CONCAT(B7220,A7254)</f>
        <v>F280D43-ag</v>
      </c>
      <c r="C7254" s="14" t="s">
        <v>1</v>
      </c>
      <c r="D7254" s="15" t="s">
        <v>28</v>
      </c>
      <c r="E7254" s="15" t="s">
        <v>20</v>
      </c>
      <c r="F7254" s="16" t="s">
        <v>21</v>
      </c>
      <c r="G7254" s="15" t="s">
        <v>5</v>
      </c>
      <c r="H7254" s="215"/>
    </row>
    <row r="7255" spans="1:8">
      <c r="A7255" s="211" t="s">
        <v>517</v>
      </c>
      <c r="B7255" s="216" t="str">
        <f ca="1">_xlfn.CONCAT(B7220,A7255)</f>
        <v>F280D43-ah</v>
      </c>
      <c r="C7255" s="30" t="s">
        <v>29</v>
      </c>
      <c r="D7255" s="186">
        <f>'H-MO'!$N$77</f>
        <v>725918.52892505517</v>
      </c>
      <c r="E7255" s="31">
        <f>+D7255/8</f>
        <v>90739.816115631897</v>
      </c>
      <c r="F7255" s="32">
        <v>0.4</v>
      </c>
      <c r="G7255" s="33">
        <f>+E7255*F7255</f>
        <v>36295.926446252757</v>
      </c>
    </row>
    <row r="7256" spans="1:8">
      <c r="A7256" s="211" t="s">
        <v>518</v>
      </c>
      <c r="B7256" s="216" t="str">
        <f ca="1">_xlfn.CONCAT(B7220,A7256)</f>
        <v>F280D43-ai</v>
      </c>
      <c r="C7256" s="34" t="s">
        <v>30</v>
      </c>
      <c r="D7256" s="187">
        <f>'H-MO'!$N$86</f>
        <v>685561.39085756091</v>
      </c>
      <c r="E7256" s="29">
        <f>+D7256/8</f>
        <v>85695.173857195114</v>
      </c>
      <c r="F7256" s="28">
        <v>0</v>
      </c>
      <c r="G7256" s="33">
        <f>+E7256*F7256</f>
        <v>0</v>
      </c>
    </row>
    <row r="7257" spans="1:8" ht="14.25" thickBot="1">
      <c r="A7257" s="211" t="s">
        <v>519</v>
      </c>
      <c r="B7257" s="216" t="str">
        <f ca="1">_xlfn.CONCAT(B7220,A7257)</f>
        <v>F280D43-aj</v>
      </c>
      <c r="C7257" s="34"/>
      <c r="D7257" s="187"/>
      <c r="E7257" s="29"/>
      <c r="F7257" s="28"/>
      <c r="G7257" s="33">
        <f>+E7257*F7257</f>
        <v>0</v>
      </c>
    </row>
    <row r="7258" spans="1:8" ht="14.25" thickBot="1">
      <c r="A7258" s="211" t="s">
        <v>520</v>
      </c>
      <c r="B7258" s="216" t="str">
        <f ca="1">_xlfn.CONCAT(B7220,A7258)</f>
        <v>F280D43-ak</v>
      </c>
      <c r="C7258" s="34"/>
      <c r="D7258" s="185"/>
      <c r="E7258" s="26"/>
      <c r="F7258" s="36" t="s">
        <v>31</v>
      </c>
      <c r="G7258" s="23">
        <f>SUM(G7255:G7257)</f>
        <v>36295.926446252757</v>
      </c>
    </row>
    <row r="7259" spans="1:8" ht="14.25" thickBot="1">
      <c r="A7259" s="211" t="s">
        <v>521</v>
      </c>
      <c r="B7259" s="216" t="str">
        <f ca="1">_xlfn.CONCAT(B7220,A7259)</f>
        <v>F280D43-al</v>
      </c>
      <c r="C7259" s="37"/>
      <c r="E7259" s="38"/>
      <c r="F7259" s="22"/>
      <c r="G7259" s="39"/>
    </row>
    <row r="7260" spans="1:8" ht="16.5" thickBot="1">
      <c r="A7260" s="211" t="s">
        <v>522</v>
      </c>
      <c r="B7260" s="216" t="str">
        <f ca="1">_xlfn.CONCAT(B7220,A7260)</f>
        <v>F280D43-am</v>
      </c>
      <c r="C7260" s="40"/>
      <c r="D7260" s="193"/>
      <c r="E7260" s="41"/>
      <c r="F7260" s="42"/>
      <c r="G7260" s="43">
        <f>+G7243+G7252+G7258</f>
        <v>236592.88344625276</v>
      </c>
    </row>
    <row r="7261" spans="1:8" ht="21.75" thickBot="1">
      <c r="B7261" s="212" t="s">
        <v>550</v>
      </c>
      <c r="C7261" s="2"/>
      <c r="D7261" s="183"/>
      <c r="F7261" s="4"/>
      <c r="G7261" s="5"/>
    </row>
    <row r="7262" spans="1:8" ht="18.75">
      <c r="A7262" s="213"/>
      <c r="B7262" s="214">
        <v>165</v>
      </c>
      <c r="C7262" s="242" t="str">
        <f ca="1">_xlfn.XLOOKUP(B7262,Cantidades!$A$10:$A$314,Cantidades!$C$10:$C$314,,0,1)</f>
        <v>Suministro e instalacion de  Caja de paso metalica 30x30</v>
      </c>
      <c r="D7262" s="243"/>
      <c r="E7262" s="243"/>
      <c r="F7262" s="243"/>
      <c r="G7262" s="244"/>
      <c r="H7262" s="213"/>
    </row>
    <row r="7263" spans="1:8" ht="19.5" thickBot="1">
      <c r="A7263" s="215"/>
      <c r="B7263" s="216" t="s">
        <v>550</v>
      </c>
      <c r="C7263" s="177"/>
      <c r="D7263" s="189"/>
      <c r="E7263" s="178"/>
      <c r="F7263" s="179" t="s">
        <v>636</v>
      </c>
      <c r="G7263" s="209" t="str">
        <f ca="1">B7264</f>
        <v>AB7DCF4-</v>
      </c>
      <c r="H7263" s="215"/>
    </row>
    <row r="7264" spans="1:8" ht="15.75" thickBot="1">
      <c r="B7264" s="212" t="str">
        <f ca="1">_xlfn.XLOOKUP(C7262,Cantidades!$C$1:$C$314,Cantidades!$B$1:$B$314,"",0,1)</f>
        <v>AB7DCF4-</v>
      </c>
      <c r="C7264" s="10" t="s">
        <v>0</v>
      </c>
      <c r="D7264" s="190"/>
      <c r="E7264" s="11"/>
      <c r="F7264" s="12"/>
      <c r="G7264" s="13"/>
    </row>
    <row r="7265" spans="1:8" ht="14.25" thickBot="1">
      <c r="A7265" s="215"/>
      <c r="B7265" s="216" t="s">
        <v>550</v>
      </c>
      <c r="C7265" s="14" t="s">
        <v>1</v>
      </c>
      <c r="D7265" s="15" t="s">
        <v>2</v>
      </c>
      <c r="E7265" s="15" t="s">
        <v>3</v>
      </c>
      <c r="F7265" s="16" t="s">
        <v>4</v>
      </c>
      <c r="G7265" s="15" t="s">
        <v>5</v>
      </c>
      <c r="H7265" s="215"/>
    </row>
    <row r="7266" spans="1:8" ht="15">
      <c r="A7266" s="211" t="s">
        <v>484</v>
      </c>
      <c r="B7266" s="216" t="str">
        <f ca="1">_xlfn.CONCAT(B7264,A7266)</f>
        <v>AB7DCF4-A</v>
      </c>
      <c r="C7266" s="17" t="str">
        <f>_xlfn.XLOOKUP(H7266,'Materiales unitario'!$A$1:$A$2500,'Materiales unitario'!B$1:B$2500,,0,1)</f>
        <v>Caja de paso metálica 40 x 40 x 20 cm</v>
      </c>
      <c r="D7266" s="184" t="str">
        <f>_xlfn.XLOOKUP(H7266,'Materiales unitario'!A$1:A$2500,'Materiales unitario'!C$1:C$2500,,0,1)</f>
        <v>un</v>
      </c>
      <c r="E7266" s="197">
        <f>_xlfn.XLOOKUP(H7266,'Materiales unitario'!$A$1:$A$2500,'Materiales unitario'!D$1:D$2500,,0,1)</f>
        <v>121776</v>
      </c>
      <c r="F7266" s="19">
        <v>1</v>
      </c>
      <c r="G7266" s="20">
        <f>+E7266*F7266</f>
        <v>121776</v>
      </c>
      <c r="H7266" s="217" t="s">
        <v>1390</v>
      </c>
    </row>
    <row r="7267" spans="1:8" ht="15">
      <c r="A7267" s="211" t="s">
        <v>485</v>
      </c>
      <c r="B7267" s="216" t="str">
        <f ca="1">_xlfn.CONCAT(B7264,A7267)</f>
        <v>AB7DCF4-B</v>
      </c>
      <c r="C7267" s="17" t="str">
        <f>_xlfn.XLOOKUP(H7267,'Materiales unitario'!$A$1:$A$2500,'Materiales unitario'!B$1:B$2500,,0,1)</f>
        <v>Accesorios de anclaje y fijacion.</v>
      </c>
      <c r="D7267" s="184" t="str">
        <f>_xlfn.XLOOKUP(H7267,'Materiales unitario'!A$1:A$2500,'Materiales unitario'!C$1:C$2500,,0,1)</f>
        <v>un</v>
      </c>
      <c r="E7267" s="197">
        <f>_xlfn.XLOOKUP(H7267,'Materiales unitario'!$A$1:$A$2500,'Materiales unitario'!D$1:D$2500,,0,1)</f>
        <v>10000</v>
      </c>
      <c r="F7267" s="19">
        <v>0.8</v>
      </c>
      <c r="G7267" s="20">
        <f>+E7267*F7267</f>
        <v>8000</v>
      </c>
      <c r="H7267" s="217" t="s">
        <v>222</v>
      </c>
    </row>
    <row r="7268" spans="1:8" ht="15">
      <c r="A7268" s="211" t="s">
        <v>486</v>
      </c>
      <c r="B7268" s="216" t="str">
        <f ca="1">_xlfn.CONCAT(B7264,A7268)</f>
        <v>AB7DCF4-C</v>
      </c>
      <c r="C7268" s="17"/>
      <c r="D7268" s="184"/>
      <c r="E7268" s="197"/>
      <c r="F7268" s="19"/>
      <c r="G7268" s="20"/>
      <c r="H7268" s="217"/>
    </row>
    <row r="7269" spans="1:8" ht="15">
      <c r="A7269" s="211" t="s">
        <v>487</v>
      </c>
      <c r="B7269" s="216" t="str">
        <f ca="1">_xlfn.CONCAT(B7264,A7269)</f>
        <v>AB7DCF4-D</v>
      </c>
      <c r="C7269" s="17"/>
      <c r="D7269" s="184"/>
      <c r="E7269" s="197"/>
      <c r="F7269" s="19"/>
      <c r="G7269" s="20"/>
      <c r="H7269" s="217"/>
    </row>
    <row r="7270" spans="1:8" ht="15">
      <c r="A7270" s="211" t="s">
        <v>488</v>
      </c>
      <c r="B7270" s="216" t="str">
        <f ca="1">_xlfn.CONCAT(B7264,A7270)</f>
        <v>AB7DCF4-E</v>
      </c>
      <c r="C7270" s="17"/>
      <c r="D7270" s="184"/>
      <c r="E7270" s="197"/>
      <c r="F7270" s="19"/>
      <c r="G7270" s="20"/>
      <c r="H7270" s="217"/>
    </row>
    <row r="7271" spans="1:8" ht="15">
      <c r="A7271" s="211" t="s">
        <v>489</v>
      </c>
      <c r="B7271" s="216" t="str">
        <f ca="1">_xlfn.CONCAT(B7264,A7271)</f>
        <v>AB7DCF4-F</v>
      </c>
      <c r="C7271" s="17"/>
      <c r="D7271" s="184"/>
      <c r="E7271" s="197"/>
      <c r="F7271" s="19"/>
      <c r="G7271" s="20"/>
      <c r="H7271" s="217"/>
    </row>
    <row r="7272" spans="1:8">
      <c r="A7272" s="211" t="s">
        <v>490</v>
      </c>
      <c r="B7272" s="216" t="str">
        <f ca="1">_xlfn.CONCAT(B7264,A7272)</f>
        <v>AB7DCF4-G</v>
      </c>
      <c r="C7272" s="17"/>
      <c r="D7272" s="184"/>
      <c r="E7272" s="197"/>
      <c r="F7272" s="19"/>
      <c r="G7272" s="20"/>
    </row>
    <row r="7273" spans="1:8">
      <c r="A7273" s="211" t="s">
        <v>491</v>
      </c>
      <c r="B7273" s="216" t="str">
        <f ca="1">_xlfn.CONCAT(B7264,A7273)</f>
        <v>AB7DCF4-H</v>
      </c>
      <c r="C7273" s="17"/>
      <c r="D7273" s="184"/>
      <c r="E7273" s="197"/>
      <c r="F7273" s="19"/>
      <c r="G7273" s="20"/>
    </row>
    <row r="7274" spans="1:8">
      <c r="A7274" s="211" t="s">
        <v>492</v>
      </c>
      <c r="B7274" s="216" t="str">
        <f ca="1">_xlfn.CONCAT(B7264,A7274)</f>
        <v>AB7DCF4-I</v>
      </c>
      <c r="C7274" s="17"/>
      <c r="D7274" s="184"/>
      <c r="E7274" s="197"/>
      <c r="F7274" s="19"/>
      <c r="G7274" s="20"/>
    </row>
    <row r="7275" spans="1:8">
      <c r="A7275" s="211" t="s">
        <v>493</v>
      </c>
      <c r="B7275" s="216" t="str">
        <f ca="1">_xlfn.CONCAT(B7264,A7275)</f>
        <v>AB7DCF4-J</v>
      </c>
      <c r="C7275" s="17"/>
      <c r="D7275" s="184"/>
      <c r="E7275" s="197"/>
      <c r="F7275" s="19"/>
      <c r="G7275" s="20"/>
    </row>
    <row r="7276" spans="1:8">
      <c r="A7276" s="211" t="s">
        <v>494</v>
      </c>
      <c r="B7276" s="216" t="str">
        <f ca="1">_xlfn.CONCAT(B7264,A7276)</f>
        <v>AB7DCF4-K</v>
      </c>
      <c r="C7276" s="17"/>
      <c r="D7276" s="184"/>
      <c r="E7276" s="197"/>
      <c r="F7276" s="19"/>
      <c r="G7276" s="20"/>
    </row>
    <row r="7277" spans="1:8">
      <c r="A7277" s="211" t="s">
        <v>495</v>
      </c>
      <c r="B7277" s="216" t="str">
        <f ca="1">_xlfn.CONCAT(B7264,A7277)</f>
        <v>AB7DCF4-L</v>
      </c>
      <c r="C7277" s="17"/>
      <c r="D7277" s="184"/>
      <c r="E7277" s="197"/>
      <c r="F7277" s="19"/>
      <c r="G7277" s="20"/>
    </row>
    <row r="7278" spans="1:8">
      <c r="A7278" s="211" t="s">
        <v>496</v>
      </c>
      <c r="B7278" s="216" t="str">
        <f ca="1">_xlfn.CONCAT(B7264,A7278)</f>
        <v>AB7DCF4-M</v>
      </c>
      <c r="C7278" s="17"/>
      <c r="D7278" s="184"/>
      <c r="E7278" s="197"/>
      <c r="F7278" s="19"/>
      <c r="G7278" s="20"/>
    </row>
    <row r="7279" spans="1:8">
      <c r="A7279" s="211" t="s">
        <v>497</v>
      </c>
      <c r="B7279" s="216" t="str">
        <f ca="1">_xlfn.CONCAT(B7264,A7279)</f>
        <v>AB7DCF4-N</v>
      </c>
      <c r="C7279" s="17"/>
      <c r="D7279" s="184"/>
      <c r="E7279" s="197"/>
      <c r="F7279" s="19"/>
      <c r="G7279" s="20"/>
    </row>
    <row r="7280" spans="1:8">
      <c r="A7280" s="211" t="s">
        <v>498</v>
      </c>
      <c r="B7280" s="216" t="str">
        <f ca="1">_xlfn.CONCAT(B7264,A7280)</f>
        <v>AB7DCF4-O</v>
      </c>
      <c r="C7280" s="17"/>
      <c r="D7280" s="184"/>
      <c r="E7280" s="197"/>
      <c r="F7280" s="19"/>
      <c r="G7280" s="20"/>
    </row>
    <row r="7281" spans="1:8">
      <c r="A7281" s="211" t="s">
        <v>499</v>
      </c>
      <c r="B7281" s="216" t="str">
        <f ca="1">_xlfn.CONCAT(B7264,A7281)</f>
        <v>AB7DCF4-P</v>
      </c>
      <c r="C7281" s="17"/>
      <c r="D7281" s="184"/>
      <c r="E7281" s="197"/>
      <c r="F7281" s="19"/>
      <c r="G7281" s="20"/>
    </row>
    <row r="7282" spans="1:8">
      <c r="A7282" s="211" t="s">
        <v>500</v>
      </c>
      <c r="B7282" s="216" t="str">
        <f ca="1">_xlfn.CONCAT(B7264,A7282)</f>
        <v>AB7DCF4-Q</v>
      </c>
      <c r="C7282" s="17"/>
      <c r="D7282" s="184"/>
      <c r="E7282" s="197"/>
      <c r="F7282" s="19"/>
      <c r="G7282" s="20"/>
    </row>
    <row r="7283" spans="1:8">
      <c r="A7283" s="211" t="s">
        <v>501</v>
      </c>
      <c r="B7283" s="216" t="str">
        <f ca="1">_xlfn.CONCAT(B7264,A7283)</f>
        <v>AB7DCF4-R</v>
      </c>
      <c r="C7283" s="17"/>
      <c r="D7283" s="184"/>
      <c r="E7283" s="197"/>
      <c r="F7283" s="19"/>
      <c r="G7283" s="20"/>
    </row>
    <row r="7284" spans="1:8">
      <c r="A7284" s="211" t="s">
        <v>502</v>
      </c>
      <c r="B7284" s="216" t="str">
        <f ca="1">_xlfn.CONCAT(B7264,A7284)</f>
        <v>AB7DCF4-S</v>
      </c>
      <c r="C7284" s="17"/>
      <c r="D7284" s="184"/>
      <c r="E7284" s="197"/>
      <c r="F7284" s="19"/>
      <c r="G7284" s="20"/>
    </row>
    <row r="7285" spans="1:8">
      <c r="A7285" s="211" t="s">
        <v>503</v>
      </c>
      <c r="B7285" s="216" t="str">
        <f ca="1">_xlfn.CONCAT(B7264,A7285)</f>
        <v>AB7DCF4-T</v>
      </c>
      <c r="C7285" s="17"/>
      <c r="D7285" s="184"/>
      <c r="E7285" s="197"/>
      <c r="F7285" s="19"/>
      <c r="G7285" s="20"/>
    </row>
    <row r="7286" spans="1:8" ht="14.25" thickBot="1">
      <c r="A7286" s="211" t="s">
        <v>504</v>
      </c>
      <c r="B7286" s="216" t="str">
        <f ca="1">_xlfn.CONCAT(B7264,A7286)</f>
        <v>AB7DCF4-U</v>
      </c>
      <c r="C7286" s="17"/>
      <c r="D7286" s="184"/>
      <c r="E7286" s="197"/>
      <c r="F7286" s="19"/>
      <c r="G7286" s="20"/>
    </row>
    <row r="7287" spans="1:8" ht="14.25" thickBot="1">
      <c r="A7287" s="211" t="s">
        <v>505</v>
      </c>
      <c r="B7287" s="216" t="str">
        <f ca="1">_xlfn.CONCAT(B7264,A7287)</f>
        <v>AB7DCF4-V</v>
      </c>
      <c r="C7287" s="17" t="s">
        <v>17</v>
      </c>
      <c r="D7287" s="192" t="s">
        <v>17</v>
      </c>
      <c r="E7287" s="18"/>
      <c r="F7287" s="22" t="s">
        <v>18</v>
      </c>
      <c r="G7287" s="23">
        <f>SUM(G7266:G7286)</f>
        <v>129776</v>
      </c>
    </row>
    <row r="7288" spans="1:8" ht="15.75" thickBot="1">
      <c r="A7288" s="211" t="s">
        <v>506</v>
      </c>
      <c r="B7288" s="216" t="str">
        <f ca="1">_xlfn.CONCAT(B7264,A7288)</f>
        <v>AB7DCF4-W</v>
      </c>
      <c r="C7288" s="10" t="s">
        <v>19</v>
      </c>
      <c r="D7288" s="190"/>
      <c r="E7288" s="11"/>
      <c r="F7288" s="12"/>
      <c r="G7288" s="13"/>
    </row>
    <row r="7289" spans="1:8" ht="14.25" thickBot="1">
      <c r="A7289" s="211" t="s">
        <v>507</v>
      </c>
      <c r="B7289" s="216" t="str">
        <f ca="1">_xlfn.CONCAT(B7264,A7289)</f>
        <v>AB7DCF4-X</v>
      </c>
      <c r="C7289" s="14" t="s">
        <v>1</v>
      </c>
      <c r="D7289" s="15"/>
      <c r="E7289" s="15" t="s">
        <v>20</v>
      </c>
      <c r="F7289" s="16" t="s">
        <v>21</v>
      </c>
      <c r="G7289" s="15" t="s">
        <v>5</v>
      </c>
      <c r="H7289" s="215"/>
    </row>
    <row r="7290" spans="1:8">
      <c r="A7290" s="211" t="s">
        <v>508</v>
      </c>
      <c r="B7290" s="216" t="str">
        <f ca="1">_xlfn.CONCAT(B7264,A7290)</f>
        <v>AB7DCF4-Y</v>
      </c>
      <c r="C7290" s="24" t="s">
        <v>22</v>
      </c>
      <c r="D7290" s="184"/>
      <c r="E7290" s="25">
        <f>_xlfn.XLOOKUP(C7290,'H-MO'!B$7:B$30,'H-MO'!D$7:D$30,,0,1)</f>
        <v>2436.5624999999995</v>
      </c>
      <c r="F7290" s="19">
        <v>0.12640463768115942</v>
      </c>
      <c r="G7290" s="33">
        <f t="shared" ref="G7290:G7295" si="207">+E7290*F7290</f>
        <v>307.99279999999993</v>
      </c>
    </row>
    <row r="7291" spans="1:8">
      <c r="A7291" s="211" t="s">
        <v>509</v>
      </c>
      <c r="B7291" s="216" t="str">
        <f ca="1">_xlfn.CONCAT(B7264,A7291)</f>
        <v>AB7DCF4-Z</v>
      </c>
      <c r="C7291" s="24" t="s">
        <v>23</v>
      </c>
      <c r="D7291" s="184"/>
      <c r="E7291" s="25">
        <f>_xlfn.XLOOKUP(C7291,'H-MO'!B$7:B$30,'H-MO'!D$7:D$30,,0,1)</f>
        <v>1461.9374999999998</v>
      </c>
      <c r="F7291" s="19">
        <v>0.31601159420289859</v>
      </c>
      <c r="G7291" s="33">
        <f t="shared" si="207"/>
        <v>461.98919999999998</v>
      </c>
    </row>
    <row r="7292" spans="1:8">
      <c r="A7292" s="211" t="s">
        <v>510</v>
      </c>
      <c r="B7292" s="216" t="str">
        <f ca="1">_xlfn.CONCAT(B7264,A7292)</f>
        <v>AB7DCF4-aa</v>
      </c>
      <c r="C7292" s="24" t="s">
        <v>24</v>
      </c>
      <c r="D7292" s="185"/>
      <c r="E7292" s="25">
        <f>_xlfn.XLOOKUP(C7292,'H-MO'!B$7:B$30,'H-MO'!D$7:D$30,,0,1)</f>
        <v>29238.749999999996</v>
      </c>
      <c r="F7292" s="28">
        <v>5.2668599033816425E-3</v>
      </c>
      <c r="G7292" s="33">
        <f t="shared" si="207"/>
        <v>153.99639999999999</v>
      </c>
    </row>
    <row r="7293" spans="1:8">
      <c r="A7293" s="211" t="s">
        <v>511</v>
      </c>
      <c r="B7293" s="216" t="str">
        <f ca="1">_xlfn.CONCAT(B7264,A7293)</f>
        <v>AB7DCF4-ab</v>
      </c>
      <c r="C7293" s="24" t="s">
        <v>25</v>
      </c>
      <c r="D7293" s="185"/>
      <c r="E7293" s="25">
        <f>_xlfn.XLOOKUP(C7293,'H-MO'!B$7:B$30,'H-MO'!D$7:D$30,,0,1)</f>
        <v>2761.4374999999995</v>
      </c>
      <c r="F7293" s="28">
        <v>0.11153350383631713</v>
      </c>
      <c r="G7293" s="33">
        <f t="shared" si="207"/>
        <v>307.99279999999993</v>
      </c>
    </row>
    <row r="7294" spans="1:8">
      <c r="A7294" s="211" t="s">
        <v>512</v>
      </c>
      <c r="B7294" s="216" t="str">
        <f ca="1">_xlfn.CONCAT(B7264,A7294)</f>
        <v>AB7DCF4-ac</v>
      </c>
      <c r="C7294" s="24"/>
      <c r="D7294" s="185"/>
      <c r="E7294" s="29"/>
      <c r="F7294" s="28"/>
      <c r="G7294" s="33">
        <f t="shared" si="207"/>
        <v>0</v>
      </c>
    </row>
    <row r="7295" spans="1:8" ht="14.25" thickBot="1">
      <c r="A7295" s="211" t="s">
        <v>513</v>
      </c>
      <c r="B7295" s="216" t="str">
        <f ca="1">_xlfn.CONCAT(B7264,A7295)</f>
        <v>AB7DCF4-ad</v>
      </c>
      <c r="C7295" s="24"/>
      <c r="D7295" s="185"/>
      <c r="E7295" s="29"/>
      <c r="F7295" s="28"/>
      <c r="G7295" s="33">
        <f t="shared" si="207"/>
        <v>0</v>
      </c>
    </row>
    <row r="7296" spans="1:8" ht="14.25" thickBot="1">
      <c r="A7296" s="211" t="s">
        <v>514</v>
      </c>
      <c r="B7296" s="216" t="str">
        <f ca="1">_xlfn.CONCAT(B7264,A7296)</f>
        <v>AB7DCF4-ae</v>
      </c>
      <c r="C7296" s="17"/>
      <c r="D7296" s="192"/>
      <c r="E7296" s="18"/>
      <c r="F7296" s="22" t="s">
        <v>26</v>
      </c>
      <c r="G7296" s="23">
        <f>SUM(G7290:G7295)</f>
        <v>1231.9712</v>
      </c>
    </row>
    <row r="7297" spans="1:8" ht="15.75" thickBot="1">
      <c r="A7297" s="211" t="s">
        <v>515</v>
      </c>
      <c r="B7297" s="216" t="str">
        <f ca="1">_xlfn.CONCAT(B7264,A7297)</f>
        <v>AB7DCF4-af</v>
      </c>
      <c r="C7297" s="10" t="s">
        <v>27</v>
      </c>
      <c r="D7297" s="190"/>
      <c r="E7297" s="11"/>
      <c r="F7297" s="12"/>
      <c r="G7297" s="13"/>
    </row>
    <row r="7298" spans="1:8" ht="14.25" thickBot="1">
      <c r="A7298" s="211" t="s">
        <v>516</v>
      </c>
      <c r="B7298" s="216" t="str">
        <f ca="1">_xlfn.CONCAT(B7264,A7298)</f>
        <v>AB7DCF4-ag</v>
      </c>
      <c r="C7298" s="14" t="s">
        <v>1</v>
      </c>
      <c r="D7298" s="15" t="s">
        <v>28</v>
      </c>
      <c r="E7298" s="15" t="s">
        <v>20</v>
      </c>
      <c r="F7298" s="16" t="s">
        <v>21</v>
      </c>
      <c r="G7298" s="15" t="s">
        <v>5</v>
      </c>
      <c r="H7298" s="215"/>
    </row>
    <row r="7299" spans="1:8">
      <c r="A7299" s="211" t="s">
        <v>517</v>
      </c>
      <c r="B7299" s="216" t="str">
        <f ca="1">_xlfn.CONCAT(B7264,A7299)</f>
        <v>AB7DCF4-ah</v>
      </c>
      <c r="C7299" s="30" t="s">
        <v>29</v>
      </c>
      <c r="D7299" s="186">
        <f>'H-MO'!$N$77</f>
        <v>725918.52892505517</v>
      </c>
      <c r="E7299" s="31">
        <f>+D7299/8</f>
        <v>90739.816115631897</v>
      </c>
      <c r="F7299" s="32">
        <v>0.4</v>
      </c>
      <c r="G7299" s="33">
        <f>+E7299*F7299</f>
        <v>36295.926446252757</v>
      </c>
    </row>
    <row r="7300" spans="1:8">
      <c r="A7300" s="211" t="s">
        <v>518</v>
      </c>
      <c r="B7300" s="216" t="str">
        <f ca="1">_xlfn.CONCAT(B7264,A7300)</f>
        <v>AB7DCF4-ai</v>
      </c>
      <c r="C7300" s="34" t="s">
        <v>30</v>
      </c>
      <c r="D7300" s="187">
        <f>'H-MO'!$N$86</f>
        <v>685561.39085756091</v>
      </c>
      <c r="E7300" s="29">
        <f>+D7300/8</f>
        <v>85695.173857195114</v>
      </c>
      <c r="F7300" s="28">
        <v>0</v>
      </c>
      <c r="G7300" s="33">
        <f>+E7300*F7300</f>
        <v>0</v>
      </c>
    </row>
    <row r="7301" spans="1:8" ht="14.25" thickBot="1">
      <c r="A7301" s="211" t="s">
        <v>519</v>
      </c>
      <c r="B7301" s="216" t="str">
        <f ca="1">_xlfn.CONCAT(B7264,A7301)</f>
        <v>AB7DCF4-aj</v>
      </c>
      <c r="C7301" s="34"/>
      <c r="D7301" s="187"/>
      <c r="E7301" s="29"/>
      <c r="F7301" s="28"/>
      <c r="G7301" s="33">
        <f>+E7301*F7301</f>
        <v>0</v>
      </c>
    </row>
    <row r="7302" spans="1:8" ht="14.25" thickBot="1">
      <c r="A7302" s="211" t="s">
        <v>520</v>
      </c>
      <c r="B7302" s="216" t="str">
        <f ca="1">_xlfn.CONCAT(B7264,A7302)</f>
        <v>AB7DCF4-ak</v>
      </c>
      <c r="C7302" s="34"/>
      <c r="D7302" s="185"/>
      <c r="E7302" s="26"/>
      <c r="F7302" s="36" t="s">
        <v>31</v>
      </c>
      <c r="G7302" s="23">
        <f>SUM(G7299:G7301)</f>
        <v>36295.926446252757</v>
      </c>
    </row>
    <row r="7303" spans="1:8" ht="14.25" thickBot="1">
      <c r="A7303" s="211" t="s">
        <v>521</v>
      </c>
      <c r="B7303" s="216" t="str">
        <f ca="1">_xlfn.CONCAT(B7264,A7303)</f>
        <v>AB7DCF4-al</v>
      </c>
      <c r="C7303" s="37"/>
      <c r="E7303" s="38"/>
      <c r="F7303" s="22"/>
      <c r="G7303" s="39"/>
    </row>
    <row r="7304" spans="1:8" ht="16.5" thickBot="1">
      <c r="A7304" s="211" t="s">
        <v>522</v>
      </c>
      <c r="B7304" s="216" t="str">
        <f ca="1">_xlfn.CONCAT(B7264,A7304)</f>
        <v>AB7DCF4-am</v>
      </c>
      <c r="C7304" s="40"/>
      <c r="D7304" s="193"/>
      <c r="E7304" s="41"/>
      <c r="F7304" s="42"/>
      <c r="G7304" s="43">
        <f>+G7287+G7296+G7302</f>
        <v>167303.89764625276</v>
      </c>
    </row>
    <row r="7305" spans="1:8" ht="21.75" thickBot="1">
      <c r="B7305" s="212" t="s">
        <v>550</v>
      </c>
      <c r="C7305" s="2"/>
      <c r="D7305" s="183"/>
      <c r="F7305" s="4"/>
      <c r="G7305" s="5"/>
    </row>
    <row r="7306" spans="1:8" ht="18.75">
      <c r="A7306" s="213"/>
      <c r="B7306" s="214">
        <v>166</v>
      </c>
      <c r="C7306" s="242" t="str">
        <f ca="1">_xlfn.XLOOKUP(B7306,Cantidades!$A$10:$A$314,Cantidades!$C$10:$C$314,,0,1)</f>
        <v>Suministro e instalacion de  Caja de paso metalica 60x40</v>
      </c>
      <c r="D7306" s="243"/>
      <c r="E7306" s="243"/>
      <c r="F7306" s="243"/>
      <c r="G7306" s="244"/>
      <c r="H7306" s="213"/>
    </row>
    <row r="7307" spans="1:8" ht="19.5" thickBot="1">
      <c r="A7307" s="215"/>
      <c r="B7307" s="216" t="s">
        <v>550</v>
      </c>
      <c r="C7307" s="177"/>
      <c r="D7307" s="189"/>
      <c r="E7307" s="178"/>
      <c r="F7307" s="179" t="s">
        <v>636</v>
      </c>
      <c r="G7307" s="209" t="str">
        <f ca="1">B7308</f>
        <v>73B7FCC-</v>
      </c>
      <c r="H7307" s="215"/>
    </row>
    <row r="7308" spans="1:8" ht="15.75" thickBot="1">
      <c r="B7308" s="212" t="str">
        <f ca="1">_xlfn.XLOOKUP(C7306,Cantidades!$C$1:$C$314,Cantidades!$B$1:$B$314,"",0,1)</f>
        <v>73B7FCC-</v>
      </c>
      <c r="C7308" s="10" t="s">
        <v>0</v>
      </c>
      <c r="D7308" s="190"/>
      <c r="E7308" s="11"/>
      <c r="F7308" s="12"/>
      <c r="G7308" s="13"/>
    </row>
    <row r="7309" spans="1:8" ht="14.25" thickBot="1">
      <c r="A7309" s="215"/>
      <c r="B7309" s="216" t="s">
        <v>550</v>
      </c>
      <c r="C7309" s="14" t="s">
        <v>1</v>
      </c>
      <c r="D7309" s="15" t="s">
        <v>2</v>
      </c>
      <c r="E7309" s="15" t="s">
        <v>3</v>
      </c>
      <c r="F7309" s="16" t="s">
        <v>4</v>
      </c>
      <c r="G7309" s="15" t="s">
        <v>5</v>
      </c>
      <c r="H7309" s="215"/>
    </row>
    <row r="7310" spans="1:8" ht="15">
      <c r="A7310" s="211" t="s">
        <v>484</v>
      </c>
      <c r="B7310" s="216" t="str">
        <f ca="1">_xlfn.CONCAT(B7308,A7310)</f>
        <v>73B7FCC-A</v>
      </c>
      <c r="C7310" s="17" t="str">
        <f>_xlfn.XLOOKUP(H7310,'Materiales unitario'!$A$1:$A$2500,'Materiales unitario'!B$1:B$2500,,0,1)</f>
        <v>Caja de paso metálica 60 x 40 x 20 cm</v>
      </c>
      <c r="D7310" s="184" t="str">
        <f>_xlfn.XLOOKUP(H7310,'Materiales unitario'!A$1:A$2500,'Materiales unitario'!C$1:C$2500,,0,1)</f>
        <v>un</v>
      </c>
      <c r="E7310" s="197">
        <f>_xlfn.XLOOKUP(H7310,'Materiales unitario'!$A$1:$A$2500,'Materiales unitario'!D$1:D$2500,,0,1)</f>
        <v>174820</v>
      </c>
      <c r="F7310" s="19">
        <v>1</v>
      </c>
      <c r="G7310" s="20">
        <f>+E7310*F7310</f>
        <v>174820</v>
      </c>
      <c r="H7310" s="217" t="s">
        <v>1395</v>
      </c>
    </row>
    <row r="7311" spans="1:8" ht="15">
      <c r="A7311" s="211" t="s">
        <v>485</v>
      </c>
      <c r="B7311" s="216" t="str">
        <f ca="1">_xlfn.CONCAT(B7308,A7311)</f>
        <v>73B7FCC-B</v>
      </c>
      <c r="C7311" s="17" t="str">
        <f>_xlfn.XLOOKUP(H7311,'Materiales unitario'!$A$1:$A$2500,'Materiales unitario'!B$1:B$2500,,0,1)</f>
        <v>Accesorios de anclaje y fijacion.</v>
      </c>
      <c r="D7311" s="184" t="str">
        <f>_xlfn.XLOOKUP(H7311,'Materiales unitario'!A$1:A$2500,'Materiales unitario'!C$1:C$2500,,0,1)</f>
        <v>un</v>
      </c>
      <c r="E7311" s="197">
        <f>_xlfn.XLOOKUP(H7311,'Materiales unitario'!$A$1:$A$2500,'Materiales unitario'!D$1:D$2500,,0,1)</f>
        <v>10000</v>
      </c>
      <c r="F7311" s="19">
        <v>0.8</v>
      </c>
      <c r="G7311" s="20">
        <f>+E7311*F7311</f>
        <v>8000</v>
      </c>
      <c r="H7311" s="217" t="s">
        <v>222</v>
      </c>
    </row>
    <row r="7312" spans="1:8" ht="15">
      <c r="A7312" s="211" t="s">
        <v>486</v>
      </c>
      <c r="B7312" s="216" t="str">
        <f ca="1">_xlfn.CONCAT(B7308,A7312)</f>
        <v>73B7FCC-C</v>
      </c>
      <c r="C7312" s="17"/>
      <c r="D7312" s="184"/>
      <c r="E7312" s="197"/>
      <c r="F7312" s="19"/>
      <c r="G7312" s="20"/>
      <c r="H7312" s="217"/>
    </row>
    <row r="7313" spans="1:8" ht="15">
      <c r="A7313" s="211" t="s">
        <v>487</v>
      </c>
      <c r="B7313" s="216" t="str">
        <f ca="1">_xlfn.CONCAT(B7308,A7313)</f>
        <v>73B7FCC-D</v>
      </c>
      <c r="C7313" s="17"/>
      <c r="D7313" s="184"/>
      <c r="E7313" s="197"/>
      <c r="F7313" s="19"/>
      <c r="G7313" s="20"/>
      <c r="H7313" s="217"/>
    </row>
    <row r="7314" spans="1:8" ht="15">
      <c r="A7314" s="211" t="s">
        <v>488</v>
      </c>
      <c r="B7314" s="216" t="str">
        <f ca="1">_xlfn.CONCAT(B7308,A7314)</f>
        <v>73B7FCC-E</v>
      </c>
      <c r="C7314" s="17"/>
      <c r="D7314" s="184"/>
      <c r="E7314" s="197"/>
      <c r="F7314" s="19"/>
      <c r="G7314" s="20"/>
      <c r="H7314" s="217"/>
    </row>
    <row r="7315" spans="1:8" ht="15">
      <c r="A7315" s="211" t="s">
        <v>489</v>
      </c>
      <c r="B7315" s="216" t="str">
        <f ca="1">_xlfn.CONCAT(B7308,A7315)</f>
        <v>73B7FCC-F</v>
      </c>
      <c r="C7315" s="17"/>
      <c r="D7315" s="184"/>
      <c r="E7315" s="197"/>
      <c r="F7315" s="19"/>
      <c r="G7315" s="20"/>
      <c r="H7315" s="217"/>
    </row>
    <row r="7316" spans="1:8">
      <c r="A7316" s="211" t="s">
        <v>490</v>
      </c>
      <c r="B7316" s="216" t="str">
        <f ca="1">_xlfn.CONCAT(B7308,A7316)</f>
        <v>73B7FCC-G</v>
      </c>
      <c r="C7316" s="17"/>
      <c r="D7316" s="184"/>
      <c r="E7316" s="197"/>
      <c r="F7316" s="19"/>
      <c r="G7316" s="20"/>
    </row>
    <row r="7317" spans="1:8">
      <c r="A7317" s="211" t="s">
        <v>491</v>
      </c>
      <c r="B7317" s="216" t="str">
        <f ca="1">_xlfn.CONCAT(B7308,A7317)</f>
        <v>73B7FCC-H</v>
      </c>
      <c r="C7317" s="17"/>
      <c r="D7317" s="184"/>
      <c r="E7317" s="197"/>
      <c r="F7317" s="19"/>
      <c r="G7317" s="20"/>
    </row>
    <row r="7318" spans="1:8">
      <c r="A7318" s="211" t="s">
        <v>492</v>
      </c>
      <c r="B7318" s="216" t="str">
        <f ca="1">_xlfn.CONCAT(B7308,A7318)</f>
        <v>73B7FCC-I</v>
      </c>
      <c r="C7318" s="17"/>
      <c r="D7318" s="184"/>
      <c r="E7318" s="197"/>
      <c r="F7318" s="19"/>
      <c r="G7318" s="20"/>
    </row>
    <row r="7319" spans="1:8">
      <c r="A7319" s="211" t="s">
        <v>493</v>
      </c>
      <c r="B7319" s="216" t="str">
        <f ca="1">_xlfn.CONCAT(B7308,A7319)</f>
        <v>73B7FCC-J</v>
      </c>
      <c r="C7319" s="17"/>
      <c r="D7319" s="184"/>
      <c r="E7319" s="197"/>
      <c r="F7319" s="19"/>
      <c r="G7319" s="20"/>
    </row>
    <row r="7320" spans="1:8">
      <c r="A7320" s="211" t="s">
        <v>494</v>
      </c>
      <c r="B7320" s="216" t="str">
        <f ca="1">_xlfn.CONCAT(B7308,A7320)</f>
        <v>73B7FCC-K</v>
      </c>
      <c r="C7320" s="17"/>
      <c r="D7320" s="184"/>
      <c r="E7320" s="197"/>
      <c r="F7320" s="19"/>
      <c r="G7320" s="20"/>
    </row>
    <row r="7321" spans="1:8">
      <c r="A7321" s="211" t="s">
        <v>495</v>
      </c>
      <c r="B7321" s="216" t="str">
        <f ca="1">_xlfn.CONCAT(B7308,A7321)</f>
        <v>73B7FCC-L</v>
      </c>
      <c r="C7321" s="17"/>
      <c r="D7321" s="184"/>
      <c r="E7321" s="197"/>
      <c r="F7321" s="19"/>
      <c r="G7321" s="20"/>
    </row>
    <row r="7322" spans="1:8">
      <c r="A7322" s="211" t="s">
        <v>496</v>
      </c>
      <c r="B7322" s="216" t="str">
        <f ca="1">_xlfn.CONCAT(B7308,A7322)</f>
        <v>73B7FCC-M</v>
      </c>
      <c r="C7322" s="17"/>
      <c r="D7322" s="184"/>
      <c r="E7322" s="197"/>
      <c r="F7322" s="19"/>
      <c r="G7322" s="20"/>
    </row>
    <row r="7323" spans="1:8">
      <c r="A7323" s="211" t="s">
        <v>497</v>
      </c>
      <c r="B7323" s="216" t="str">
        <f ca="1">_xlfn.CONCAT(B7308,A7323)</f>
        <v>73B7FCC-N</v>
      </c>
      <c r="C7323" s="17"/>
      <c r="D7323" s="184"/>
      <c r="E7323" s="197"/>
      <c r="F7323" s="19"/>
      <c r="G7323" s="20"/>
    </row>
    <row r="7324" spans="1:8">
      <c r="A7324" s="211" t="s">
        <v>498</v>
      </c>
      <c r="B7324" s="216" t="str">
        <f ca="1">_xlfn.CONCAT(B7308,A7324)</f>
        <v>73B7FCC-O</v>
      </c>
      <c r="C7324" s="17"/>
      <c r="D7324" s="184"/>
      <c r="E7324" s="197"/>
      <c r="F7324" s="19"/>
      <c r="G7324" s="20"/>
    </row>
    <row r="7325" spans="1:8">
      <c r="A7325" s="211" t="s">
        <v>499</v>
      </c>
      <c r="B7325" s="216" t="str">
        <f ca="1">_xlfn.CONCAT(B7308,A7325)</f>
        <v>73B7FCC-P</v>
      </c>
      <c r="C7325" s="17"/>
      <c r="D7325" s="184"/>
      <c r="E7325" s="197"/>
      <c r="F7325" s="19"/>
      <c r="G7325" s="20"/>
    </row>
    <row r="7326" spans="1:8">
      <c r="A7326" s="211" t="s">
        <v>500</v>
      </c>
      <c r="B7326" s="216" t="str">
        <f ca="1">_xlfn.CONCAT(B7308,A7326)</f>
        <v>73B7FCC-Q</v>
      </c>
      <c r="C7326" s="17"/>
      <c r="D7326" s="184"/>
      <c r="E7326" s="197"/>
      <c r="F7326" s="19"/>
      <c r="G7326" s="20"/>
    </row>
    <row r="7327" spans="1:8">
      <c r="A7327" s="211" t="s">
        <v>501</v>
      </c>
      <c r="B7327" s="216" t="str">
        <f ca="1">_xlfn.CONCAT(B7308,A7327)</f>
        <v>73B7FCC-R</v>
      </c>
      <c r="C7327" s="17"/>
      <c r="D7327" s="184"/>
      <c r="E7327" s="197"/>
      <c r="F7327" s="19"/>
      <c r="G7327" s="20"/>
    </row>
    <row r="7328" spans="1:8">
      <c r="A7328" s="211" t="s">
        <v>502</v>
      </c>
      <c r="B7328" s="216" t="str">
        <f ca="1">_xlfn.CONCAT(B7308,A7328)</f>
        <v>73B7FCC-S</v>
      </c>
      <c r="C7328" s="17"/>
      <c r="D7328" s="184"/>
      <c r="E7328" s="197"/>
      <c r="F7328" s="19"/>
      <c r="G7328" s="20"/>
    </row>
    <row r="7329" spans="1:8">
      <c r="A7329" s="211" t="s">
        <v>503</v>
      </c>
      <c r="B7329" s="216" t="str">
        <f ca="1">_xlfn.CONCAT(B7308,A7329)</f>
        <v>73B7FCC-T</v>
      </c>
      <c r="C7329" s="17"/>
      <c r="D7329" s="184"/>
      <c r="E7329" s="197"/>
      <c r="F7329" s="19"/>
      <c r="G7329" s="20"/>
    </row>
    <row r="7330" spans="1:8" ht="14.25" thickBot="1">
      <c r="A7330" s="211" t="s">
        <v>504</v>
      </c>
      <c r="B7330" s="216" t="str">
        <f ca="1">_xlfn.CONCAT(B7308,A7330)</f>
        <v>73B7FCC-U</v>
      </c>
      <c r="C7330" s="17"/>
      <c r="D7330" s="184"/>
      <c r="E7330" s="197"/>
      <c r="F7330" s="19"/>
      <c r="G7330" s="20"/>
    </row>
    <row r="7331" spans="1:8" ht="14.25" thickBot="1">
      <c r="A7331" s="211" t="s">
        <v>505</v>
      </c>
      <c r="B7331" s="216" t="str">
        <f ca="1">_xlfn.CONCAT(B7308,A7331)</f>
        <v>73B7FCC-V</v>
      </c>
      <c r="C7331" s="17" t="s">
        <v>17</v>
      </c>
      <c r="D7331" s="192" t="s">
        <v>17</v>
      </c>
      <c r="E7331" s="18"/>
      <c r="F7331" s="22" t="s">
        <v>18</v>
      </c>
      <c r="G7331" s="23">
        <f>SUM(G7310:G7330)</f>
        <v>182820</v>
      </c>
    </row>
    <row r="7332" spans="1:8" ht="15.75" thickBot="1">
      <c r="A7332" s="211" t="s">
        <v>506</v>
      </c>
      <c r="B7332" s="216" t="str">
        <f ca="1">_xlfn.CONCAT(B7308,A7332)</f>
        <v>73B7FCC-W</v>
      </c>
      <c r="C7332" s="10" t="s">
        <v>19</v>
      </c>
      <c r="D7332" s="190"/>
      <c r="E7332" s="11"/>
      <c r="F7332" s="12"/>
      <c r="G7332" s="13"/>
    </row>
    <row r="7333" spans="1:8" ht="14.25" thickBot="1">
      <c r="A7333" s="211" t="s">
        <v>507</v>
      </c>
      <c r="B7333" s="216" t="str">
        <f ca="1">_xlfn.CONCAT(B7308,A7333)</f>
        <v>73B7FCC-X</v>
      </c>
      <c r="C7333" s="14" t="s">
        <v>1</v>
      </c>
      <c r="D7333" s="15"/>
      <c r="E7333" s="15" t="s">
        <v>20</v>
      </c>
      <c r="F7333" s="16" t="s">
        <v>21</v>
      </c>
      <c r="G7333" s="15" t="s">
        <v>5</v>
      </c>
      <c r="H7333" s="215"/>
    </row>
    <row r="7334" spans="1:8">
      <c r="A7334" s="211" t="s">
        <v>508</v>
      </c>
      <c r="B7334" s="216" t="str">
        <f ca="1">_xlfn.CONCAT(B7308,A7334)</f>
        <v>73B7FCC-Y</v>
      </c>
      <c r="C7334" s="24" t="s">
        <v>22</v>
      </c>
      <c r="D7334" s="184"/>
      <c r="E7334" s="25">
        <f>_xlfn.XLOOKUP(C7334,'H-MO'!B$7:B$30,'H-MO'!D$7:D$30,,0,1)</f>
        <v>2436.5624999999995</v>
      </c>
      <c r="F7334" s="19">
        <v>0.12640463768115942</v>
      </c>
      <c r="G7334" s="33">
        <f t="shared" ref="G7334:G7339" si="208">+E7334*F7334</f>
        <v>307.99279999999993</v>
      </c>
    </row>
    <row r="7335" spans="1:8">
      <c r="A7335" s="211" t="s">
        <v>509</v>
      </c>
      <c r="B7335" s="216" t="str">
        <f ca="1">_xlfn.CONCAT(B7308,A7335)</f>
        <v>73B7FCC-Z</v>
      </c>
      <c r="C7335" s="24" t="s">
        <v>23</v>
      </c>
      <c r="D7335" s="184"/>
      <c r="E7335" s="25">
        <f>_xlfn.XLOOKUP(C7335,'H-MO'!B$7:B$30,'H-MO'!D$7:D$30,,0,1)</f>
        <v>1461.9374999999998</v>
      </c>
      <c r="F7335" s="19">
        <v>0.31601159420289859</v>
      </c>
      <c r="G7335" s="33">
        <f t="shared" si="208"/>
        <v>461.98919999999998</v>
      </c>
    </row>
    <row r="7336" spans="1:8">
      <c r="A7336" s="211" t="s">
        <v>510</v>
      </c>
      <c r="B7336" s="216" t="str">
        <f ca="1">_xlfn.CONCAT(B7308,A7336)</f>
        <v>73B7FCC-aa</v>
      </c>
      <c r="C7336" s="24" t="s">
        <v>24</v>
      </c>
      <c r="D7336" s="185"/>
      <c r="E7336" s="25">
        <f>_xlfn.XLOOKUP(C7336,'H-MO'!B$7:B$30,'H-MO'!D$7:D$30,,0,1)</f>
        <v>29238.749999999996</v>
      </c>
      <c r="F7336" s="28">
        <v>5.2668599033816425E-3</v>
      </c>
      <c r="G7336" s="33">
        <f t="shared" si="208"/>
        <v>153.99639999999999</v>
      </c>
    </row>
    <row r="7337" spans="1:8">
      <c r="A7337" s="211" t="s">
        <v>511</v>
      </c>
      <c r="B7337" s="216" t="str">
        <f ca="1">_xlfn.CONCAT(B7308,A7337)</f>
        <v>73B7FCC-ab</v>
      </c>
      <c r="C7337" s="24" t="s">
        <v>25</v>
      </c>
      <c r="D7337" s="185"/>
      <c r="E7337" s="25">
        <f>_xlfn.XLOOKUP(C7337,'H-MO'!B$7:B$30,'H-MO'!D$7:D$30,,0,1)</f>
        <v>2761.4374999999995</v>
      </c>
      <c r="F7337" s="28">
        <v>0.11153350383631713</v>
      </c>
      <c r="G7337" s="33">
        <f t="shared" si="208"/>
        <v>307.99279999999993</v>
      </c>
    </row>
    <row r="7338" spans="1:8">
      <c r="A7338" s="211" t="s">
        <v>512</v>
      </c>
      <c r="B7338" s="216" t="str">
        <f ca="1">_xlfn.CONCAT(B7308,A7338)</f>
        <v>73B7FCC-ac</v>
      </c>
      <c r="C7338" s="24"/>
      <c r="D7338" s="185"/>
      <c r="E7338" s="29"/>
      <c r="F7338" s="28"/>
      <c r="G7338" s="33">
        <f t="shared" si="208"/>
        <v>0</v>
      </c>
    </row>
    <row r="7339" spans="1:8" ht="14.25" thickBot="1">
      <c r="A7339" s="211" t="s">
        <v>513</v>
      </c>
      <c r="B7339" s="216" t="str">
        <f ca="1">_xlfn.CONCAT(B7308,A7339)</f>
        <v>73B7FCC-ad</v>
      </c>
      <c r="C7339" s="24"/>
      <c r="D7339" s="185"/>
      <c r="E7339" s="29"/>
      <c r="F7339" s="28"/>
      <c r="G7339" s="33">
        <f t="shared" si="208"/>
        <v>0</v>
      </c>
    </row>
    <row r="7340" spans="1:8" ht="14.25" thickBot="1">
      <c r="A7340" s="211" t="s">
        <v>514</v>
      </c>
      <c r="B7340" s="216" t="str">
        <f ca="1">_xlfn.CONCAT(B7308,A7340)</f>
        <v>73B7FCC-ae</v>
      </c>
      <c r="C7340" s="17"/>
      <c r="D7340" s="192"/>
      <c r="E7340" s="18"/>
      <c r="F7340" s="22" t="s">
        <v>26</v>
      </c>
      <c r="G7340" s="23">
        <f>SUM(G7334:G7339)</f>
        <v>1231.9712</v>
      </c>
    </row>
    <row r="7341" spans="1:8" ht="15.75" thickBot="1">
      <c r="A7341" s="211" t="s">
        <v>515</v>
      </c>
      <c r="B7341" s="216" t="str">
        <f ca="1">_xlfn.CONCAT(B7308,A7341)</f>
        <v>73B7FCC-af</v>
      </c>
      <c r="C7341" s="10" t="s">
        <v>27</v>
      </c>
      <c r="D7341" s="190"/>
      <c r="E7341" s="11"/>
      <c r="F7341" s="12"/>
      <c r="G7341" s="13"/>
    </row>
    <row r="7342" spans="1:8" ht="14.25" thickBot="1">
      <c r="A7342" s="211" t="s">
        <v>516</v>
      </c>
      <c r="B7342" s="216" t="str">
        <f ca="1">_xlfn.CONCAT(B7308,A7342)</f>
        <v>73B7FCC-ag</v>
      </c>
      <c r="C7342" s="14" t="s">
        <v>1</v>
      </c>
      <c r="D7342" s="15" t="s">
        <v>28</v>
      </c>
      <c r="E7342" s="15" t="s">
        <v>20</v>
      </c>
      <c r="F7342" s="16" t="s">
        <v>21</v>
      </c>
      <c r="G7342" s="15" t="s">
        <v>5</v>
      </c>
      <c r="H7342" s="215"/>
    </row>
    <row r="7343" spans="1:8">
      <c r="A7343" s="211" t="s">
        <v>517</v>
      </c>
      <c r="B7343" s="216" t="str">
        <f ca="1">_xlfn.CONCAT(B7308,A7343)</f>
        <v>73B7FCC-ah</v>
      </c>
      <c r="C7343" s="30" t="s">
        <v>29</v>
      </c>
      <c r="D7343" s="186">
        <f>'H-MO'!$N$77</f>
        <v>725918.52892505517</v>
      </c>
      <c r="E7343" s="31">
        <f>+D7343/8</f>
        <v>90739.816115631897</v>
      </c>
      <c r="F7343" s="32">
        <v>0.45</v>
      </c>
      <c r="G7343" s="33">
        <f>+E7343*F7343</f>
        <v>40832.917252034356</v>
      </c>
    </row>
    <row r="7344" spans="1:8">
      <c r="A7344" s="211" t="s">
        <v>518</v>
      </c>
      <c r="B7344" s="216" t="str">
        <f ca="1">_xlfn.CONCAT(B7308,A7344)</f>
        <v>73B7FCC-ai</v>
      </c>
      <c r="C7344" s="34" t="s">
        <v>30</v>
      </c>
      <c r="D7344" s="187">
        <f>'H-MO'!$N$86</f>
        <v>685561.39085756091</v>
      </c>
      <c r="E7344" s="29">
        <f>+D7344/8</f>
        <v>85695.173857195114</v>
      </c>
      <c r="F7344" s="28">
        <v>0</v>
      </c>
      <c r="G7344" s="33">
        <f>+E7344*F7344</f>
        <v>0</v>
      </c>
    </row>
    <row r="7345" spans="1:8" ht="14.25" thickBot="1">
      <c r="A7345" s="211" t="s">
        <v>519</v>
      </c>
      <c r="B7345" s="216" t="str">
        <f ca="1">_xlfn.CONCAT(B7308,A7345)</f>
        <v>73B7FCC-aj</v>
      </c>
      <c r="C7345" s="34"/>
      <c r="D7345" s="187"/>
      <c r="E7345" s="29"/>
      <c r="F7345" s="28"/>
      <c r="G7345" s="33">
        <f>+E7345*F7345</f>
        <v>0</v>
      </c>
    </row>
    <row r="7346" spans="1:8" ht="14.25" thickBot="1">
      <c r="A7346" s="211" t="s">
        <v>520</v>
      </c>
      <c r="B7346" s="216" t="str">
        <f ca="1">_xlfn.CONCAT(B7308,A7346)</f>
        <v>73B7FCC-ak</v>
      </c>
      <c r="C7346" s="34"/>
      <c r="D7346" s="185"/>
      <c r="E7346" s="26"/>
      <c r="F7346" s="36" t="s">
        <v>31</v>
      </c>
      <c r="G7346" s="23">
        <f>SUM(G7343:G7345)</f>
        <v>40832.917252034356</v>
      </c>
    </row>
    <row r="7347" spans="1:8" ht="14.25" thickBot="1">
      <c r="A7347" s="211" t="s">
        <v>521</v>
      </c>
      <c r="B7347" s="216" t="str">
        <f ca="1">_xlfn.CONCAT(B7308,A7347)</f>
        <v>73B7FCC-al</v>
      </c>
      <c r="C7347" s="37"/>
      <c r="E7347" s="38"/>
      <c r="F7347" s="22"/>
      <c r="G7347" s="39"/>
    </row>
    <row r="7348" spans="1:8" ht="16.5" thickBot="1">
      <c r="A7348" s="211" t="s">
        <v>522</v>
      </c>
      <c r="B7348" s="216" t="str">
        <f ca="1">_xlfn.CONCAT(B7308,A7348)</f>
        <v>73B7FCC-am</v>
      </c>
      <c r="C7348" s="40"/>
      <c r="D7348" s="193"/>
      <c r="E7348" s="41"/>
      <c r="F7348" s="42"/>
      <c r="G7348" s="43">
        <f>+G7331+G7340+G7346</f>
        <v>224884.88845203436</v>
      </c>
    </row>
    <row r="7349" spans="1:8" ht="21.75" thickBot="1">
      <c r="B7349" s="212" t="s">
        <v>550</v>
      </c>
      <c r="C7349" s="2"/>
      <c r="D7349" s="183"/>
      <c r="F7349" s="4"/>
      <c r="G7349" s="5"/>
    </row>
    <row r="7350" spans="1:8" ht="18.75">
      <c r="A7350" s="213"/>
      <c r="B7350" s="214">
        <v>167</v>
      </c>
      <c r="C7350" s="242" t="str">
        <f ca="1">_xlfn.XLOOKUP(B7350,Cantidades!$A$10:$A$314,Cantidades!$C$10:$C$314,,0,1)</f>
        <v>Suministro e instalacion de  Caja de paso metalica 120x120x30</v>
      </c>
      <c r="D7350" s="243"/>
      <c r="E7350" s="243"/>
      <c r="F7350" s="243"/>
      <c r="G7350" s="244"/>
      <c r="H7350" s="213"/>
    </row>
    <row r="7351" spans="1:8" ht="19.5" thickBot="1">
      <c r="A7351" s="215"/>
      <c r="B7351" s="216" t="s">
        <v>550</v>
      </c>
      <c r="C7351" s="177"/>
      <c r="D7351" s="189"/>
      <c r="E7351" s="178"/>
      <c r="F7351" s="179" t="s">
        <v>636</v>
      </c>
      <c r="G7351" s="209" t="str">
        <f ca="1">B7352</f>
        <v>266F50A2-</v>
      </c>
      <c r="H7351" s="215"/>
    </row>
    <row r="7352" spans="1:8" ht="15.75" thickBot="1">
      <c r="B7352" s="212" t="str">
        <f ca="1">_xlfn.XLOOKUP(C7350,Cantidades!$C$1:$C$314,Cantidades!$B$1:$B$314,"",0,1)</f>
        <v>266F50A2-</v>
      </c>
      <c r="C7352" s="10" t="s">
        <v>0</v>
      </c>
      <c r="D7352" s="190"/>
      <c r="E7352" s="11"/>
      <c r="F7352" s="12"/>
      <c r="G7352" s="13"/>
    </row>
    <row r="7353" spans="1:8" ht="14.25" thickBot="1">
      <c r="A7353" s="215"/>
      <c r="B7353" s="216" t="s">
        <v>550</v>
      </c>
      <c r="C7353" s="14" t="s">
        <v>1</v>
      </c>
      <c r="D7353" s="15" t="s">
        <v>2</v>
      </c>
      <c r="E7353" s="15" t="s">
        <v>3</v>
      </c>
      <c r="F7353" s="16" t="s">
        <v>4</v>
      </c>
      <c r="G7353" s="15" t="s">
        <v>5</v>
      </c>
      <c r="H7353" s="215"/>
    </row>
    <row r="7354" spans="1:8" ht="15">
      <c r="A7354" s="211" t="s">
        <v>484</v>
      </c>
      <c r="B7354" s="216" t="str">
        <f ca="1">_xlfn.CONCAT(B7352,A7354)</f>
        <v>266F50A2-A</v>
      </c>
      <c r="C7354" s="17" t="str">
        <f>_xlfn.XLOOKUP(H7354,'Materiales unitario'!$A$1:$A$2500,'Materiales unitario'!B$1:B$2500,,0,1)</f>
        <v>Caja de paso metálica 120 x 120 x 30 cm</v>
      </c>
      <c r="D7354" s="184" t="str">
        <f>_xlfn.XLOOKUP(H7354,'Materiales unitario'!A$1:A$2500,'Materiales unitario'!C$1:C$2500,,0,1)</f>
        <v>un</v>
      </c>
      <c r="E7354" s="197">
        <f>_xlfn.XLOOKUP(H7354,'Materiales unitario'!$A$1:$A$2500,'Materiales unitario'!D$1:D$2500,,0,1)</f>
        <v>1049633</v>
      </c>
      <c r="F7354" s="19">
        <v>1</v>
      </c>
      <c r="G7354" s="20">
        <f>+E7354*F7354</f>
        <v>1049633</v>
      </c>
      <c r="H7354" s="217" t="s">
        <v>1399</v>
      </c>
    </row>
    <row r="7355" spans="1:8" ht="15">
      <c r="A7355" s="211" t="s">
        <v>485</v>
      </c>
      <c r="B7355" s="216" t="str">
        <f ca="1">_xlfn.CONCAT(B7352,A7355)</f>
        <v>266F50A2-B</v>
      </c>
      <c r="C7355" s="17" t="str">
        <f>_xlfn.XLOOKUP(H7355,'Materiales unitario'!$A$1:$A$2500,'Materiales unitario'!B$1:B$2500,,0,1)</f>
        <v>Accesorios de anclaje y fijacion.</v>
      </c>
      <c r="D7355" s="184" t="str">
        <f>_xlfn.XLOOKUP(H7355,'Materiales unitario'!A$1:A$2500,'Materiales unitario'!C$1:C$2500,,0,1)</f>
        <v>un</v>
      </c>
      <c r="E7355" s="197">
        <f>_xlfn.XLOOKUP(H7355,'Materiales unitario'!$A$1:$A$2500,'Materiales unitario'!D$1:D$2500,,0,1)</f>
        <v>10000</v>
      </c>
      <c r="F7355" s="19">
        <v>3</v>
      </c>
      <c r="G7355" s="20">
        <f>+E7355*F7355</f>
        <v>30000</v>
      </c>
      <c r="H7355" s="217" t="s">
        <v>222</v>
      </c>
    </row>
    <row r="7356" spans="1:8" ht="15">
      <c r="A7356" s="211" t="s">
        <v>486</v>
      </c>
      <c r="B7356" s="216" t="str">
        <f ca="1">_xlfn.CONCAT(B7352,A7356)</f>
        <v>266F50A2-C</v>
      </c>
      <c r="C7356" s="17"/>
      <c r="D7356" s="184"/>
      <c r="E7356" s="197"/>
      <c r="F7356" s="19"/>
      <c r="G7356" s="20"/>
      <c r="H7356" s="217"/>
    </row>
    <row r="7357" spans="1:8" ht="15">
      <c r="A7357" s="211" t="s">
        <v>487</v>
      </c>
      <c r="B7357" s="216" t="str">
        <f ca="1">_xlfn.CONCAT(B7352,A7357)</f>
        <v>266F50A2-D</v>
      </c>
      <c r="C7357" s="17"/>
      <c r="D7357" s="184"/>
      <c r="E7357" s="197"/>
      <c r="F7357" s="19"/>
      <c r="G7357" s="20"/>
      <c r="H7357" s="217"/>
    </row>
    <row r="7358" spans="1:8" ht="15">
      <c r="A7358" s="211" t="s">
        <v>488</v>
      </c>
      <c r="B7358" s="216" t="str">
        <f ca="1">_xlfn.CONCAT(B7352,A7358)</f>
        <v>266F50A2-E</v>
      </c>
      <c r="C7358" s="17"/>
      <c r="D7358" s="184"/>
      <c r="E7358" s="197"/>
      <c r="F7358" s="19"/>
      <c r="G7358" s="20"/>
      <c r="H7358" s="217"/>
    </row>
    <row r="7359" spans="1:8" ht="15">
      <c r="A7359" s="211" t="s">
        <v>489</v>
      </c>
      <c r="B7359" s="216" t="str">
        <f ca="1">_xlfn.CONCAT(B7352,A7359)</f>
        <v>266F50A2-F</v>
      </c>
      <c r="C7359" s="17"/>
      <c r="D7359" s="184"/>
      <c r="E7359" s="197"/>
      <c r="F7359" s="19"/>
      <c r="G7359" s="20"/>
      <c r="H7359" s="217"/>
    </row>
    <row r="7360" spans="1:8">
      <c r="A7360" s="211" t="s">
        <v>490</v>
      </c>
      <c r="B7360" s="216" t="str">
        <f ca="1">_xlfn.CONCAT(B7352,A7360)</f>
        <v>266F50A2-G</v>
      </c>
      <c r="C7360" s="17"/>
      <c r="D7360" s="184"/>
      <c r="E7360" s="197"/>
      <c r="F7360" s="19"/>
      <c r="G7360" s="20"/>
    </row>
    <row r="7361" spans="1:7">
      <c r="A7361" s="211" t="s">
        <v>491</v>
      </c>
      <c r="B7361" s="216" t="str">
        <f ca="1">_xlfn.CONCAT(B7352,A7361)</f>
        <v>266F50A2-H</v>
      </c>
      <c r="C7361" s="17"/>
      <c r="D7361" s="184"/>
      <c r="E7361" s="197"/>
      <c r="F7361" s="19"/>
      <c r="G7361" s="20"/>
    </row>
    <row r="7362" spans="1:7">
      <c r="A7362" s="211" t="s">
        <v>492</v>
      </c>
      <c r="B7362" s="216" t="str">
        <f ca="1">_xlfn.CONCAT(B7352,A7362)</f>
        <v>266F50A2-I</v>
      </c>
      <c r="C7362" s="17"/>
      <c r="D7362" s="184"/>
      <c r="E7362" s="197"/>
      <c r="F7362" s="19"/>
      <c r="G7362" s="20"/>
    </row>
    <row r="7363" spans="1:7">
      <c r="A7363" s="211" t="s">
        <v>493</v>
      </c>
      <c r="B7363" s="216" t="str">
        <f ca="1">_xlfn.CONCAT(B7352,A7363)</f>
        <v>266F50A2-J</v>
      </c>
      <c r="C7363" s="17"/>
      <c r="D7363" s="184"/>
      <c r="E7363" s="197"/>
      <c r="F7363" s="19"/>
      <c r="G7363" s="20"/>
    </row>
    <row r="7364" spans="1:7">
      <c r="A7364" s="211" t="s">
        <v>494</v>
      </c>
      <c r="B7364" s="216" t="str">
        <f ca="1">_xlfn.CONCAT(B7352,A7364)</f>
        <v>266F50A2-K</v>
      </c>
      <c r="C7364" s="17"/>
      <c r="D7364" s="184"/>
      <c r="E7364" s="197"/>
      <c r="F7364" s="19"/>
      <c r="G7364" s="20"/>
    </row>
    <row r="7365" spans="1:7">
      <c r="A7365" s="211" t="s">
        <v>495</v>
      </c>
      <c r="B7365" s="216" t="str">
        <f ca="1">_xlfn.CONCAT(B7352,A7365)</f>
        <v>266F50A2-L</v>
      </c>
      <c r="C7365" s="17"/>
      <c r="D7365" s="184"/>
      <c r="E7365" s="197"/>
      <c r="F7365" s="19"/>
      <c r="G7365" s="20"/>
    </row>
    <row r="7366" spans="1:7">
      <c r="A7366" s="211" t="s">
        <v>496</v>
      </c>
      <c r="B7366" s="216" t="str">
        <f ca="1">_xlfn.CONCAT(B7352,A7366)</f>
        <v>266F50A2-M</v>
      </c>
      <c r="C7366" s="17"/>
      <c r="D7366" s="184"/>
      <c r="E7366" s="197"/>
      <c r="F7366" s="19"/>
      <c r="G7366" s="20"/>
    </row>
    <row r="7367" spans="1:7">
      <c r="A7367" s="211" t="s">
        <v>497</v>
      </c>
      <c r="B7367" s="216" t="str">
        <f ca="1">_xlfn.CONCAT(B7352,A7367)</f>
        <v>266F50A2-N</v>
      </c>
      <c r="C7367" s="17"/>
      <c r="D7367" s="184"/>
      <c r="E7367" s="197"/>
      <c r="F7367" s="19"/>
      <c r="G7367" s="20"/>
    </row>
    <row r="7368" spans="1:7">
      <c r="A7368" s="211" t="s">
        <v>498</v>
      </c>
      <c r="B7368" s="216" t="str">
        <f ca="1">_xlfn.CONCAT(B7352,A7368)</f>
        <v>266F50A2-O</v>
      </c>
      <c r="C7368" s="17"/>
      <c r="D7368" s="184"/>
      <c r="E7368" s="197"/>
      <c r="F7368" s="19"/>
      <c r="G7368" s="20"/>
    </row>
    <row r="7369" spans="1:7">
      <c r="A7369" s="211" t="s">
        <v>499</v>
      </c>
      <c r="B7369" s="216" t="str">
        <f ca="1">_xlfn.CONCAT(B7352,A7369)</f>
        <v>266F50A2-P</v>
      </c>
      <c r="C7369" s="17"/>
      <c r="D7369" s="184"/>
      <c r="E7369" s="197"/>
      <c r="F7369" s="19"/>
      <c r="G7369" s="20"/>
    </row>
    <row r="7370" spans="1:7">
      <c r="A7370" s="211" t="s">
        <v>500</v>
      </c>
      <c r="B7370" s="216" t="str">
        <f ca="1">_xlfn.CONCAT(B7352,A7370)</f>
        <v>266F50A2-Q</v>
      </c>
      <c r="C7370" s="17"/>
      <c r="D7370" s="184"/>
      <c r="E7370" s="197"/>
      <c r="F7370" s="19"/>
      <c r="G7370" s="20"/>
    </row>
    <row r="7371" spans="1:7">
      <c r="A7371" s="211" t="s">
        <v>501</v>
      </c>
      <c r="B7371" s="216" t="str">
        <f ca="1">_xlfn.CONCAT(B7352,A7371)</f>
        <v>266F50A2-R</v>
      </c>
      <c r="C7371" s="17"/>
      <c r="D7371" s="184"/>
      <c r="E7371" s="197"/>
      <c r="F7371" s="19"/>
      <c r="G7371" s="20"/>
    </row>
    <row r="7372" spans="1:7">
      <c r="A7372" s="211" t="s">
        <v>502</v>
      </c>
      <c r="B7372" s="216" t="str">
        <f ca="1">_xlfn.CONCAT(B7352,A7372)</f>
        <v>266F50A2-S</v>
      </c>
      <c r="C7372" s="17"/>
      <c r="D7372" s="184"/>
      <c r="E7372" s="197"/>
      <c r="F7372" s="19"/>
      <c r="G7372" s="20"/>
    </row>
    <row r="7373" spans="1:7">
      <c r="A7373" s="211" t="s">
        <v>503</v>
      </c>
      <c r="B7373" s="216" t="str">
        <f ca="1">_xlfn.CONCAT(B7352,A7373)</f>
        <v>266F50A2-T</v>
      </c>
      <c r="C7373" s="17"/>
      <c r="D7373" s="184"/>
      <c r="E7373" s="197"/>
      <c r="F7373" s="19"/>
      <c r="G7373" s="20"/>
    </row>
    <row r="7374" spans="1:7" ht="14.25" thickBot="1">
      <c r="A7374" s="211" t="s">
        <v>504</v>
      </c>
      <c r="B7374" s="216" t="str">
        <f ca="1">_xlfn.CONCAT(B7352,A7374)</f>
        <v>266F50A2-U</v>
      </c>
      <c r="C7374" s="17"/>
      <c r="D7374" s="184"/>
      <c r="E7374" s="197"/>
      <c r="F7374" s="19"/>
      <c r="G7374" s="20"/>
    </row>
    <row r="7375" spans="1:7" ht="14.25" thickBot="1">
      <c r="A7375" s="211" t="s">
        <v>505</v>
      </c>
      <c r="B7375" s="216" t="str">
        <f ca="1">_xlfn.CONCAT(B7352,A7375)</f>
        <v>266F50A2-V</v>
      </c>
      <c r="C7375" s="17" t="s">
        <v>17</v>
      </c>
      <c r="D7375" s="192" t="s">
        <v>17</v>
      </c>
      <c r="E7375" s="18"/>
      <c r="F7375" s="22" t="s">
        <v>18</v>
      </c>
      <c r="G7375" s="23">
        <f>SUM(G7354:G7374)</f>
        <v>1079633</v>
      </c>
    </row>
    <row r="7376" spans="1:7" ht="15.75" thickBot="1">
      <c r="A7376" s="211" t="s">
        <v>506</v>
      </c>
      <c r="B7376" s="216" t="str">
        <f ca="1">_xlfn.CONCAT(B7352,A7376)</f>
        <v>266F50A2-W</v>
      </c>
      <c r="C7376" s="10" t="s">
        <v>19</v>
      </c>
      <c r="D7376" s="190"/>
      <c r="E7376" s="11"/>
      <c r="F7376" s="12"/>
      <c r="G7376" s="13"/>
    </row>
    <row r="7377" spans="1:8" ht="14.25" thickBot="1">
      <c r="A7377" s="211" t="s">
        <v>507</v>
      </c>
      <c r="B7377" s="216" t="str">
        <f ca="1">_xlfn.CONCAT(B7352,A7377)</f>
        <v>266F50A2-X</v>
      </c>
      <c r="C7377" s="14" t="s">
        <v>1</v>
      </c>
      <c r="D7377" s="15"/>
      <c r="E7377" s="15" t="s">
        <v>20</v>
      </c>
      <c r="F7377" s="16" t="s">
        <v>21</v>
      </c>
      <c r="G7377" s="15" t="s">
        <v>5</v>
      </c>
      <c r="H7377" s="215"/>
    </row>
    <row r="7378" spans="1:8">
      <c r="A7378" s="211" t="s">
        <v>508</v>
      </c>
      <c r="B7378" s="216" t="str">
        <f ca="1">_xlfn.CONCAT(B7352,A7378)</f>
        <v>266F50A2-Y</v>
      </c>
      <c r="C7378" s="24" t="s">
        <v>22</v>
      </c>
      <c r="D7378" s="184"/>
      <c r="E7378" s="25">
        <f>_xlfn.XLOOKUP(C7378,'H-MO'!B$7:B$30,'H-MO'!D$7:D$30,,0,1)</f>
        <v>2436.5624999999995</v>
      </c>
      <c r="F7378" s="19">
        <v>1</v>
      </c>
      <c r="G7378" s="33">
        <f t="shared" ref="G7378:G7383" si="209">+E7378*F7378</f>
        <v>2436.5624999999995</v>
      </c>
    </row>
    <row r="7379" spans="1:8">
      <c r="A7379" s="211" t="s">
        <v>509</v>
      </c>
      <c r="B7379" s="216" t="str">
        <f ca="1">_xlfn.CONCAT(B7352,A7379)</f>
        <v>266F50A2-Z</v>
      </c>
      <c r="C7379" s="24" t="s">
        <v>23</v>
      </c>
      <c r="D7379" s="184"/>
      <c r="E7379" s="25">
        <f>_xlfn.XLOOKUP(C7379,'H-MO'!B$7:B$30,'H-MO'!D$7:D$30,,0,1)</f>
        <v>1461.9374999999998</v>
      </c>
      <c r="F7379" s="19">
        <v>0.8</v>
      </c>
      <c r="G7379" s="33">
        <f t="shared" si="209"/>
        <v>1169.55</v>
      </c>
    </row>
    <row r="7380" spans="1:8">
      <c r="A7380" s="211" t="s">
        <v>510</v>
      </c>
      <c r="B7380" s="216" t="str">
        <f ca="1">_xlfn.CONCAT(B7352,A7380)</f>
        <v>266F50A2-aa</v>
      </c>
      <c r="C7380" s="24" t="s">
        <v>24</v>
      </c>
      <c r="D7380" s="185"/>
      <c r="E7380" s="25">
        <f>_xlfn.XLOOKUP(C7380,'H-MO'!B$7:B$30,'H-MO'!D$7:D$30,,0,1)</f>
        <v>29238.749999999996</v>
      </c>
      <c r="F7380" s="28">
        <v>0.02</v>
      </c>
      <c r="G7380" s="33">
        <f t="shared" si="209"/>
        <v>584.77499999999998</v>
      </c>
    </row>
    <row r="7381" spans="1:8">
      <c r="A7381" s="211" t="s">
        <v>511</v>
      </c>
      <c r="B7381" s="216" t="str">
        <f ca="1">_xlfn.CONCAT(B7352,A7381)</f>
        <v>266F50A2-ab</v>
      </c>
      <c r="C7381" s="24" t="s">
        <v>25</v>
      </c>
      <c r="D7381" s="185"/>
      <c r="E7381" s="25">
        <f>_xlfn.XLOOKUP(C7381,'H-MO'!B$7:B$30,'H-MO'!D$7:D$30,,0,1)</f>
        <v>2761.4374999999995</v>
      </c>
      <c r="F7381" s="28">
        <v>2</v>
      </c>
      <c r="G7381" s="33">
        <f t="shared" si="209"/>
        <v>5522.8749999999991</v>
      </c>
    </row>
    <row r="7382" spans="1:8">
      <c r="A7382" s="211" t="s">
        <v>512</v>
      </c>
      <c r="B7382" s="216" t="str">
        <f ca="1">_xlfn.CONCAT(B7352,A7382)</f>
        <v>266F50A2-ac</v>
      </c>
      <c r="C7382" s="24"/>
      <c r="D7382" s="185"/>
      <c r="E7382" s="29"/>
      <c r="F7382" s="28"/>
      <c r="G7382" s="33">
        <f t="shared" si="209"/>
        <v>0</v>
      </c>
    </row>
    <row r="7383" spans="1:8" ht="14.25" thickBot="1">
      <c r="A7383" s="211" t="s">
        <v>513</v>
      </c>
      <c r="B7383" s="216" t="str">
        <f ca="1">_xlfn.CONCAT(B7352,A7383)</f>
        <v>266F50A2-ad</v>
      </c>
      <c r="C7383" s="24"/>
      <c r="D7383" s="185"/>
      <c r="E7383" s="29"/>
      <c r="F7383" s="28"/>
      <c r="G7383" s="33">
        <f t="shared" si="209"/>
        <v>0</v>
      </c>
    </row>
    <row r="7384" spans="1:8" ht="14.25" thickBot="1">
      <c r="A7384" s="211" t="s">
        <v>514</v>
      </c>
      <c r="B7384" s="216" t="str">
        <f ca="1">_xlfn.CONCAT(B7352,A7384)</f>
        <v>266F50A2-ae</v>
      </c>
      <c r="C7384" s="17"/>
      <c r="D7384" s="192"/>
      <c r="E7384" s="18"/>
      <c r="F7384" s="22" t="s">
        <v>26</v>
      </c>
      <c r="G7384" s="23">
        <f>SUM(G7378:G7383)</f>
        <v>9713.7624999999971</v>
      </c>
    </row>
    <row r="7385" spans="1:8" ht="15.75" thickBot="1">
      <c r="A7385" s="211" t="s">
        <v>515</v>
      </c>
      <c r="B7385" s="216" t="str">
        <f ca="1">_xlfn.CONCAT(B7352,A7385)</f>
        <v>266F50A2-af</v>
      </c>
      <c r="C7385" s="10" t="s">
        <v>27</v>
      </c>
      <c r="D7385" s="190"/>
      <c r="E7385" s="11"/>
      <c r="F7385" s="12"/>
      <c r="G7385" s="13"/>
    </row>
    <row r="7386" spans="1:8" ht="14.25" thickBot="1">
      <c r="A7386" s="211" t="s">
        <v>516</v>
      </c>
      <c r="B7386" s="216" t="str">
        <f ca="1">_xlfn.CONCAT(B7352,A7386)</f>
        <v>266F50A2-ag</v>
      </c>
      <c r="C7386" s="14" t="s">
        <v>1</v>
      </c>
      <c r="D7386" s="15" t="s">
        <v>28</v>
      </c>
      <c r="E7386" s="15" t="s">
        <v>20</v>
      </c>
      <c r="F7386" s="16" t="s">
        <v>21</v>
      </c>
      <c r="G7386" s="15" t="s">
        <v>5</v>
      </c>
      <c r="H7386" s="215"/>
    </row>
    <row r="7387" spans="1:8">
      <c r="A7387" s="211" t="s">
        <v>517</v>
      </c>
      <c r="B7387" s="216" t="str">
        <f ca="1">_xlfn.CONCAT(B7352,A7387)</f>
        <v>266F50A2-ah</v>
      </c>
      <c r="C7387" s="30" t="s">
        <v>29</v>
      </c>
      <c r="D7387" s="186">
        <f>'H-MO'!$N$77</f>
        <v>725918.52892505517</v>
      </c>
      <c r="E7387" s="31">
        <f>+D7387/8</f>
        <v>90739.816115631897</v>
      </c>
      <c r="F7387" s="32">
        <v>1.1000000000000001</v>
      </c>
      <c r="G7387" s="33">
        <f>+E7387*F7387</f>
        <v>99813.797727195095</v>
      </c>
    </row>
    <row r="7388" spans="1:8">
      <c r="A7388" s="211" t="s">
        <v>518</v>
      </c>
      <c r="B7388" s="216" t="str">
        <f ca="1">_xlfn.CONCAT(B7352,A7388)</f>
        <v>266F50A2-ai</v>
      </c>
      <c r="C7388" s="34" t="s">
        <v>30</v>
      </c>
      <c r="D7388" s="187">
        <f>'H-MO'!$N$86</f>
        <v>685561.39085756091</v>
      </c>
      <c r="E7388" s="29">
        <f>+D7388/8</f>
        <v>85695.173857195114</v>
      </c>
      <c r="F7388" s="28"/>
      <c r="G7388" s="33">
        <f>+E7388*F7388</f>
        <v>0</v>
      </c>
    </row>
    <row r="7389" spans="1:8" ht="14.25" thickBot="1">
      <c r="A7389" s="211" t="s">
        <v>519</v>
      </c>
      <c r="B7389" s="216" t="str">
        <f ca="1">_xlfn.CONCAT(B7352,A7389)</f>
        <v>266F50A2-aj</v>
      </c>
      <c r="C7389" s="34"/>
      <c r="D7389" s="187"/>
      <c r="E7389" s="29"/>
      <c r="F7389" s="28"/>
      <c r="G7389" s="33">
        <f>+E7389*F7389</f>
        <v>0</v>
      </c>
    </row>
    <row r="7390" spans="1:8" ht="14.25" thickBot="1">
      <c r="A7390" s="211" t="s">
        <v>520</v>
      </c>
      <c r="B7390" s="216" t="str">
        <f ca="1">_xlfn.CONCAT(B7352,A7390)</f>
        <v>266F50A2-ak</v>
      </c>
      <c r="C7390" s="34"/>
      <c r="D7390" s="185"/>
      <c r="E7390" s="26"/>
      <c r="F7390" s="36" t="s">
        <v>31</v>
      </c>
      <c r="G7390" s="23">
        <f>SUM(G7387:G7389)</f>
        <v>99813.797727195095</v>
      </c>
    </row>
    <row r="7391" spans="1:8" ht="14.25" thickBot="1">
      <c r="A7391" s="211" t="s">
        <v>521</v>
      </c>
      <c r="B7391" s="216" t="str">
        <f ca="1">_xlfn.CONCAT(B7352,A7391)</f>
        <v>266F50A2-al</v>
      </c>
      <c r="C7391" s="37"/>
      <c r="E7391" s="38"/>
      <c r="F7391" s="22"/>
      <c r="G7391" s="39"/>
    </row>
    <row r="7392" spans="1:8" ht="16.5" thickBot="1">
      <c r="A7392" s="211" t="s">
        <v>522</v>
      </c>
      <c r="B7392" s="216" t="str">
        <f ca="1">_xlfn.CONCAT(B7352,A7392)</f>
        <v>266F50A2-am</v>
      </c>
      <c r="C7392" s="40"/>
      <c r="D7392" s="193"/>
      <c r="E7392" s="41"/>
      <c r="F7392" s="42"/>
      <c r="G7392" s="43">
        <f>+G7375+G7384+G7390</f>
        <v>1189160.560227195</v>
      </c>
    </row>
    <row r="7393" spans="1:8" ht="21.75" thickBot="1">
      <c r="B7393" s="212" t="s">
        <v>550</v>
      </c>
      <c r="C7393" s="2"/>
      <c r="D7393" s="183"/>
      <c r="F7393" s="4"/>
      <c r="G7393" s="5"/>
    </row>
    <row r="7394" spans="1:8" ht="18.75">
      <c r="A7394" s="213"/>
      <c r="B7394" s="214">
        <v>168</v>
      </c>
      <c r="C7394" s="242" t="str">
        <f ca="1">_xlfn.XLOOKUP(B7394,Cantidades!$A$10:$A$314,Cantidades!$C$10:$C$314,,0,1)</f>
        <v>Suministro e instalacion de  Caja de paso metalica 150x150x30</v>
      </c>
      <c r="D7394" s="243"/>
      <c r="E7394" s="243"/>
      <c r="F7394" s="243"/>
      <c r="G7394" s="244"/>
      <c r="H7394" s="213"/>
    </row>
    <row r="7395" spans="1:8" ht="19.5" thickBot="1">
      <c r="A7395" s="215"/>
      <c r="B7395" s="216" t="s">
        <v>550</v>
      </c>
      <c r="C7395" s="177"/>
      <c r="D7395" s="189"/>
      <c r="E7395" s="178"/>
      <c r="F7395" s="179" t="s">
        <v>636</v>
      </c>
      <c r="G7395" s="209" t="str">
        <f ca="1">B7396</f>
        <v>266F50B4-</v>
      </c>
      <c r="H7395" s="215"/>
    </row>
    <row r="7396" spans="1:8" ht="15.75" thickBot="1">
      <c r="B7396" s="212" t="str">
        <f ca="1">_xlfn.XLOOKUP(C7394,Cantidades!$C$1:$C$314,Cantidades!$B$1:$B$314,"",0,1)</f>
        <v>266F50B4-</v>
      </c>
      <c r="C7396" s="10" t="s">
        <v>0</v>
      </c>
      <c r="D7396" s="190"/>
      <c r="E7396" s="11"/>
      <c r="F7396" s="12"/>
      <c r="G7396" s="13"/>
    </row>
    <row r="7397" spans="1:8" ht="14.25" thickBot="1">
      <c r="A7397" s="215"/>
      <c r="B7397" s="216" t="s">
        <v>550</v>
      </c>
      <c r="C7397" s="14" t="s">
        <v>1</v>
      </c>
      <c r="D7397" s="15" t="s">
        <v>2</v>
      </c>
      <c r="E7397" s="15" t="s">
        <v>3</v>
      </c>
      <c r="F7397" s="16" t="s">
        <v>4</v>
      </c>
      <c r="G7397" s="15" t="s">
        <v>5</v>
      </c>
      <c r="H7397" s="215"/>
    </row>
    <row r="7398" spans="1:8" ht="15">
      <c r="A7398" s="211" t="s">
        <v>484</v>
      </c>
      <c r="B7398" s="216" t="str">
        <f ca="1">_xlfn.CONCAT(B7396,A7398)</f>
        <v>266F50B4-A</v>
      </c>
      <c r="C7398" s="17" t="str">
        <f>_xlfn.XLOOKUP(H7398,'Materiales unitario'!$A$1:$A$2500,'Materiales unitario'!B$1:B$2500,,0,1)</f>
        <v>Caja de paso metálica 150 x 150 x 30 cm</v>
      </c>
      <c r="D7398" s="184" t="str">
        <f>_xlfn.XLOOKUP(H7398,'Materiales unitario'!A$1:A$2500,'Materiales unitario'!C$1:C$2500,,0,1)</f>
        <v>un</v>
      </c>
      <c r="E7398" s="197">
        <f>_xlfn.XLOOKUP(H7398,'Materiales unitario'!$A$1:$A$2500,'Materiales unitario'!D$1:D$2500,,0,1)</f>
        <v>1694332</v>
      </c>
      <c r="F7398" s="19">
        <v>1</v>
      </c>
      <c r="G7398" s="20">
        <f>+E7398*F7398</f>
        <v>1694332</v>
      </c>
      <c r="H7398" s="217" t="s">
        <v>1402</v>
      </c>
    </row>
    <row r="7399" spans="1:8" ht="15">
      <c r="A7399" s="211" t="s">
        <v>485</v>
      </c>
      <c r="B7399" s="216" t="str">
        <f ca="1">_xlfn.CONCAT(B7396,A7399)</f>
        <v>266F50B4-B</v>
      </c>
      <c r="C7399" s="17" t="str">
        <f>_xlfn.XLOOKUP(H7399,'Materiales unitario'!$A$1:$A$2500,'Materiales unitario'!B$1:B$2500,,0,1)</f>
        <v>Accesorios de anclaje y fijacion.</v>
      </c>
      <c r="D7399" s="184" t="str">
        <f>_xlfn.XLOOKUP(H7399,'Materiales unitario'!A$1:A$2500,'Materiales unitario'!C$1:C$2500,,0,1)</f>
        <v>un</v>
      </c>
      <c r="E7399" s="197">
        <f>_xlfn.XLOOKUP(H7399,'Materiales unitario'!$A$1:$A$2500,'Materiales unitario'!D$1:D$2500,,0,1)</f>
        <v>10000</v>
      </c>
      <c r="F7399" s="19">
        <v>4</v>
      </c>
      <c r="G7399" s="20">
        <f>+E7399*F7399</f>
        <v>40000</v>
      </c>
      <c r="H7399" s="217" t="s">
        <v>222</v>
      </c>
    </row>
    <row r="7400" spans="1:8" ht="15">
      <c r="A7400" s="211" t="s">
        <v>486</v>
      </c>
      <c r="B7400" s="216" t="str">
        <f ca="1">_xlfn.CONCAT(B7396,A7400)</f>
        <v>266F50B4-C</v>
      </c>
      <c r="C7400" s="17"/>
      <c r="D7400" s="184"/>
      <c r="E7400" s="197"/>
      <c r="F7400" s="19"/>
      <c r="G7400" s="20"/>
      <c r="H7400" s="217"/>
    </row>
    <row r="7401" spans="1:8" ht="15">
      <c r="A7401" s="211" t="s">
        <v>487</v>
      </c>
      <c r="B7401" s="216" t="str">
        <f ca="1">_xlfn.CONCAT(B7396,A7401)</f>
        <v>266F50B4-D</v>
      </c>
      <c r="C7401" s="17"/>
      <c r="D7401" s="184"/>
      <c r="E7401" s="197"/>
      <c r="F7401" s="19"/>
      <c r="G7401" s="20"/>
      <c r="H7401" s="217"/>
    </row>
    <row r="7402" spans="1:8" ht="15">
      <c r="A7402" s="211" t="s">
        <v>488</v>
      </c>
      <c r="B7402" s="216" t="str">
        <f ca="1">_xlfn.CONCAT(B7396,A7402)</f>
        <v>266F50B4-E</v>
      </c>
      <c r="C7402" s="17"/>
      <c r="D7402" s="184"/>
      <c r="E7402" s="197"/>
      <c r="F7402" s="19"/>
      <c r="G7402" s="20"/>
      <c r="H7402" s="217"/>
    </row>
    <row r="7403" spans="1:8" ht="15">
      <c r="A7403" s="211" t="s">
        <v>489</v>
      </c>
      <c r="B7403" s="216" t="str">
        <f ca="1">_xlfn.CONCAT(B7396,A7403)</f>
        <v>266F50B4-F</v>
      </c>
      <c r="C7403" s="17"/>
      <c r="D7403" s="184"/>
      <c r="E7403" s="197"/>
      <c r="F7403" s="19"/>
      <c r="G7403" s="20"/>
      <c r="H7403" s="217"/>
    </row>
    <row r="7404" spans="1:8">
      <c r="A7404" s="211" t="s">
        <v>490</v>
      </c>
      <c r="B7404" s="216" t="str">
        <f ca="1">_xlfn.CONCAT(B7396,A7404)</f>
        <v>266F50B4-G</v>
      </c>
      <c r="C7404" s="17"/>
      <c r="D7404" s="184"/>
      <c r="E7404" s="197"/>
      <c r="F7404" s="19"/>
      <c r="G7404" s="20"/>
    </row>
    <row r="7405" spans="1:8">
      <c r="A7405" s="211" t="s">
        <v>491</v>
      </c>
      <c r="B7405" s="216" t="str">
        <f ca="1">_xlfn.CONCAT(B7396,A7405)</f>
        <v>266F50B4-H</v>
      </c>
      <c r="C7405" s="17"/>
      <c r="D7405" s="184"/>
      <c r="E7405" s="197"/>
      <c r="F7405" s="19"/>
      <c r="G7405" s="20"/>
    </row>
    <row r="7406" spans="1:8">
      <c r="A7406" s="211" t="s">
        <v>492</v>
      </c>
      <c r="B7406" s="216" t="str">
        <f ca="1">_xlfn.CONCAT(B7396,A7406)</f>
        <v>266F50B4-I</v>
      </c>
      <c r="C7406" s="17"/>
      <c r="D7406" s="184"/>
      <c r="E7406" s="197"/>
      <c r="F7406" s="19"/>
      <c r="G7406" s="20"/>
    </row>
    <row r="7407" spans="1:8">
      <c r="A7407" s="211" t="s">
        <v>493</v>
      </c>
      <c r="B7407" s="216" t="str">
        <f ca="1">_xlfn.CONCAT(B7396,A7407)</f>
        <v>266F50B4-J</v>
      </c>
      <c r="C7407" s="17"/>
      <c r="D7407" s="184"/>
      <c r="E7407" s="197"/>
      <c r="F7407" s="19"/>
      <c r="G7407" s="20"/>
    </row>
    <row r="7408" spans="1:8">
      <c r="A7408" s="211" t="s">
        <v>494</v>
      </c>
      <c r="B7408" s="216" t="str">
        <f ca="1">_xlfn.CONCAT(B7396,A7408)</f>
        <v>266F50B4-K</v>
      </c>
      <c r="C7408" s="17"/>
      <c r="D7408" s="184"/>
      <c r="E7408" s="197"/>
      <c r="F7408" s="19"/>
      <c r="G7408" s="20"/>
    </row>
    <row r="7409" spans="1:8">
      <c r="A7409" s="211" t="s">
        <v>495</v>
      </c>
      <c r="B7409" s="216" t="str">
        <f ca="1">_xlfn.CONCAT(B7396,A7409)</f>
        <v>266F50B4-L</v>
      </c>
      <c r="C7409" s="17"/>
      <c r="D7409" s="184"/>
      <c r="E7409" s="197"/>
      <c r="F7409" s="19"/>
      <c r="G7409" s="20"/>
    </row>
    <row r="7410" spans="1:8">
      <c r="A7410" s="211" t="s">
        <v>496</v>
      </c>
      <c r="B7410" s="216" t="str">
        <f ca="1">_xlfn.CONCAT(B7396,A7410)</f>
        <v>266F50B4-M</v>
      </c>
      <c r="C7410" s="17"/>
      <c r="D7410" s="184"/>
      <c r="E7410" s="197"/>
      <c r="F7410" s="19"/>
      <c r="G7410" s="20"/>
    </row>
    <row r="7411" spans="1:8">
      <c r="A7411" s="211" t="s">
        <v>497</v>
      </c>
      <c r="B7411" s="216" t="str">
        <f ca="1">_xlfn.CONCAT(B7396,A7411)</f>
        <v>266F50B4-N</v>
      </c>
      <c r="C7411" s="17"/>
      <c r="D7411" s="184"/>
      <c r="E7411" s="197"/>
      <c r="F7411" s="19"/>
      <c r="G7411" s="20"/>
    </row>
    <row r="7412" spans="1:8">
      <c r="A7412" s="211" t="s">
        <v>498</v>
      </c>
      <c r="B7412" s="216" t="str">
        <f ca="1">_xlfn.CONCAT(B7396,A7412)</f>
        <v>266F50B4-O</v>
      </c>
      <c r="C7412" s="17"/>
      <c r="D7412" s="184"/>
      <c r="E7412" s="197"/>
      <c r="F7412" s="19"/>
      <c r="G7412" s="20"/>
    </row>
    <row r="7413" spans="1:8">
      <c r="A7413" s="211" t="s">
        <v>499</v>
      </c>
      <c r="B7413" s="216" t="str">
        <f ca="1">_xlfn.CONCAT(B7396,A7413)</f>
        <v>266F50B4-P</v>
      </c>
      <c r="C7413" s="17"/>
      <c r="D7413" s="184"/>
      <c r="E7413" s="197"/>
      <c r="F7413" s="19"/>
      <c r="G7413" s="20"/>
    </row>
    <row r="7414" spans="1:8">
      <c r="A7414" s="211" t="s">
        <v>500</v>
      </c>
      <c r="B7414" s="216" t="str">
        <f ca="1">_xlfn.CONCAT(B7396,A7414)</f>
        <v>266F50B4-Q</v>
      </c>
      <c r="C7414" s="17"/>
      <c r="D7414" s="184"/>
      <c r="E7414" s="197"/>
      <c r="F7414" s="19"/>
      <c r="G7414" s="20"/>
    </row>
    <row r="7415" spans="1:8">
      <c r="A7415" s="211" t="s">
        <v>501</v>
      </c>
      <c r="B7415" s="216" t="str">
        <f ca="1">_xlfn.CONCAT(B7396,A7415)</f>
        <v>266F50B4-R</v>
      </c>
      <c r="C7415" s="17"/>
      <c r="D7415" s="184"/>
      <c r="E7415" s="197"/>
      <c r="F7415" s="19"/>
      <c r="G7415" s="20"/>
    </row>
    <row r="7416" spans="1:8">
      <c r="A7416" s="211" t="s">
        <v>502</v>
      </c>
      <c r="B7416" s="216" t="str">
        <f ca="1">_xlfn.CONCAT(B7396,A7416)</f>
        <v>266F50B4-S</v>
      </c>
      <c r="C7416" s="17"/>
      <c r="D7416" s="184"/>
      <c r="E7416" s="197"/>
      <c r="F7416" s="19"/>
      <c r="G7416" s="20"/>
    </row>
    <row r="7417" spans="1:8">
      <c r="A7417" s="211" t="s">
        <v>503</v>
      </c>
      <c r="B7417" s="216" t="str">
        <f ca="1">_xlfn.CONCAT(B7396,A7417)</f>
        <v>266F50B4-T</v>
      </c>
      <c r="C7417" s="17"/>
      <c r="D7417" s="184"/>
      <c r="E7417" s="197"/>
      <c r="F7417" s="19"/>
      <c r="G7417" s="20"/>
    </row>
    <row r="7418" spans="1:8" ht="14.25" thickBot="1">
      <c r="A7418" s="211" t="s">
        <v>504</v>
      </c>
      <c r="B7418" s="216" t="str">
        <f ca="1">_xlfn.CONCAT(B7396,A7418)</f>
        <v>266F50B4-U</v>
      </c>
      <c r="C7418" s="17"/>
      <c r="D7418" s="184"/>
      <c r="E7418" s="197"/>
      <c r="F7418" s="19"/>
      <c r="G7418" s="20"/>
    </row>
    <row r="7419" spans="1:8" ht="14.25" thickBot="1">
      <c r="A7419" s="211" t="s">
        <v>505</v>
      </c>
      <c r="B7419" s="216" t="str">
        <f ca="1">_xlfn.CONCAT(B7396,A7419)</f>
        <v>266F50B4-V</v>
      </c>
      <c r="C7419" s="17" t="s">
        <v>17</v>
      </c>
      <c r="D7419" s="192" t="s">
        <v>17</v>
      </c>
      <c r="E7419" s="18"/>
      <c r="F7419" s="22" t="s">
        <v>18</v>
      </c>
      <c r="G7419" s="23">
        <f>SUM(G7398:G7418)</f>
        <v>1734332</v>
      </c>
    </row>
    <row r="7420" spans="1:8" ht="15.75" thickBot="1">
      <c r="A7420" s="211" t="s">
        <v>506</v>
      </c>
      <c r="B7420" s="216" t="str">
        <f ca="1">_xlfn.CONCAT(B7396,A7420)</f>
        <v>266F50B4-W</v>
      </c>
      <c r="C7420" s="10" t="s">
        <v>19</v>
      </c>
      <c r="D7420" s="190"/>
      <c r="E7420" s="11"/>
      <c r="F7420" s="12"/>
      <c r="G7420" s="13"/>
    </row>
    <row r="7421" spans="1:8" ht="14.25" thickBot="1">
      <c r="A7421" s="211" t="s">
        <v>507</v>
      </c>
      <c r="B7421" s="216" t="str">
        <f ca="1">_xlfn.CONCAT(B7396,A7421)</f>
        <v>266F50B4-X</v>
      </c>
      <c r="C7421" s="14" t="s">
        <v>1</v>
      </c>
      <c r="D7421" s="15"/>
      <c r="E7421" s="15" t="s">
        <v>20</v>
      </c>
      <c r="F7421" s="16" t="s">
        <v>21</v>
      </c>
      <c r="G7421" s="15" t="s">
        <v>5</v>
      </c>
      <c r="H7421" s="215"/>
    </row>
    <row r="7422" spans="1:8">
      <c r="A7422" s="211" t="s">
        <v>508</v>
      </c>
      <c r="B7422" s="216" t="str">
        <f ca="1">_xlfn.CONCAT(B7396,A7422)</f>
        <v>266F50B4-Y</v>
      </c>
      <c r="C7422" s="24" t="s">
        <v>22</v>
      </c>
      <c r="D7422" s="184"/>
      <c r="E7422" s="25">
        <f>_xlfn.XLOOKUP(C7422,'H-MO'!B$7:B$30,'H-MO'!D$7:D$30,,0,1)</f>
        <v>2436.5624999999995</v>
      </c>
      <c r="F7422" s="19">
        <v>1</v>
      </c>
      <c r="G7422" s="33">
        <f t="shared" ref="G7422:G7427" si="210">+E7422*F7422</f>
        <v>2436.5624999999995</v>
      </c>
    </row>
    <row r="7423" spans="1:8">
      <c r="A7423" s="211" t="s">
        <v>509</v>
      </c>
      <c r="B7423" s="216" t="str">
        <f ca="1">_xlfn.CONCAT(B7396,A7423)</f>
        <v>266F50B4-Z</v>
      </c>
      <c r="C7423" s="24" t="s">
        <v>23</v>
      </c>
      <c r="D7423" s="184"/>
      <c r="E7423" s="25">
        <f>_xlfn.XLOOKUP(C7423,'H-MO'!B$7:B$30,'H-MO'!D$7:D$30,,0,1)</f>
        <v>1461.9374999999998</v>
      </c>
      <c r="F7423" s="19">
        <v>0.8</v>
      </c>
      <c r="G7423" s="33">
        <f t="shared" si="210"/>
        <v>1169.55</v>
      </c>
    </row>
    <row r="7424" spans="1:8">
      <c r="A7424" s="211" t="s">
        <v>510</v>
      </c>
      <c r="B7424" s="216" t="str">
        <f ca="1">_xlfn.CONCAT(B7396,A7424)</f>
        <v>266F50B4-aa</v>
      </c>
      <c r="C7424" s="24" t="s">
        <v>24</v>
      </c>
      <c r="D7424" s="185"/>
      <c r="E7424" s="25">
        <f>_xlfn.XLOOKUP(C7424,'H-MO'!B$7:B$30,'H-MO'!D$7:D$30,,0,1)</f>
        <v>29238.749999999996</v>
      </c>
      <c r="F7424" s="28">
        <v>0.02</v>
      </c>
      <c r="G7424" s="33">
        <f t="shared" si="210"/>
        <v>584.77499999999998</v>
      </c>
    </row>
    <row r="7425" spans="1:8">
      <c r="A7425" s="211" t="s">
        <v>511</v>
      </c>
      <c r="B7425" s="216" t="str">
        <f ca="1">_xlfn.CONCAT(B7396,A7425)</f>
        <v>266F50B4-ab</v>
      </c>
      <c r="C7425" s="24" t="s">
        <v>25</v>
      </c>
      <c r="D7425" s="185"/>
      <c r="E7425" s="25">
        <f>_xlfn.XLOOKUP(C7425,'H-MO'!B$7:B$30,'H-MO'!D$7:D$30,,0,1)</f>
        <v>2761.4374999999995</v>
      </c>
      <c r="F7425" s="28">
        <v>2</v>
      </c>
      <c r="G7425" s="33">
        <f t="shared" si="210"/>
        <v>5522.8749999999991</v>
      </c>
    </row>
    <row r="7426" spans="1:8">
      <c r="A7426" s="211" t="s">
        <v>512</v>
      </c>
      <c r="B7426" s="216" t="str">
        <f ca="1">_xlfn.CONCAT(B7396,A7426)</f>
        <v>266F50B4-ac</v>
      </c>
      <c r="C7426" s="24"/>
      <c r="D7426" s="185"/>
      <c r="E7426" s="29"/>
      <c r="F7426" s="28"/>
      <c r="G7426" s="33">
        <f t="shared" si="210"/>
        <v>0</v>
      </c>
    </row>
    <row r="7427" spans="1:8" ht="14.25" thickBot="1">
      <c r="A7427" s="211" t="s">
        <v>513</v>
      </c>
      <c r="B7427" s="216" t="str">
        <f ca="1">_xlfn.CONCAT(B7396,A7427)</f>
        <v>266F50B4-ad</v>
      </c>
      <c r="C7427" s="24"/>
      <c r="D7427" s="185"/>
      <c r="E7427" s="29"/>
      <c r="F7427" s="28"/>
      <c r="G7427" s="33">
        <f t="shared" si="210"/>
        <v>0</v>
      </c>
    </row>
    <row r="7428" spans="1:8" ht="14.25" thickBot="1">
      <c r="A7428" s="211" t="s">
        <v>514</v>
      </c>
      <c r="B7428" s="216" t="str">
        <f ca="1">_xlfn.CONCAT(B7396,A7428)</f>
        <v>266F50B4-ae</v>
      </c>
      <c r="C7428" s="17"/>
      <c r="D7428" s="192"/>
      <c r="E7428" s="18"/>
      <c r="F7428" s="22" t="s">
        <v>26</v>
      </c>
      <c r="G7428" s="23">
        <f>SUM(G7422:G7427)</f>
        <v>9713.7624999999971</v>
      </c>
    </row>
    <row r="7429" spans="1:8" ht="15.75" thickBot="1">
      <c r="A7429" s="211" t="s">
        <v>515</v>
      </c>
      <c r="B7429" s="216" t="str">
        <f ca="1">_xlfn.CONCAT(B7396,A7429)</f>
        <v>266F50B4-af</v>
      </c>
      <c r="C7429" s="10" t="s">
        <v>27</v>
      </c>
      <c r="D7429" s="190"/>
      <c r="E7429" s="11"/>
      <c r="F7429" s="12"/>
      <c r="G7429" s="13"/>
    </row>
    <row r="7430" spans="1:8" ht="14.25" thickBot="1">
      <c r="A7430" s="211" t="s">
        <v>516</v>
      </c>
      <c r="B7430" s="216" t="str">
        <f ca="1">_xlfn.CONCAT(B7396,A7430)</f>
        <v>266F50B4-ag</v>
      </c>
      <c r="C7430" s="14" t="s">
        <v>1</v>
      </c>
      <c r="D7430" s="15" t="s">
        <v>28</v>
      </c>
      <c r="E7430" s="15" t="s">
        <v>20</v>
      </c>
      <c r="F7430" s="16" t="s">
        <v>21</v>
      </c>
      <c r="G7430" s="15" t="s">
        <v>5</v>
      </c>
      <c r="H7430" s="215"/>
    </row>
    <row r="7431" spans="1:8">
      <c r="A7431" s="211" t="s">
        <v>517</v>
      </c>
      <c r="B7431" s="216" t="str">
        <f ca="1">_xlfn.CONCAT(B7396,A7431)</f>
        <v>266F50B4-ah</v>
      </c>
      <c r="C7431" s="30" t="s">
        <v>29</v>
      </c>
      <c r="D7431" s="186">
        <f>'H-MO'!$N$77</f>
        <v>725918.52892505517</v>
      </c>
      <c r="E7431" s="31">
        <f>+D7431/8</f>
        <v>90739.816115631897</v>
      </c>
      <c r="F7431" s="32">
        <v>1.4</v>
      </c>
      <c r="G7431" s="33">
        <f>+E7431*F7431</f>
        <v>127035.74256188465</v>
      </c>
    </row>
    <row r="7432" spans="1:8">
      <c r="A7432" s="211" t="s">
        <v>518</v>
      </c>
      <c r="B7432" s="216" t="str">
        <f ca="1">_xlfn.CONCAT(B7396,A7432)</f>
        <v>266F50B4-ai</v>
      </c>
      <c r="C7432" s="34" t="s">
        <v>30</v>
      </c>
      <c r="D7432" s="187">
        <f>'H-MO'!$N$86</f>
        <v>685561.39085756091</v>
      </c>
      <c r="E7432" s="29">
        <f>+D7432/8</f>
        <v>85695.173857195114</v>
      </c>
      <c r="F7432" s="28"/>
      <c r="G7432" s="33">
        <f>+E7432*F7432</f>
        <v>0</v>
      </c>
    </row>
    <row r="7433" spans="1:8" ht="14.25" thickBot="1">
      <c r="A7433" s="211" t="s">
        <v>519</v>
      </c>
      <c r="B7433" s="216" t="str">
        <f ca="1">_xlfn.CONCAT(B7396,A7433)</f>
        <v>266F50B4-aj</v>
      </c>
      <c r="C7433" s="34"/>
      <c r="D7433" s="187"/>
      <c r="E7433" s="29"/>
      <c r="F7433" s="28"/>
      <c r="G7433" s="33">
        <f>+E7433*F7433</f>
        <v>0</v>
      </c>
    </row>
    <row r="7434" spans="1:8" ht="14.25" thickBot="1">
      <c r="A7434" s="211" t="s">
        <v>520</v>
      </c>
      <c r="B7434" s="216" t="str">
        <f ca="1">_xlfn.CONCAT(B7396,A7434)</f>
        <v>266F50B4-ak</v>
      </c>
      <c r="C7434" s="34"/>
      <c r="D7434" s="185"/>
      <c r="E7434" s="26"/>
      <c r="F7434" s="36" t="s">
        <v>31</v>
      </c>
      <c r="G7434" s="23">
        <f>SUM(G7431:G7433)</f>
        <v>127035.74256188465</v>
      </c>
    </row>
    <row r="7435" spans="1:8" ht="14.25" thickBot="1">
      <c r="A7435" s="211" t="s">
        <v>521</v>
      </c>
      <c r="B7435" s="216" t="str">
        <f ca="1">_xlfn.CONCAT(B7396,A7435)</f>
        <v>266F50B4-al</v>
      </c>
      <c r="C7435" s="37"/>
      <c r="E7435" s="38"/>
      <c r="F7435" s="22"/>
      <c r="G7435" s="39"/>
    </row>
    <row r="7436" spans="1:8" ht="16.5" thickBot="1">
      <c r="A7436" s="211" t="s">
        <v>522</v>
      </c>
      <c r="B7436" s="216" t="str">
        <f ca="1">_xlfn.CONCAT(B7396,A7436)</f>
        <v>266F50B4-am</v>
      </c>
      <c r="C7436" s="40"/>
      <c r="D7436" s="193"/>
      <c r="E7436" s="41"/>
      <c r="F7436" s="42"/>
      <c r="G7436" s="43">
        <f>+G7419+G7428+G7434</f>
        <v>1871081.5050618846</v>
      </c>
    </row>
    <row r="7437" spans="1:8" ht="14.25" thickBot="1">
      <c r="B7437" s="212" t="s">
        <v>550</v>
      </c>
    </row>
    <row r="7438" spans="1:8" ht="18.75">
      <c r="A7438" s="213"/>
      <c r="B7438" s="214">
        <v>169</v>
      </c>
      <c r="C7438" s="242" t="str">
        <f ca="1">_xlfn.XLOOKUP(B7438,Cantidades!$A$10:$A$314,Cantidades!$C$10:$C$314,,0,1)</f>
        <v>Acometida en cable de Aluminio HFFRLS 2(3x500 +1x500 +1x1/0T) en tuberia PVC 1x4"</v>
      </c>
      <c r="D7438" s="243"/>
      <c r="E7438" s="243"/>
      <c r="F7438" s="243"/>
      <c r="G7438" s="244"/>
      <c r="H7438" s="213"/>
    </row>
    <row r="7439" spans="1:8" ht="19.5" thickBot="1">
      <c r="A7439" s="215"/>
      <c r="B7439" s="216" t="s">
        <v>550</v>
      </c>
      <c r="C7439" s="177"/>
      <c r="D7439" s="189"/>
      <c r="E7439" s="178"/>
      <c r="F7439" s="179" t="s">
        <v>636</v>
      </c>
      <c r="G7439" s="209" t="str">
        <f ca="1">B7440</f>
        <v>135232BA-</v>
      </c>
      <c r="H7439" s="215"/>
    </row>
    <row r="7440" spans="1:8" ht="15.75" thickBot="1">
      <c r="B7440" s="212" t="str">
        <f ca="1">_xlfn.XLOOKUP(C7438,Cantidades!$C$1:$C$314,Cantidades!$B$1:$B$314,"",0,1)</f>
        <v>135232BA-</v>
      </c>
      <c r="C7440" s="10" t="s">
        <v>0</v>
      </c>
      <c r="D7440" s="190"/>
      <c r="E7440" s="11"/>
      <c r="F7440" s="12"/>
      <c r="G7440" s="13"/>
    </row>
    <row r="7441" spans="1:8" ht="14.25" thickBot="1">
      <c r="A7441" s="215"/>
      <c r="B7441" s="216" t="s">
        <v>550</v>
      </c>
      <c r="C7441" s="14" t="s">
        <v>1</v>
      </c>
      <c r="D7441" s="15" t="s">
        <v>2</v>
      </c>
      <c r="E7441" s="15" t="s">
        <v>3</v>
      </c>
      <c r="F7441" s="16" t="s">
        <v>4</v>
      </c>
      <c r="G7441" s="15" t="s">
        <v>5</v>
      </c>
    </row>
    <row r="7442" spans="1:8">
      <c r="A7442" s="211" t="s">
        <v>484</v>
      </c>
      <c r="B7442" s="216" t="str">
        <f ca="1">_xlfn.CONCAT(B7440,A7442)</f>
        <v>135232BA-A</v>
      </c>
      <c r="C7442" s="17" t="str">
        <f>_xlfn.XLOOKUP(H7442,'Materiales unitario'!$A$1:$A$2500,'Materiales unitario'!B$1:B$2500,,0,1)</f>
        <v>Soldadura liquida PVC 1/4 de galón</v>
      </c>
      <c r="D7442" s="184" t="str">
        <f>_xlfn.XLOOKUP(H7442,'Materiales unitario'!A$1:A$2500,'Materiales unitario'!C$1:C$2500,,0,1)</f>
        <v>un</v>
      </c>
      <c r="E7442" s="197">
        <f>_xlfn.XLOOKUP(H7442,'Materiales unitario'!$A$1:$A$2500,'Materiales unitario'!D$1:D$2500,,0,1)</f>
        <v>60900</v>
      </c>
      <c r="F7442" s="19">
        <v>6.0000000000000001E-3</v>
      </c>
      <c r="G7442" s="20">
        <f t="shared" ref="G7442:G7451" si="211">+E7442*F7442</f>
        <v>365.40000000000003</v>
      </c>
      <c r="H7442" s="211" t="s">
        <v>530</v>
      </c>
    </row>
    <row r="7443" spans="1:8">
      <c r="A7443" s="211" t="s">
        <v>485</v>
      </c>
      <c r="B7443" s="216" t="str">
        <f ca="1">_xlfn.CONCAT(B7440,A7443)</f>
        <v>135232BA-B</v>
      </c>
      <c r="C7443" s="17" t="str">
        <f>_xlfn.XLOOKUP(H7443,'Materiales unitario'!$A$1:$A$2500,'Materiales unitario'!B$1:B$2500,,0,1)</f>
        <v>Ducto telef. Y Electric. Corrugado TDP ø4" PVC</v>
      </c>
      <c r="D7443" s="184" t="str">
        <f>_xlfn.XLOOKUP(H7443,'Materiales unitario'!A$1:A$2500,'Materiales unitario'!C$1:C$2500,,0,1)</f>
        <v>ml</v>
      </c>
      <c r="E7443" s="197">
        <f>_xlfn.XLOOKUP(H7443,'Materiales unitario'!$A$1:$A$2500,'Materiales unitario'!D$1:D$2500,,0,1)</f>
        <v>15680</v>
      </c>
      <c r="F7443" s="19">
        <v>1.05</v>
      </c>
      <c r="G7443" s="20">
        <f t="shared" si="211"/>
        <v>16464</v>
      </c>
      <c r="H7443" s="211" t="s">
        <v>316</v>
      </c>
    </row>
    <row r="7444" spans="1:8">
      <c r="A7444" s="211" t="s">
        <v>486</v>
      </c>
      <c r="B7444" s="216" t="str">
        <f ca="1">_xlfn.CONCAT(B7440,A7444)</f>
        <v>135232BA-C</v>
      </c>
      <c r="C7444" s="17" t="str">
        <f>_xlfn.XLOOKUP(H7444,'Materiales unitario'!$A$1:$A$2500,'Materiales unitario'!B$1:B$2500,,0,1)</f>
        <v>Campana terminal ducto ø4" PVC</v>
      </c>
      <c r="D7444" s="184" t="str">
        <f>_xlfn.XLOOKUP(H7444,'Materiales unitario'!A$1:A$2500,'Materiales unitario'!C$1:C$2500,,0,1)</f>
        <v>un</v>
      </c>
      <c r="E7444" s="197">
        <f>_xlfn.XLOOKUP(H7444,'Materiales unitario'!$A$1:$A$2500,'Materiales unitario'!D$1:D$2500,,0,1)</f>
        <v>8388.6</v>
      </c>
      <c r="F7444" s="19">
        <v>6.6666666666666666E-2</v>
      </c>
      <c r="G7444" s="20">
        <f t="shared" si="211"/>
        <v>559.24</v>
      </c>
      <c r="H7444" s="211" t="s">
        <v>287</v>
      </c>
    </row>
    <row r="7445" spans="1:8">
      <c r="A7445" s="211" t="s">
        <v>487</v>
      </c>
      <c r="B7445" s="216" t="str">
        <f ca="1">_xlfn.CONCAT(B7440,A7445)</f>
        <v>135232BA-D</v>
      </c>
      <c r="C7445" s="17" t="str">
        <f>_xlfn.XLOOKUP(H7445,'Materiales unitario'!$A$1:$A$2500,'Materiales unitario'!B$1:B$2500,,0,1)</f>
        <v>Curva PVC ø4" para ducto DB</v>
      </c>
      <c r="D7445" s="184" t="str">
        <f>_xlfn.XLOOKUP(H7445,'Materiales unitario'!A$1:A$2500,'Materiales unitario'!C$1:C$2500,,0,1)</f>
        <v>un</v>
      </c>
      <c r="E7445" s="197">
        <f>_xlfn.XLOOKUP(H7445,'Materiales unitario'!$A$1:$A$2500,'Materiales unitario'!D$1:D$2500,,0,1)</f>
        <v>28560</v>
      </c>
      <c r="F7445" s="19">
        <v>6.6666666666666666E-2</v>
      </c>
      <c r="G7445" s="20">
        <f t="shared" si="211"/>
        <v>1904</v>
      </c>
      <c r="H7445" s="211" t="s">
        <v>312</v>
      </c>
    </row>
    <row r="7446" spans="1:8">
      <c r="A7446" s="211" t="s">
        <v>488</v>
      </c>
      <c r="B7446" s="216" t="str">
        <f ca="1">_xlfn.CONCAT(B7440,A7446)</f>
        <v>135232BA-E</v>
      </c>
      <c r="C7446" s="17" t="str">
        <f>_xlfn.XLOOKUP(H7446,'Materiales unitario'!$A$1:$A$2500,'Materiales unitario'!B$1:B$2500,,0,1)</f>
        <v>Cable de Aluminio aislado #500 mcm - THHN/THWN</v>
      </c>
      <c r="D7446" s="184" t="str">
        <f>_xlfn.XLOOKUP(H7446,'Materiales unitario'!A$1:A$2500,'Materiales unitario'!C$1:C$2500,,0,1)</f>
        <v>ml</v>
      </c>
      <c r="E7446" s="197">
        <f>_xlfn.XLOOKUP(H7446,'Materiales unitario'!$A$1:$A$2500,'Materiales unitario'!D$1:D$2500,,0,1)</f>
        <v>31600</v>
      </c>
      <c r="F7446" s="19">
        <v>8.4</v>
      </c>
      <c r="G7446" s="20">
        <f t="shared" si="211"/>
        <v>265440</v>
      </c>
      <c r="H7446" s="211" t="s">
        <v>1407</v>
      </c>
    </row>
    <row r="7447" spans="1:8">
      <c r="A7447" s="211" t="s">
        <v>489</v>
      </c>
      <c r="B7447" s="216" t="str">
        <f ca="1">_xlfn.CONCAT(B7440,A7447)</f>
        <v>135232BA-F</v>
      </c>
      <c r="C7447" s="17" t="str">
        <f>_xlfn.XLOOKUP(H7447,'Materiales unitario'!$A$1:$A$2500,'Materiales unitario'!B$1:B$2500,,0,1)</f>
        <v>Cable de Aluminio aislado #1/0 AWG - THHN/THWN</v>
      </c>
      <c r="D7447" s="184" t="str">
        <f>_xlfn.XLOOKUP(H7447,'Materiales unitario'!A$1:A$2500,'Materiales unitario'!C$1:C$2500,,0,1)</f>
        <v>ml</v>
      </c>
      <c r="E7447" s="197">
        <f>_xlfn.XLOOKUP(H7447,'Materiales unitario'!$A$1:$A$2500,'Materiales unitario'!D$1:D$2500,,0,1)</f>
        <v>9758</v>
      </c>
      <c r="F7447" s="19">
        <v>2.1</v>
      </c>
      <c r="G7447" s="20">
        <f t="shared" si="211"/>
        <v>20491.8</v>
      </c>
      <c r="H7447" s="211" t="s">
        <v>257</v>
      </c>
    </row>
    <row r="7448" spans="1:8">
      <c r="A7448" s="211" t="s">
        <v>490</v>
      </c>
      <c r="B7448" s="216" t="str">
        <f ca="1">_xlfn.CONCAT(B7440,A7448)</f>
        <v>135232BA-G</v>
      </c>
      <c r="C7448" s="17" t="str">
        <f>_xlfn.XLOOKUP(H7448,'Materiales unitario'!$A$1:$A$2500,'Materiales unitario'!B$1:B$2500,,0,1)</f>
        <v>Borna bimetálica de ojo tipo pala #500 MCM</v>
      </c>
      <c r="D7448" s="184" t="str">
        <f>_xlfn.XLOOKUP(H7448,'Materiales unitario'!A$1:A$2500,'Materiales unitario'!C$1:C$2500,,0,1)</f>
        <v>un</v>
      </c>
      <c r="E7448" s="197">
        <f>_xlfn.XLOOKUP(H7448,'Materiales unitario'!$A$1:$A$2500,'Materiales unitario'!D$1:D$2500,,0,1)</f>
        <v>42100</v>
      </c>
      <c r="F7448" s="19">
        <v>0.5</v>
      </c>
      <c r="G7448" s="20">
        <f t="shared" si="211"/>
        <v>21050</v>
      </c>
      <c r="H7448" s="211" t="s">
        <v>1409</v>
      </c>
    </row>
    <row r="7449" spans="1:8">
      <c r="A7449" s="211" t="s">
        <v>491</v>
      </c>
      <c r="B7449" s="216" t="str">
        <f ca="1">_xlfn.CONCAT(B7440,A7449)</f>
        <v>135232BA-H</v>
      </c>
      <c r="C7449" s="17" t="str">
        <f>_xlfn.XLOOKUP(H7449,'Materiales unitario'!$A$1:$A$2500,'Materiales unitario'!B$1:B$2500,,0,1)</f>
        <v>Borna bimetálica de ojo tipo pala #1/0 AWG</v>
      </c>
      <c r="D7449" s="184" t="str">
        <f>_xlfn.XLOOKUP(H7449,'Materiales unitario'!A$1:A$2500,'Materiales unitario'!C$1:C$2500,,0,1)</f>
        <v>un</v>
      </c>
      <c r="E7449" s="197">
        <f>_xlfn.XLOOKUP(H7449,'Materiales unitario'!$A$1:$A$2500,'Materiales unitario'!D$1:D$2500,,0,1)</f>
        <v>8925</v>
      </c>
      <c r="F7449" s="19">
        <v>0.125</v>
      </c>
      <c r="G7449" s="20">
        <f t="shared" si="211"/>
        <v>1115.625</v>
      </c>
      <c r="H7449" s="211" t="s">
        <v>242</v>
      </c>
    </row>
    <row r="7450" spans="1:8">
      <c r="A7450" s="211" t="s">
        <v>492</v>
      </c>
      <c r="B7450" s="216" t="str">
        <f ca="1">_xlfn.CONCAT(B7440,A7450)</f>
        <v>135232BA-I</v>
      </c>
      <c r="C7450" s="17" t="str">
        <f>_xlfn.XLOOKUP(H7450,'Materiales unitario'!$A$1:$A$2500,'Materiales unitario'!B$1:B$2500,,0,1)</f>
        <v>Termoencogible</v>
      </c>
      <c r="D7450" s="184" t="str">
        <f>_xlfn.XLOOKUP(H7450,'Materiales unitario'!A$1:A$2500,'Materiales unitario'!C$1:C$2500,,0,1)</f>
        <v>un</v>
      </c>
      <c r="E7450" s="197">
        <f>_xlfn.XLOOKUP(H7450,'Materiales unitario'!$A$1:$A$2500,'Materiales unitario'!D$1:D$2500,,0,1)</f>
        <v>5000</v>
      </c>
      <c r="F7450" s="19">
        <v>0.3</v>
      </c>
      <c r="G7450" s="20">
        <f t="shared" si="211"/>
        <v>1500</v>
      </c>
      <c r="H7450" s="211" t="s">
        <v>373</v>
      </c>
    </row>
    <row r="7451" spans="1:8">
      <c r="A7451" s="211" t="s">
        <v>493</v>
      </c>
      <c r="B7451" s="216" t="str">
        <f ca="1">_xlfn.CONCAT(B7440,A7451)</f>
        <v>135232BA-J</v>
      </c>
      <c r="C7451" s="17" t="str">
        <f>_xlfn.XLOOKUP(H7451,'Materiales unitario'!$A$1:$A$2500,'Materiales unitario'!B$1:B$2500,,0,1)</f>
        <v>Cinta aislante Super #33 x 20 mts</v>
      </c>
      <c r="D7451" s="184" t="str">
        <f>_xlfn.XLOOKUP(H7451,'Materiales unitario'!A$1:A$2500,'Materiales unitario'!C$1:C$2500,,0,1)</f>
        <v>rl</v>
      </c>
      <c r="E7451" s="197">
        <f>_xlfn.XLOOKUP(H7451,'Materiales unitario'!$A$1:$A$2500,'Materiales unitario'!D$1:D$2500,,0,1)</f>
        <v>23650.000000000004</v>
      </c>
      <c r="F7451" s="19">
        <v>0.05</v>
      </c>
      <c r="G7451" s="20">
        <f t="shared" si="211"/>
        <v>1182.5000000000002</v>
      </c>
      <c r="H7451" s="211" t="s">
        <v>296</v>
      </c>
    </row>
    <row r="7452" spans="1:8">
      <c r="A7452" s="211" t="s">
        <v>494</v>
      </c>
      <c r="B7452" s="216" t="str">
        <f ca="1">_xlfn.CONCAT(B7440,A7452)</f>
        <v>135232BA-K</v>
      </c>
      <c r="C7452" s="17"/>
      <c r="D7452" s="184"/>
      <c r="E7452" s="197"/>
      <c r="F7452" s="19"/>
      <c r="G7452" s="20"/>
    </row>
    <row r="7453" spans="1:8">
      <c r="A7453" s="211" t="s">
        <v>495</v>
      </c>
      <c r="B7453" s="216" t="str">
        <f ca="1">_xlfn.CONCAT(B7440,A7453)</f>
        <v>135232BA-L</v>
      </c>
      <c r="C7453" s="17"/>
      <c r="D7453" s="184"/>
      <c r="E7453" s="197"/>
      <c r="F7453" s="19"/>
      <c r="G7453" s="20"/>
    </row>
    <row r="7454" spans="1:8">
      <c r="A7454" s="211" t="s">
        <v>496</v>
      </c>
      <c r="B7454" s="216" t="str">
        <f ca="1">_xlfn.CONCAT(B7440,A7454)</f>
        <v>135232BA-M</v>
      </c>
      <c r="C7454" s="17"/>
      <c r="D7454" s="184"/>
      <c r="E7454" s="197"/>
      <c r="F7454" s="19"/>
      <c r="G7454" s="20"/>
    </row>
    <row r="7455" spans="1:8">
      <c r="A7455" s="211" t="s">
        <v>497</v>
      </c>
      <c r="B7455" s="216" t="str">
        <f ca="1">_xlfn.CONCAT(B7440,A7455)</f>
        <v>135232BA-N</v>
      </c>
      <c r="C7455" s="17"/>
      <c r="D7455" s="184"/>
      <c r="E7455" s="197"/>
      <c r="F7455" s="19"/>
      <c r="G7455" s="20"/>
    </row>
    <row r="7456" spans="1:8">
      <c r="A7456" s="211" t="s">
        <v>498</v>
      </c>
      <c r="B7456" s="216" t="str">
        <f ca="1">_xlfn.CONCAT(B7440,A7456)</f>
        <v>135232BA-O</v>
      </c>
      <c r="C7456" s="17"/>
      <c r="D7456" s="184"/>
      <c r="E7456" s="197"/>
      <c r="F7456" s="19"/>
      <c r="G7456" s="20"/>
    </row>
    <row r="7457" spans="1:8">
      <c r="A7457" s="211" t="s">
        <v>499</v>
      </c>
      <c r="B7457" s="216" t="str">
        <f ca="1">_xlfn.CONCAT(B7440,A7457)</f>
        <v>135232BA-P</v>
      </c>
      <c r="C7457" s="17"/>
      <c r="D7457" s="184"/>
      <c r="E7457" s="197"/>
      <c r="F7457" s="19"/>
      <c r="G7457" s="20"/>
    </row>
    <row r="7458" spans="1:8">
      <c r="A7458" s="211" t="s">
        <v>500</v>
      </c>
      <c r="B7458" s="216" t="str">
        <f ca="1">_xlfn.CONCAT(B7440,A7458)</f>
        <v>135232BA-Q</v>
      </c>
      <c r="C7458" s="17"/>
      <c r="D7458" s="184"/>
      <c r="E7458" s="197"/>
      <c r="F7458" s="19"/>
      <c r="G7458" s="20"/>
    </row>
    <row r="7459" spans="1:8">
      <c r="A7459" s="211" t="s">
        <v>501</v>
      </c>
      <c r="B7459" s="216" t="str">
        <f ca="1">_xlfn.CONCAT(B7440,A7459)</f>
        <v>135232BA-R</v>
      </c>
      <c r="C7459" s="17"/>
      <c r="D7459" s="184"/>
      <c r="E7459" s="197"/>
      <c r="F7459" s="19"/>
      <c r="G7459" s="20"/>
    </row>
    <row r="7460" spans="1:8">
      <c r="A7460" s="211" t="s">
        <v>502</v>
      </c>
      <c r="B7460" s="216" t="str">
        <f ca="1">_xlfn.CONCAT(B7440,A7460)</f>
        <v>135232BA-S</v>
      </c>
      <c r="C7460" s="17"/>
      <c r="D7460" s="184"/>
      <c r="E7460" s="197"/>
      <c r="F7460" s="19"/>
      <c r="G7460" s="20"/>
    </row>
    <row r="7461" spans="1:8">
      <c r="A7461" s="211" t="s">
        <v>503</v>
      </c>
      <c r="B7461" s="216" t="str">
        <f ca="1">_xlfn.CONCAT(B7440,A7461)</f>
        <v>135232BA-T</v>
      </c>
      <c r="C7461" s="17"/>
      <c r="D7461" s="184"/>
      <c r="E7461" s="197"/>
      <c r="F7461" s="19"/>
      <c r="G7461" s="20"/>
    </row>
    <row r="7462" spans="1:8" ht="14.25" thickBot="1">
      <c r="A7462" s="211" t="s">
        <v>504</v>
      </c>
      <c r="B7462" s="216" t="str">
        <f ca="1">_xlfn.CONCAT(B7440,A7462)</f>
        <v>135232BA-U</v>
      </c>
      <c r="C7462" s="17"/>
      <c r="D7462" s="184"/>
      <c r="E7462" s="197"/>
      <c r="F7462" s="19"/>
      <c r="G7462" s="20"/>
    </row>
    <row r="7463" spans="1:8" ht="14.25" thickBot="1">
      <c r="A7463" s="211" t="s">
        <v>505</v>
      </c>
      <c r="B7463" s="216" t="str">
        <f ca="1">_xlfn.CONCAT(B7440,A7463)</f>
        <v>135232BA-V</v>
      </c>
      <c r="C7463" s="17" t="s">
        <v>17</v>
      </c>
      <c r="D7463" s="192" t="s">
        <v>17</v>
      </c>
      <c r="E7463" s="18"/>
      <c r="F7463" s="22" t="s">
        <v>18</v>
      </c>
      <c r="G7463" s="23">
        <f>SUM(G7442:G7462)</f>
        <v>330072.565</v>
      </c>
    </row>
    <row r="7464" spans="1:8" ht="15.75" thickBot="1">
      <c r="A7464" s="211" t="s">
        <v>506</v>
      </c>
      <c r="B7464" s="216" t="str">
        <f ca="1">_xlfn.CONCAT(B7440,A7464)</f>
        <v>135232BA-W</v>
      </c>
      <c r="C7464" s="10" t="s">
        <v>19</v>
      </c>
      <c r="D7464" s="190"/>
      <c r="E7464" s="11"/>
      <c r="F7464" s="12"/>
      <c r="G7464" s="13"/>
    </row>
    <row r="7465" spans="1:8" ht="14.25" thickBot="1">
      <c r="A7465" s="211" t="s">
        <v>507</v>
      </c>
      <c r="B7465" s="216" t="str">
        <f ca="1">_xlfn.CONCAT(B7440,A7465)</f>
        <v>135232BA-X</v>
      </c>
      <c r="C7465" s="14" t="s">
        <v>1</v>
      </c>
      <c r="D7465" s="15"/>
      <c r="E7465" s="15" t="s">
        <v>20</v>
      </c>
      <c r="F7465" s="16" t="s">
        <v>21</v>
      </c>
      <c r="G7465" s="15" t="s">
        <v>5</v>
      </c>
      <c r="H7465" s="215"/>
    </row>
    <row r="7466" spans="1:8">
      <c r="A7466" s="211" t="s">
        <v>508</v>
      </c>
      <c r="B7466" s="216" t="str">
        <f ca="1">_xlfn.CONCAT(B7440,A7466)</f>
        <v>135232BA-Y</v>
      </c>
      <c r="C7466" s="24" t="s">
        <v>22</v>
      </c>
      <c r="D7466" s="184"/>
      <c r="E7466" s="25">
        <f>_xlfn.XLOOKUP(C7466,'H-MO'!B$7:B$30,'H-MO'!D$7:D$30,,0,1)</f>
        <v>2436.5624999999995</v>
      </c>
      <c r="F7466" s="19">
        <v>0.3</v>
      </c>
      <c r="G7466" s="33">
        <f t="shared" ref="G7466:G7471" si="212">+E7466*F7466</f>
        <v>730.96874999999989</v>
      </c>
    </row>
    <row r="7467" spans="1:8">
      <c r="A7467" s="211" t="s">
        <v>509</v>
      </c>
      <c r="B7467" s="216" t="str">
        <f ca="1">_xlfn.CONCAT(B7440,A7467)</f>
        <v>135232BA-Z</v>
      </c>
      <c r="C7467" s="24" t="s">
        <v>23</v>
      </c>
      <c r="D7467" s="184"/>
      <c r="E7467" s="25">
        <f>_xlfn.XLOOKUP(C7467,'H-MO'!B$7:B$30,'H-MO'!D$7:D$30,,0,1)</f>
        <v>1461.9374999999998</v>
      </c>
      <c r="F7467" s="19">
        <v>1</v>
      </c>
      <c r="G7467" s="33">
        <f t="shared" si="212"/>
        <v>1461.9374999999998</v>
      </c>
    </row>
    <row r="7468" spans="1:8">
      <c r="A7468" s="211" t="s">
        <v>510</v>
      </c>
      <c r="B7468" s="216" t="str">
        <f ca="1">_xlfn.CONCAT(B7440,A7468)</f>
        <v>135232BA-aa</v>
      </c>
      <c r="C7468" s="24" t="s">
        <v>24</v>
      </c>
      <c r="D7468" s="185"/>
      <c r="E7468" s="25">
        <f>_xlfn.XLOOKUP(C7468,'H-MO'!B$7:B$30,'H-MO'!D$7:D$30,,0,1)</f>
        <v>29238.749999999996</v>
      </c>
      <c r="F7468" s="28">
        <v>0.2</v>
      </c>
      <c r="G7468" s="33">
        <f t="shared" si="212"/>
        <v>5847.75</v>
      </c>
    </row>
    <row r="7469" spans="1:8">
      <c r="A7469" s="211" t="s">
        <v>511</v>
      </c>
      <c r="B7469" s="216" t="str">
        <f ca="1">_xlfn.CONCAT(B7440,A7469)</f>
        <v>135232BA-ab</v>
      </c>
      <c r="C7469" s="24" t="s">
        <v>25</v>
      </c>
      <c r="D7469" s="185"/>
      <c r="E7469" s="25">
        <f>_xlfn.XLOOKUP(C7469,'H-MO'!B$7:B$30,'H-MO'!D$7:D$30,,0,1)</f>
        <v>2761.4374999999995</v>
      </c>
      <c r="F7469" s="28">
        <v>0.3</v>
      </c>
      <c r="G7469" s="33">
        <f t="shared" si="212"/>
        <v>828.43124999999986</v>
      </c>
    </row>
    <row r="7470" spans="1:8">
      <c r="A7470" s="211" t="s">
        <v>512</v>
      </c>
      <c r="B7470" s="216" t="str">
        <f ca="1">_xlfn.CONCAT(B7440,A7470)</f>
        <v>135232BA-ac</v>
      </c>
      <c r="C7470" s="24"/>
      <c r="D7470" s="185"/>
      <c r="E7470" s="29"/>
      <c r="F7470" s="28">
        <v>0</v>
      </c>
      <c r="G7470" s="33">
        <f t="shared" si="212"/>
        <v>0</v>
      </c>
    </row>
    <row r="7471" spans="1:8" ht="14.25" thickBot="1">
      <c r="A7471" s="211" t="s">
        <v>513</v>
      </c>
      <c r="B7471" s="216" t="str">
        <f ca="1">_xlfn.CONCAT(B7440,A7471)</f>
        <v>135232BA-ad</v>
      </c>
      <c r="C7471" s="24"/>
      <c r="D7471" s="185"/>
      <c r="E7471" s="29"/>
      <c r="F7471" s="28">
        <v>0</v>
      </c>
      <c r="G7471" s="33">
        <f t="shared" si="212"/>
        <v>0</v>
      </c>
    </row>
    <row r="7472" spans="1:8" ht="14.25" thickBot="1">
      <c r="A7472" s="211" t="s">
        <v>514</v>
      </c>
      <c r="B7472" s="216" t="str">
        <f ca="1">_xlfn.CONCAT(B7440,A7472)</f>
        <v>135232BA-ae</v>
      </c>
      <c r="C7472" s="17"/>
      <c r="D7472" s="192"/>
      <c r="E7472" s="18"/>
      <c r="F7472" s="22" t="s">
        <v>26</v>
      </c>
      <c r="G7472" s="23">
        <f>SUM(G7466:G7471)</f>
        <v>8869.0874999999996</v>
      </c>
    </row>
    <row r="7473" spans="1:8" ht="15.75" thickBot="1">
      <c r="A7473" s="211" t="s">
        <v>515</v>
      </c>
      <c r="B7473" s="216" t="str">
        <f ca="1">_xlfn.CONCAT(B7440,A7473)</f>
        <v>135232BA-af</v>
      </c>
      <c r="C7473" s="10" t="s">
        <v>27</v>
      </c>
      <c r="D7473" s="190"/>
      <c r="E7473" s="11"/>
      <c r="F7473" s="12"/>
      <c r="G7473" s="13"/>
    </row>
    <row r="7474" spans="1:8" ht="14.25" thickBot="1">
      <c r="A7474" s="211" t="s">
        <v>516</v>
      </c>
      <c r="B7474" s="216" t="str">
        <f ca="1">_xlfn.CONCAT(B7440,A7474)</f>
        <v>135232BA-ag</v>
      </c>
      <c r="C7474" s="14" t="s">
        <v>1</v>
      </c>
      <c r="D7474" s="15" t="s">
        <v>28</v>
      </c>
      <c r="E7474" s="15" t="s">
        <v>20</v>
      </c>
      <c r="F7474" s="16" t="s">
        <v>21</v>
      </c>
      <c r="G7474" s="15" t="s">
        <v>5</v>
      </c>
      <c r="H7474" s="215"/>
    </row>
    <row r="7475" spans="1:8">
      <c r="A7475" s="211" t="s">
        <v>517</v>
      </c>
      <c r="B7475" s="216" t="str">
        <f ca="1">_xlfn.CONCAT(B7440,A7475)</f>
        <v>135232BA-ah</v>
      </c>
      <c r="C7475" s="30" t="s">
        <v>29</v>
      </c>
      <c r="D7475" s="186">
        <f>'H-MO'!$N$77</f>
        <v>725918.52892505517</v>
      </c>
      <c r="E7475" s="31">
        <f>+D7475/8</f>
        <v>90739.816115631897</v>
      </c>
      <c r="F7475" s="32">
        <v>2.35</v>
      </c>
      <c r="G7475" s="33">
        <f>+E7475*F7475</f>
        <v>213238.56787173497</v>
      </c>
    </row>
    <row r="7476" spans="1:8">
      <c r="A7476" s="211" t="s">
        <v>518</v>
      </c>
      <c r="B7476" s="216" t="str">
        <f ca="1">_xlfn.CONCAT(B7440,A7476)</f>
        <v>135232BA-ai</v>
      </c>
      <c r="C7476" s="34" t="s">
        <v>30</v>
      </c>
      <c r="D7476" s="187">
        <f>'H-MO'!$N$86</f>
        <v>685561.39085756091</v>
      </c>
      <c r="E7476" s="29">
        <f>+D7476/8</f>
        <v>85695.173857195114</v>
      </c>
      <c r="F7476" s="28">
        <v>0.3</v>
      </c>
      <c r="G7476" s="33">
        <f>+E7476*F7476</f>
        <v>25708.552157158534</v>
      </c>
    </row>
    <row r="7477" spans="1:8" ht="14.25" thickBot="1">
      <c r="A7477" s="211" t="s">
        <v>519</v>
      </c>
      <c r="B7477" s="216" t="str">
        <f ca="1">_xlfn.CONCAT(B7440,A7477)</f>
        <v>135232BA-aj</v>
      </c>
      <c r="C7477" s="34"/>
      <c r="D7477" s="187"/>
      <c r="E7477" s="29"/>
      <c r="F7477" s="28">
        <v>0</v>
      </c>
      <c r="G7477" s="33">
        <f>+E7477*F7477</f>
        <v>0</v>
      </c>
    </row>
    <row r="7478" spans="1:8" ht="14.25" thickBot="1">
      <c r="A7478" s="211" t="s">
        <v>520</v>
      </c>
      <c r="B7478" s="216" t="str">
        <f ca="1">_xlfn.CONCAT(B7440,A7478)</f>
        <v>135232BA-ak</v>
      </c>
      <c r="C7478" s="34"/>
      <c r="D7478" s="185"/>
      <c r="E7478" s="26"/>
      <c r="F7478" s="36" t="s">
        <v>31</v>
      </c>
      <c r="G7478" s="23">
        <f>SUM(G7475:G7477)</f>
        <v>238947.12002889349</v>
      </c>
    </row>
    <row r="7479" spans="1:8" ht="14.25" thickBot="1">
      <c r="A7479" s="211" t="s">
        <v>521</v>
      </c>
      <c r="B7479" s="216" t="str">
        <f ca="1">_xlfn.CONCAT(B7440,A7479)</f>
        <v>135232BA-al</v>
      </c>
      <c r="C7479" s="37"/>
      <c r="E7479" s="38"/>
      <c r="F7479" s="22"/>
      <c r="G7479" s="39"/>
    </row>
    <row r="7480" spans="1:8" ht="16.5" thickBot="1">
      <c r="A7480" s="211" t="s">
        <v>522</v>
      </c>
      <c r="B7480" s="216" t="str">
        <f ca="1">_xlfn.CONCAT(B7440,A7480)</f>
        <v>135232BA-am</v>
      </c>
      <c r="C7480" s="40"/>
      <c r="D7480" s="193"/>
      <c r="E7480" s="41"/>
      <c r="F7480" s="42"/>
      <c r="G7480" s="43">
        <f>+G7463+G7472+G7478</f>
        <v>577888.77252889355</v>
      </c>
    </row>
    <row r="7481" spans="1:8" ht="21.75" thickBot="1">
      <c r="B7481" s="212" t="s">
        <v>550</v>
      </c>
      <c r="C7481" s="2"/>
      <c r="D7481" s="183"/>
      <c r="F7481" s="4"/>
      <c r="G7481" s="5"/>
    </row>
    <row r="7482" spans="1:8" ht="18.75">
      <c r="A7482" s="213"/>
      <c r="B7482" s="214">
        <v>170</v>
      </c>
      <c r="C7482" s="242" t="str">
        <f ca="1">_xlfn.XLOOKUP(B7482,Cantidades!$A$10:$A$314,Cantidades!$C$10:$C$314,,0,1)</f>
        <v>Suministro e instalación de acometida en cable de cobre  3#4/0 + 1#4/0 + 1#4T AWG THHN/THWN-2, 90°C, TC 600V.</v>
      </c>
      <c r="D7482" s="243"/>
      <c r="E7482" s="243"/>
      <c r="F7482" s="243"/>
      <c r="G7482" s="244"/>
      <c r="H7482" s="213"/>
    </row>
    <row r="7483" spans="1:8" ht="19.5" thickBot="1">
      <c r="A7483" s="215"/>
      <c r="B7483" s="216" t="s">
        <v>550</v>
      </c>
      <c r="C7483" s="177"/>
      <c r="D7483" s="189"/>
      <c r="E7483" s="178"/>
      <c r="F7483" s="179" t="s">
        <v>636</v>
      </c>
      <c r="G7483" s="209" t="str">
        <f ca="1">B7484</f>
        <v>2EE83F04-</v>
      </c>
      <c r="H7483" s="215"/>
    </row>
    <row r="7484" spans="1:8" ht="15.75" thickBot="1">
      <c r="B7484" s="212" t="str">
        <f ca="1">_xlfn.XLOOKUP(C7482,Cantidades!$C$1:$C$314,Cantidades!$B$1:$B$314,"",0,1)</f>
        <v>2EE83F04-</v>
      </c>
      <c r="C7484" s="10" t="s">
        <v>0</v>
      </c>
      <c r="D7484" s="190"/>
      <c r="E7484" s="11"/>
      <c r="F7484" s="12"/>
      <c r="G7484" s="13"/>
    </row>
    <row r="7485" spans="1:8" ht="14.25" thickBot="1">
      <c r="A7485" s="215"/>
      <c r="B7485" s="216" t="s">
        <v>550</v>
      </c>
      <c r="C7485" s="14" t="s">
        <v>1</v>
      </c>
      <c r="D7485" s="15" t="s">
        <v>2</v>
      </c>
      <c r="E7485" s="15" t="s">
        <v>3</v>
      </c>
      <c r="F7485" s="16" t="s">
        <v>4</v>
      </c>
      <c r="G7485" s="15" t="s">
        <v>5</v>
      </c>
      <c r="H7485" s="215"/>
    </row>
    <row r="7486" spans="1:8" ht="15">
      <c r="A7486" s="211" t="s">
        <v>484</v>
      </c>
      <c r="B7486" s="216" t="str">
        <f ca="1">_xlfn.CONCAT(B7484,A7486)</f>
        <v>2EE83F04-A</v>
      </c>
      <c r="C7486" s="17" t="str">
        <f>_xlfn.XLOOKUP(H7486,'Materiales unitario'!$A$1:$A$2500,'Materiales unitario'!B$1:B$2500,,0,1)</f>
        <v>Cinta aislante Super #33 x 20 mts</v>
      </c>
      <c r="D7486" s="184" t="str">
        <f>_xlfn.XLOOKUP(H7486,'Materiales unitario'!A$1:A$2500,'Materiales unitario'!C$1:C$2500,,0,1)</f>
        <v>rl</v>
      </c>
      <c r="E7486" s="197">
        <f>_xlfn.XLOOKUP(H7486,'Materiales unitario'!$A$1:$A$2500,'Materiales unitario'!D$1:D$2500,,0,1)</f>
        <v>23650.000000000004</v>
      </c>
      <c r="F7486" s="19">
        <v>0.05</v>
      </c>
      <c r="G7486" s="20">
        <f t="shared" ref="G7486:G7491" si="213">+E7486*F7486</f>
        <v>1182.5000000000002</v>
      </c>
      <c r="H7486" s="217" t="s">
        <v>296</v>
      </c>
    </row>
    <row r="7487" spans="1:8" ht="15">
      <c r="A7487" s="211" t="s">
        <v>485</v>
      </c>
      <c r="B7487" s="216" t="str">
        <f ca="1">_xlfn.CONCAT(B7484,A7487)</f>
        <v>2EE83F04-B</v>
      </c>
      <c r="C7487" s="17" t="str">
        <f>_xlfn.XLOOKUP(H7487,'Materiales unitario'!$A$1:$A$2500,'Materiales unitario'!B$1:B$2500,,0,1)</f>
        <v>Cable de cobre aislado #4/0 AWG-THHN/THWN Color negro</v>
      </c>
      <c r="D7487" s="184" t="str">
        <f>_xlfn.XLOOKUP(H7487,'Materiales unitario'!A$1:A$2500,'Materiales unitario'!C$1:C$2500,,0,1)</f>
        <v>ml</v>
      </c>
      <c r="E7487" s="197">
        <f>_xlfn.XLOOKUP(H7487,'Materiales unitario'!$A$1:$A$2500,'Materiales unitario'!D$1:D$2500,,0,1)</f>
        <v>72830</v>
      </c>
      <c r="F7487" s="19">
        <v>4.2</v>
      </c>
      <c r="G7487" s="20">
        <f t="shared" si="213"/>
        <v>305886</v>
      </c>
      <c r="H7487" s="217" t="s">
        <v>272</v>
      </c>
    </row>
    <row r="7488" spans="1:8" ht="15">
      <c r="A7488" s="211" t="s">
        <v>486</v>
      </c>
      <c r="B7488" s="216" t="str">
        <f ca="1">_xlfn.CONCAT(B7484,A7488)</f>
        <v>2EE83F04-C</v>
      </c>
      <c r="C7488" s="17" t="str">
        <f>_xlfn.XLOOKUP(H7488,'Materiales unitario'!$A$1:$A$2500,'Materiales unitario'!B$1:B$2500,,0,1)</f>
        <v>Cable de cobre aislado #4 AWG-THHN/THWN Color negro</v>
      </c>
      <c r="D7488" s="184" t="str">
        <f>_xlfn.XLOOKUP(H7488,'Materiales unitario'!A$1:A$2500,'Materiales unitario'!C$1:C$2500,,0,1)</f>
        <v>ml</v>
      </c>
      <c r="E7488" s="197">
        <f>_xlfn.XLOOKUP(H7488,'Materiales unitario'!$A$1:$A$2500,'Materiales unitario'!D$1:D$2500,,0,1)</f>
        <v>16320</v>
      </c>
      <c r="F7488" s="19">
        <v>1.05</v>
      </c>
      <c r="G7488" s="20">
        <f t="shared" si="213"/>
        <v>17136</v>
      </c>
      <c r="H7488" s="217" t="s">
        <v>271</v>
      </c>
    </row>
    <row r="7489" spans="1:8" ht="15">
      <c r="A7489" s="211" t="s">
        <v>487</v>
      </c>
      <c r="B7489" s="216" t="str">
        <f ca="1">_xlfn.CONCAT(B7484,A7489)</f>
        <v>2EE83F04-D</v>
      </c>
      <c r="C7489" s="17" t="str">
        <f>_xlfn.XLOOKUP(H7489,'Materiales unitario'!$A$1:$A$2500,'Materiales unitario'!B$1:B$2500,,0,1)</f>
        <v>Borna terminal estañada  de ojo tipo pala #4/0 AWG</v>
      </c>
      <c r="D7489" s="184" t="str">
        <f>_xlfn.XLOOKUP(H7489,'Materiales unitario'!A$1:A$2500,'Materiales unitario'!C$1:C$2500,,0,1)</f>
        <v>un</v>
      </c>
      <c r="E7489" s="197">
        <f>_xlfn.XLOOKUP(H7489,'Materiales unitario'!$A$1:$A$2500,'Materiales unitario'!D$1:D$2500,,0,1)</f>
        <v>9430</v>
      </c>
      <c r="F7489" s="19">
        <v>0.4</v>
      </c>
      <c r="G7489" s="20">
        <f t="shared" si="213"/>
        <v>3772</v>
      </c>
      <c r="H7489" s="217" t="s">
        <v>250</v>
      </c>
    </row>
    <row r="7490" spans="1:8" ht="15">
      <c r="A7490" s="211" t="s">
        <v>488</v>
      </c>
      <c r="B7490" s="216" t="str">
        <f ca="1">_xlfn.CONCAT(B7484,A7490)</f>
        <v>2EE83F04-E</v>
      </c>
      <c r="C7490" s="17" t="str">
        <f>_xlfn.XLOOKUP(H7490,'Materiales unitario'!$A$1:$A$2500,'Materiales unitario'!B$1:B$2500,,0,1)</f>
        <v>Borna terminal estañada de ojo tipo pala #4 AWG</v>
      </c>
      <c r="D7490" s="184" t="str">
        <f>_xlfn.XLOOKUP(H7490,'Materiales unitario'!A$1:A$2500,'Materiales unitario'!C$1:C$2500,,0,1)</f>
        <v>un</v>
      </c>
      <c r="E7490" s="197">
        <f>_xlfn.XLOOKUP(H7490,'Materiales unitario'!$A$1:$A$2500,'Materiales unitario'!D$1:D$2500,,0,1)</f>
        <v>1860</v>
      </c>
      <c r="F7490" s="19">
        <v>0.2</v>
      </c>
      <c r="G7490" s="20">
        <f t="shared" si="213"/>
        <v>372</v>
      </c>
      <c r="H7490" s="217" t="s">
        <v>253</v>
      </c>
    </row>
    <row r="7491" spans="1:8" ht="15">
      <c r="A7491" s="211" t="s">
        <v>489</v>
      </c>
      <c r="B7491" s="216" t="str">
        <f ca="1">_xlfn.CONCAT(B7484,A7491)</f>
        <v>2EE83F04-F</v>
      </c>
      <c r="C7491" s="17" t="str">
        <f>_xlfn.XLOOKUP(H7491,'Materiales unitario'!$A$1:$A$2500,'Materiales unitario'!B$1:B$2500,,0,1)</f>
        <v>Termoencogible</v>
      </c>
      <c r="D7491" s="184" t="str">
        <f>_xlfn.XLOOKUP(H7491,'Materiales unitario'!A$1:A$2500,'Materiales unitario'!C$1:C$2500,,0,1)</f>
        <v>un</v>
      </c>
      <c r="E7491" s="197">
        <f>_xlfn.XLOOKUP(H7491,'Materiales unitario'!$A$1:$A$2500,'Materiales unitario'!D$1:D$2500,,0,1)</f>
        <v>5000</v>
      </c>
      <c r="F7491" s="19">
        <v>0.1</v>
      </c>
      <c r="G7491" s="20">
        <f t="shared" si="213"/>
        <v>500</v>
      </c>
      <c r="H7491" s="217" t="s">
        <v>373</v>
      </c>
    </row>
    <row r="7492" spans="1:8" ht="15">
      <c r="A7492" s="211" t="s">
        <v>490</v>
      </c>
      <c r="B7492" s="216" t="str">
        <f ca="1">_xlfn.CONCAT(B7484,A7492)</f>
        <v>2EE83F04-G</v>
      </c>
      <c r="C7492" s="17"/>
      <c r="D7492" s="184"/>
      <c r="E7492" s="197"/>
      <c r="F7492" s="19"/>
      <c r="G7492" s="20"/>
      <c r="H7492" s="217"/>
    </row>
    <row r="7493" spans="1:8" ht="15">
      <c r="A7493" s="211" t="s">
        <v>491</v>
      </c>
      <c r="B7493" s="216" t="str">
        <f ca="1">_xlfn.CONCAT(B7484,A7493)</f>
        <v>2EE83F04-H</v>
      </c>
      <c r="C7493" s="17"/>
      <c r="D7493" s="184"/>
      <c r="E7493" s="197"/>
      <c r="F7493" s="19"/>
      <c r="G7493" s="20"/>
      <c r="H7493" s="217"/>
    </row>
    <row r="7494" spans="1:8" ht="15">
      <c r="A7494" s="211" t="s">
        <v>492</v>
      </c>
      <c r="B7494" s="216" t="str">
        <f ca="1">_xlfn.CONCAT(B7484,A7494)</f>
        <v>2EE83F04-I</v>
      </c>
      <c r="C7494" s="17"/>
      <c r="D7494" s="184"/>
      <c r="E7494" s="197"/>
      <c r="F7494" s="19"/>
      <c r="G7494" s="20"/>
      <c r="H7494" s="217"/>
    </row>
    <row r="7495" spans="1:8" ht="15">
      <c r="A7495" s="211" t="s">
        <v>493</v>
      </c>
      <c r="B7495" s="216" t="str">
        <f ca="1">_xlfn.CONCAT(B7484,A7495)</f>
        <v>2EE83F04-J</v>
      </c>
      <c r="C7495" s="17"/>
      <c r="D7495" s="184"/>
      <c r="E7495" s="197"/>
      <c r="F7495" s="19"/>
      <c r="G7495" s="20"/>
      <c r="H7495" s="217"/>
    </row>
    <row r="7496" spans="1:8" ht="15">
      <c r="A7496" s="211" t="s">
        <v>494</v>
      </c>
      <c r="B7496" s="216" t="str">
        <f ca="1">_xlfn.CONCAT(B7484,A7496)</f>
        <v>2EE83F04-K</v>
      </c>
      <c r="C7496" s="17"/>
      <c r="D7496" s="184"/>
      <c r="E7496" s="197"/>
      <c r="F7496" s="19"/>
      <c r="G7496" s="20"/>
      <c r="H7496" s="217"/>
    </row>
    <row r="7497" spans="1:8" ht="15">
      <c r="A7497" s="211" t="s">
        <v>495</v>
      </c>
      <c r="B7497" s="216" t="str">
        <f ca="1">_xlfn.CONCAT(B7484,A7497)</f>
        <v>2EE83F04-L</v>
      </c>
      <c r="C7497" s="17"/>
      <c r="D7497" s="184"/>
      <c r="E7497" s="197"/>
      <c r="F7497" s="19"/>
      <c r="G7497" s="20"/>
      <c r="H7497" s="217"/>
    </row>
    <row r="7498" spans="1:8" ht="15">
      <c r="A7498" s="211" t="s">
        <v>496</v>
      </c>
      <c r="B7498" s="216" t="str">
        <f ca="1">_xlfn.CONCAT(B7484,A7498)</f>
        <v>2EE83F04-M</v>
      </c>
      <c r="C7498" s="17"/>
      <c r="D7498" s="184"/>
      <c r="E7498" s="197"/>
      <c r="F7498" s="19"/>
      <c r="G7498" s="20"/>
      <c r="H7498" s="217"/>
    </row>
    <row r="7499" spans="1:8">
      <c r="A7499" s="211" t="s">
        <v>497</v>
      </c>
      <c r="B7499" s="216" t="str">
        <f ca="1">_xlfn.CONCAT(B7484,A7499)</f>
        <v>2EE83F04-N</v>
      </c>
      <c r="C7499" s="17"/>
      <c r="D7499" s="184"/>
      <c r="E7499" s="197"/>
      <c r="F7499" s="19"/>
      <c r="G7499" s="20"/>
    </row>
    <row r="7500" spans="1:8">
      <c r="A7500" s="211" t="s">
        <v>498</v>
      </c>
      <c r="B7500" s="216" t="str">
        <f ca="1">_xlfn.CONCAT(B7484,A7500)</f>
        <v>2EE83F04-O</v>
      </c>
      <c r="C7500" s="17"/>
      <c r="D7500" s="184"/>
      <c r="E7500" s="197"/>
      <c r="F7500" s="19"/>
      <c r="G7500" s="20"/>
    </row>
    <row r="7501" spans="1:8">
      <c r="A7501" s="211" t="s">
        <v>499</v>
      </c>
      <c r="B7501" s="216" t="str">
        <f ca="1">_xlfn.CONCAT(B7484,A7501)</f>
        <v>2EE83F04-P</v>
      </c>
      <c r="C7501" s="17"/>
      <c r="D7501" s="184"/>
      <c r="E7501" s="197"/>
      <c r="F7501" s="19"/>
      <c r="G7501" s="20"/>
    </row>
    <row r="7502" spans="1:8">
      <c r="A7502" s="211" t="s">
        <v>500</v>
      </c>
      <c r="B7502" s="216" t="str">
        <f ca="1">_xlfn.CONCAT(B7484,A7502)</f>
        <v>2EE83F04-Q</v>
      </c>
      <c r="C7502" s="17"/>
      <c r="D7502" s="184"/>
      <c r="E7502" s="197"/>
      <c r="F7502" s="19"/>
      <c r="G7502" s="20"/>
    </row>
    <row r="7503" spans="1:8">
      <c r="A7503" s="211" t="s">
        <v>501</v>
      </c>
      <c r="B7503" s="216" t="str">
        <f ca="1">_xlfn.CONCAT(B7484,A7503)</f>
        <v>2EE83F04-R</v>
      </c>
      <c r="C7503" s="17"/>
      <c r="D7503" s="184"/>
      <c r="E7503" s="197"/>
      <c r="F7503" s="19"/>
      <c r="G7503" s="20"/>
    </row>
    <row r="7504" spans="1:8">
      <c r="A7504" s="211" t="s">
        <v>502</v>
      </c>
      <c r="B7504" s="216" t="str">
        <f ca="1">_xlfn.CONCAT(B7484,A7504)</f>
        <v>2EE83F04-S</v>
      </c>
      <c r="C7504" s="17"/>
      <c r="D7504" s="184"/>
      <c r="E7504" s="197"/>
      <c r="F7504" s="19"/>
      <c r="G7504" s="20"/>
    </row>
    <row r="7505" spans="1:9">
      <c r="A7505" s="211" t="s">
        <v>503</v>
      </c>
      <c r="B7505" s="216" t="str">
        <f ca="1">_xlfn.CONCAT(B7484,A7505)</f>
        <v>2EE83F04-T</v>
      </c>
      <c r="C7505" s="17"/>
      <c r="D7505" s="184"/>
      <c r="E7505" s="197"/>
      <c r="F7505" s="19"/>
      <c r="G7505" s="20"/>
    </row>
    <row r="7506" spans="1:9" ht="14.25" thickBot="1">
      <c r="A7506" s="211" t="s">
        <v>504</v>
      </c>
      <c r="B7506" s="216" t="str">
        <f ca="1">_xlfn.CONCAT(B7484,A7506)</f>
        <v>2EE83F04-U</v>
      </c>
      <c r="C7506" s="17"/>
      <c r="D7506" s="184"/>
      <c r="E7506" s="197"/>
      <c r="F7506" s="19"/>
      <c r="G7506" s="20"/>
    </row>
    <row r="7507" spans="1:9" ht="14.25" thickBot="1">
      <c r="A7507" s="211" t="s">
        <v>505</v>
      </c>
      <c r="B7507" s="216" t="str">
        <f ca="1">_xlfn.CONCAT(B7484,A7507)</f>
        <v>2EE83F04-V</v>
      </c>
      <c r="C7507" s="17" t="s">
        <v>17</v>
      </c>
      <c r="D7507" s="192" t="s">
        <v>17</v>
      </c>
      <c r="E7507" s="18"/>
      <c r="F7507" s="22" t="s">
        <v>18</v>
      </c>
      <c r="G7507" s="23">
        <f>SUM(G7486:G7506)</f>
        <v>328848.5</v>
      </c>
    </row>
    <row r="7508" spans="1:9" ht="15.75" thickBot="1">
      <c r="A7508" s="211" t="s">
        <v>506</v>
      </c>
      <c r="B7508" s="216" t="str">
        <f ca="1">_xlfn.CONCAT(B7484,A7508)</f>
        <v>2EE83F04-W</v>
      </c>
      <c r="C7508" s="10" t="s">
        <v>19</v>
      </c>
      <c r="D7508" s="190"/>
      <c r="E7508" s="11"/>
      <c r="F7508" s="12"/>
      <c r="G7508" s="13"/>
    </row>
    <row r="7509" spans="1:9" ht="14.25" thickBot="1">
      <c r="A7509" s="211" t="s">
        <v>507</v>
      </c>
      <c r="B7509" s="216" t="str">
        <f ca="1">_xlfn.CONCAT(B7484,A7509)</f>
        <v>2EE83F04-X</v>
      </c>
      <c r="C7509" s="14" t="s">
        <v>1</v>
      </c>
      <c r="D7509" s="15"/>
      <c r="E7509" s="15" t="s">
        <v>20</v>
      </c>
      <c r="F7509" s="16" t="s">
        <v>21</v>
      </c>
      <c r="G7509" s="15" t="s">
        <v>5</v>
      </c>
      <c r="H7509" s="215"/>
    </row>
    <row r="7510" spans="1:9">
      <c r="A7510" s="211" t="s">
        <v>508</v>
      </c>
      <c r="B7510" s="216" t="str">
        <f ca="1">_xlfn.CONCAT(B7484,A7510)</f>
        <v>2EE83F04-Y</v>
      </c>
      <c r="C7510" s="24" t="s">
        <v>22</v>
      </c>
      <c r="D7510" s="184"/>
      <c r="E7510" s="25">
        <f>_xlfn.XLOOKUP(C7510,'H-MO'!B$7:B$30,'H-MO'!D$7:D$30,,0,1)</f>
        <v>2436.5624999999995</v>
      </c>
      <c r="F7510" s="19">
        <v>4</v>
      </c>
      <c r="G7510" s="33">
        <f t="shared" ref="G7510:G7515" si="214">+E7510*F7510</f>
        <v>9746.2499999999982</v>
      </c>
    </row>
    <row r="7511" spans="1:9">
      <c r="A7511" s="211" t="s">
        <v>509</v>
      </c>
      <c r="B7511" s="216" t="str">
        <f ca="1">_xlfn.CONCAT(B7484,A7511)</f>
        <v>2EE83F04-Z</v>
      </c>
      <c r="C7511" s="24" t="s">
        <v>23</v>
      </c>
      <c r="D7511" s="184"/>
      <c r="E7511" s="25">
        <f>_xlfn.XLOOKUP(C7511,'H-MO'!B$7:B$30,'H-MO'!D$7:D$30,,0,1)</f>
        <v>1461.9374999999998</v>
      </c>
      <c r="F7511" s="19">
        <v>0.5</v>
      </c>
      <c r="G7511" s="33">
        <f t="shared" si="214"/>
        <v>730.96874999999989</v>
      </c>
    </row>
    <row r="7512" spans="1:9">
      <c r="A7512" s="211" t="s">
        <v>510</v>
      </c>
      <c r="B7512" s="216" t="str">
        <f ca="1">_xlfn.CONCAT(B7484,A7512)</f>
        <v>2EE83F04-aa</v>
      </c>
      <c r="C7512" s="24" t="s">
        <v>24</v>
      </c>
      <c r="D7512" s="185"/>
      <c r="E7512" s="25">
        <f>_xlfn.XLOOKUP(C7512,'H-MO'!B$7:B$30,'H-MO'!D$7:D$30,,0,1)</f>
        <v>29238.749999999996</v>
      </c>
      <c r="F7512" s="28">
        <v>0.3</v>
      </c>
      <c r="G7512" s="33">
        <f t="shared" si="214"/>
        <v>8771.6249999999982</v>
      </c>
    </row>
    <row r="7513" spans="1:9">
      <c r="A7513" s="211" t="s">
        <v>511</v>
      </c>
      <c r="B7513" s="216" t="str">
        <f ca="1">_xlfn.CONCAT(B7484,A7513)</f>
        <v>2EE83F04-ab</v>
      </c>
      <c r="C7513" s="24" t="s">
        <v>25</v>
      </c>
      <c r="D7513" s="185"/>
      <c r="E7513" s="25">
        <f>_xlfn.XLOOKUP(C7513,'H-MO'!B$7:B$30,'H-MO'!D$7:D$30,,0,1)</f>
        <v>2761.4374999999995</v>
      </c>
      <c r="F7513" s="28">
        <v>2</v>
      </c>
      <c r="G7513" s="33">
        <f t="shared" si="214"/>
        <v>5522.8749999999991</v>
      </c>
    </row>
    <row r="7514" spans="1:9">
      <c r="A7514" s="211" t="s">
        <v>512</v>
      </c>
      <c r="B7514" s="216" t="str">
        <f ca="1">_xlfn.CONCAT(B7484,A7514)</f>
        <v>2EE83F04-ac</v>
      </c>
      <c r="C7514" s="24"/>
      <c r="D7514" s="185"/>
      <c r="E7514" s="29"/>
      <c r="F7514" s="28"/>
      <c r="G7514" s="33">
        <f t="shared" si="214"/>
        <v>0</v>
      </c>
    </row>
    <row r="7515" spans="1:9" ht="14.25" thickBot="1">
      <c r="A7515" s="211" t="s">
        <v>513</v>
      </c>
      <c r="B7515" s="216" t="str">
        <f ca="1">_xlfn.CONCAT(B7484,A7515)</f>
        <v>2EE83F04-ad</v>
      </c>
      <c r="C7515" s="24"/>
      <c r="D7515" s="185"/>
      <c r="E7515" s="29"/>
      <c r="F7515" s="28"/>
      <c r="G7515" s="33">
        <f t="shared" si="214"/>
        <v>0</v>
      </c>
    </row>
    <row r="7516" spans="1:9" ht="14.25" thickBot="1">
      <c r="A7516" s="211" t="s">
        <v>514</v>
      </c>
      <c r="B7516" s="216" t="str">
        <f ca="1">_xlfn.CONCAT(B7484,A7516)</f>
        <v>2EE83F04-ae</v>
      </c>
      <c r="C7516" s="17"/>
      <c r="D7516" s="192"/>
      <c r="E7516" s="18"/>
      <c r="F7516" s="22" t="s">
        <v>26</v>
      </c>
      <c r="G7516" s="23">
        <f>SUM(G7510:G7515)</f>
        <v>24771.718749999996</v>
      </c>
    </row>
    <row r="7517" spans="1:9" ht="15.75" thickBot="1">
      <c r="A7517" s="211" t="s">
        <v>515</v>
      </c>
      <c r="B7517" s="216" t="str">
        <f ca="1">_xlfn.CONCAT(B7484,A7517)</f>
        <v>2EE83F04-af</v>
      </c>
      <c r="C7517" s="10" t="s">
        <v>27</v>
      </c>
      <c r="D7517" s="190"/>
      <c r="E7517" s="11"/>
      <c r="F7517" s="12"/>
      <c r="G7517" s="13"/>
    </row>
    <row r="7518" spans="1:9" ht="14.25" thickBot="1">
      <c r="A7518" s="211" t="s">
        <v>516</v>
      </c>
      <c r="B7518" s="216" t="str">
        <f ca="1">_xlfn.CONCAT(B7484,A7518)</f>
        <v>2EE83F04-ag</v>
      </c>
      <c r="C7518" s="14" t="s">
        <v>1</v>
      </c>
      <c r="D7518" s="15" t="s">
        <v>28</v>
      </c>
      <c r="E7518" s="15" t="s">
        <v>20</v>
      </c>
      <c r="F7518" s="16" t="s">
        <v>21</v>
      </c>
      <c r="G7518" s="15" t="s">
        <v>5</v>
      </c>
      <c r="H7518" s="215"/>
      <c r="I7518" s="229"/>
    </row>
    <row r="7519" spans="1:9">
      <c r="A7519" s="211" t="s">
        <v>517</v>
      </c>
      <c r="B7519" s="216" t="str">
        <f ca="1">_xlfn.CONCAT(B7484,A7519)</f>
        <v>2EE83F04-ah</v>
      </c>
      <c r="C7519" s="30" t="s">
        <v>29</v>
      </c>
      <c r="D7519" s="186">
        <f>'H-MO'!$N$77</f>
        <v>725918.52892505517</v>
      </c>
      <c r="E7519" s="31">
        <f>+D7519/8</f>
        <v>90739.816115631897</v>
      </c>
      <c r="F7519" s="32">
        <v>0.78</v>
      </c>
      <c r="G7519" s="33">
        <f>+E7519*F7519</f>
        <v>70777.056570192886</v>
      </c>
      <c r="H7519" s="229"/>
    </row>
    <row r="7520" spans="1:9">
      <c r="A7520" s="211" t="s">
        <v>518</v>
      </c>
      <c r="B7520" s="216" t="str">
        <f ca="1">_xlfn.CONCAT(B7484,A7520)</f>
        <v>2EE83F04-ai</v>
      </c>
      <c r="C7520" s="34" t="s">
        <v>30</v>
      </c>
      <c r="D7520" s="187">
        <f>'H-MO'!$N$86</f>
        <v>685561.39085756091</v>
      </c>
      <c r="E7520" s="29">
        <f>+D7520/8</f>
        <v>85695.173857195114</v>
      </c>
      <c r="F7520" s="28"/>
      <c r="G7520" s="33">
        <f>+E7520*F7520</f>
        <v>0</v>
      </c>
    </row>
    <row r="7521" spans="1:8" ht="14.25" thickBot="1">
      <c r="A7521" s="211" t="s">
        <v>519</v>
      </c>
      <c r="B7521" s="216" t="str">
        <f ca="1">_xlfn.CONCAT(B7484,A7521)</f>
        <v>2EE83F04-aj</v>
      </c>
      <c r="C7521" s="34"/>
      <c r="D7521" s="187"/>
      <c r="E7521" s="29"/>
      <c r="F7521" s="28"/>
      <c r="G7521" s="33">
        <f>+E7521*F7521</f>
        <v>0</v>
      </c>
    </row>
    <row r="7522" spans="1:8" ht="14.25" thickBot="1">
      <c r="A7522" s="211" t="s">
        <v>520</v>
      </c>
      <c r="B7522" s="216" t="str">
        <f ca="1">_xlfn.CONCAT(B7484,A7522)</f>
        <v>2EE83F04-ak</v>
      </c>
      <c r="C7522" s="34"/>
      <c r="D7522" s="185"/>
      <c r="E7522" s="26"/>
      <c r="F7522" s="36" t="s">
        <v>31</v>
      </c>
      <c r="G7522" s="23">
        <f>SUM(G7519:G7521)</f>
        <v>70777.056570192886</v>
      </c>
    </row>
    <row r="7523" spans="1:8" ht="14.25" thickBot="1">
      <c r="A7523" s="211" t="s">
        <v>521</v>
      </c>
      <c r="B7523" s="216" t="str">
        <f ca="1">_xlfn.CONCAT(B7484,A7523)</f>
        <v>2EE83F04-al</v>
      </c>
      <c r="C7523" s="37"/>
      <c r="E7523" s="38"/>
      <c r="F7523" s="22"/>
      <c r="G7523" s="39"/>
    </row>
    <row r="7524" spans="1:8" ht="16.5" thickBot="1">
      <c r="A7524" s="211" t="s">
        <v>522</v>
      </c>
      <c r="B7524" s="216" t="str">
        <f ca="1">_xlfn.CONCAT(B7484,A7524)</f>
        <v>2EE83F04-am</v>
      </c>
      <c r="C7524" s="40"/>
      <c r="D7524" s="193"/>
      <c r="E7524" s="41"/>
      <c r="F7524" s="42"/>
      <c r="G7524" s="43">
        <f>+G7507+G7516+G7522</f>
        <v>424397.27532019292</v>
      </c>
    </row>
    <row r="7525" spans="1:8" ht="21.75" thickBot="1">
      <c r="B7525" s="212" t="s">
        <v>550</v>
      </c>
      <c r="C7525" s="2"/>
      <c r="D7525" s="183"/>
      <c r="F7525" s="4"/>
      <c r="G7525" s="5"/>
    </row>
    <row r="7526" spans="1:8" ht="18.75">
      <c r="A7526" s="213"/>
      <c r="B7526" s="214">
        <v>171</v>
      </c>
      <c r="C7526" s="242" t="str">
        <f ca="1">_xlfn.XLOOKUP(B7526,Cantidades!$A$10:$A$314,Cantidades!$C$10:$C$314,,0,1)</f>
        <v>Suministro e instalacion de acometida en aluminio 3x1/0 +1x1/0 +1x6T</v>
      </c>
      <c r="D7526" s="243"/>
      <c r="E7526" s="243"/>
      <c r="F7526" s="243"/>
      <c r="G7526" s="244"/>
    </row>
    <row r="7527" spans="1:8" ht="19.5" thickBot="1">
      <c r="A7527" s="215"/>
      <c r="B7527" s="216" t="s">
        <v>550</v>
      </c>
      <c r="C7527" s="177"/>
      <c r="D7527" s="189"/>
      <c r="E7527" s="178"/>
      <c r="F7527" s="179" t="s">
        <v>636</v>
      </c>
      <c r="G7527" s="209" t="str">
        <f ca="1">B7528</f>
        <v>28BD4DA2-</v>
      </c>
    </row>
    <row r="7528" spans="1:8" ht="15.75" thickBot="1">
      <c r="B7528" s="212" t="str">
        <f ca="1">_xlfn.XLOOKUP(C7526,Cantidades!$C$1:$C$314,Cantidades!$B$1:$B$314,"",0,1)</f>
        <v>28BD4DA2-</v>
      </c>
      <c r="C7528" s="10" t="s">
        <v>0</v>
      </c>
      <c r="D7528" s="190"/>
      <c r="E7528" s="11"/>
      <c r="F7528" s="12"/>
      <c r="G7528" s="13"/>
    </row>
    <row r="7529" spans="1:8" ht="14.25" thickBot="1">
      <c r="A7529" s="215"/>
      <c r="B7529" s="216" t="s">
        <v>550</v>
      </c>
      <c r="C7529" s="14" t="s">
        <v>1</v>
      </c>
      <c r="D7529" s="15" t="s">
        <v>2</v>
      </c>
      <c r="E7529" s="15" t="s">
        <v>3</v>
      </c>
      <c r="F7529" s="16" t="s">
        <v>4</v>
      </c>
      <c r="G7529" s="15" t="s">
        <v>5</v>
      </c>
    </row>
    <row r="7530" spans="1:8">
      <c r="A7530" s="211" t="s">
        <v>484</v>
      </c>
      <c r="B7530" s="216" t="str">
        <f ca="1">_xlfn.CONCAT(B7528,A7530)</f>
        <v>28BD4DA2-A</v>
      </c>
      <c r="C7530" s="17" t="str">
        <f>_xlfn.XLOOKUP(H7530,'Materiales unitario'!$A$1:$A$2500,'Materiales unitario'!B$1:B$2500,,0,1)</f>
        <v>Cable de Aluminio aislado #1/0 AWG - THHN/THWN</v>
      </c>
      <c r="D7530" s="184" t="str">
        <f>_xlfn.XLOOKUP(H7530,'Materiales unitario'!A$1:A$2500,'Materiales unitario'!C$1:C$2500,,0,1)</f>
        <v>ml</v>
      </c>
      <c r="E7530" s="197">
        <f>_xlfn.XLOOKUP(H7530,'Materiales unitario'!$A$1:$A$2500,'Materiales unitario'!D$1:D$2500,,0,1)</f>
        <v>9758</v>
      </c>
      <c r="F7530" s="19">
        <v>4.2</v>
      </c>
      <c r="G7530" s="20">
        <f>+E7530*F7530</f>
        <v>40983.599999999999</v>
      </c>
      <c r="H7530" s="211" t="s">
        <v>257</v>
      </c>
    </row>
    <row r="7531" spans="1:8">
      <c r="A7531" s="211" t="s">
        <v>485</v>
      </c>
      <c r="B7531" s="216" t="str">
        <f ca="1">_xlfn.CONCAT(B7528,A7531)</f>
        <v>28BD4DA2-B</v>
      </c>
      <c r="C7531" s="17" t="str">
        <f>_xlfn.XLOOKUP(H7531,'Materiales unitario'!$A$1:$A$2500,'Materiales unitario'!B$1:B$2500,,0,1)</f>
        <v>Cable de Aluminio aislado #6 AWG - THHN/THWN</v>
      </c>
      <c r="D7531" s="184" t="str">
        <f>_xlfn.XLOOKUP(H7531,'Materiales unitario'!A$1:A$2500,'Materiales unitario'!C$1:C$2500,,0,1)</f>
        <v>ml</v>
      </c>
      <c r="E7531" s="197">
        <f>_xlfn.XLOOKUP(H7531,'Materiales unitario'!$A$1:$A$2500,'Materiales unitario'!D$1:D$2500,,0,1)</f>
        <v>3213</v>
      </c>
      <c r="F7531" s="19">
        <v>1.05</v>
      </c>
      <c r="G7531" s="20">
        <f>+E7531*F7531</f>
        <v>3373.65</v>
      </c>
      <c r="H7531" s="211" t="s">
        <v>262</v>
      </c>
    </row>
    <row r="7532" spans="1:8">
      <c r="A7532" s="211" t="s">
        <v>486</v>
      </c>
      <c r="B7532" s="216" t="str">
        <f ca="1">_xlfn.CONCAT(B7528,A7532)</f>
        <v>28BD4DA2-C</v>
      </c>
      <c r="C7532" s="17" t="str">
        <f>_xlfn.XLOOKUP(H7532,'Materiales unitario'!$A$1:$A$2500,'Materiales unitario'!B$1:B$2500,,0,1)</f>
        <v>Borna bimetálica de ojo tipo pala #1/0 AWG</v>
      </c>
      <c r="D7532" s="184" t="str">
        <f>_xlfn.XLOOKUP(H7532,'Materiales unitario'!A$1:A$2500,'Materiales unitario'!C$1:C$2500,,0,1)</f>
        <v>un</v>
      </c>
      <c r="E7532" s="197">
        <f>_xlfn.XLOOKUP(H7532,'Materiales unitario'!$A$1:$A$2500,'Materiales unitario'!D$1:D$2500,,0,1)</f>
        <v>8925</v>
      </c>
      <c r="F7532" s="19">
        <v>0.6</v>
      </c>
      <c r="G7532" s="20">
        <f>+E7532*F7532</f>
        <v>5355</v>
      </c>
      <c r="H7532" s="211" t="s">
        <v>242</v>
      </c>
    </row>
    <row r="7533" spans="1:8">
      <c r="A7533" s="211" t="s">
        <v>487</v>
      </c>
      <c r="B7533" s="216" t="str">
        <f ca="1">_xlfn.CONCAT(B7528,A7533)</f>
        <v>28BD4DA2-D</v>
      </c>
      <c r="C7533" s="17" t="str">
        <f>_xlfn.XLOOKUP(H7533,'Materiales unitario'!$A$1:$A$2500,'Materiales unitario'!B$1:B$2500,,0,1)</f>
        <v>Borna bimetálica de ojo tipo pala #6 AWG</v>
      </c>
      <c r="D7533" s="184" t="str">
        <f>_xlfn.XLOOKUP(H7533,'Materiales unitario'!A$1:A$2500,'Materiales unitario'!C$1:C$2500,,0,1)</f>
        <v>un</v>
      </c>
      <c r="E7533" s="197">
        <f>_xlfn.XLOOKUP(H7533,'Materiales unitario'!$A$1:$A$2500,'Materiales unitario'!D$1:D$2500,,0,1)</f>
        <v>3094</v>
      </c>
      <c r="F7533" s="19">
        <v>0.1</v>
      </c>
      <c r="G7533" s="20">
        <f>+E7533*F7533</f>
        <v>309.40000000000003</v>
      </c>
      <c r="H7533" s="211" t="s">
        <v>247</v>
      </c>
    </row>
    <row r="7534" spans="1:8">
      <c r="A7534" s="211" t="s">
        <v>488</v>
      </c>
      <c r="B7534" s="216" t="str">
        <f ca="1">_xlfn.CONCAT(B7528,A7534)</f>
        <v>28BD4DA2-E</v>
      </c>
      <c r="C7534" s="17" t="str">
        <f>_xlfn.XLOOKUP(H7534,'Materiales unitario'!$A$1:$A$2500,'Materiales unitario'!B$1:B$2500,,0,1)</f>
        <v>Termoencogible</v>
      </c>
      <c r="D7534" s="184" t="str">
        <f>_xlfn.XLOOKUP(H7534,'Materiales unitario'!A$1:A$2500,'Materiales unitario'!C$1:C$2500,,0,1)</f>
        <v>un</v>
      </c>
      <c r="E7534" s="197">
        <f>_xlfn.XLOOKUP(H7534,'Materiales unitario'!$A$1:$A$2500,'Materiales unitario'!D$1:D$2500,,0,1)</f>
        <v>5000</v>
      </c>
      <c r="F7534" s="19">
        <v>0.1</v>
      </c>
      <c r="G7534" s="20">
        <f>+E7534*F7534</f>
        <v>500</v>
      </c>
      <c r="H7534" s="211" t="s">
        <v>373</v>
      </c>
    </row>
    <row r="7535" spans="1:8">
      <c r="A7535" s="211" t="s">
        <v>489</v>
      </c>
      <c r="B7535" s="216" t="str">
        <f ca="1">_xlfn.CONCAT(B7528,A7535)</f>
        <v>28BD4DA2-F</v>
      </c>
      <c r="C7535" s="17"/>
      <c r="D7535" s="184"/>
      <c r="E7535" s="197"/>
      <c r="F7535" s="19"/>
      <c r="G7535" s="20"/>
    </row>
    <row r="7536" spans="1:8">
      <c r="A7536" s="211" t="s">
        <v>490</v>
      </c>
      <c r="B7536" s="216" t="str">
        <f ca="1">_xlfn.CONCAT(B7528,A7536)</f>
        <v>28BD4DA2-G</v>
      </c>
      <c r="C7536" s="17"/>
      <c r="D7536" s="184"/>
      <c r="E7536" s="197"/>
      <c r="F7536" s="19"/>
      <c r="G7536" s="20"/>
    </row>
    <row r="7537" spans="1:7">
      <c r="A7537" s="211" t="s">
        <v>491</v>
      </c>
      <c r="B7537" s="216" t="str">
        <f ca="1">_xlfn.CONCAT(B7528,A7537)</f>
        <v>28BD4DA2-H</v>
      </c>
      <c r="C7537" s="17"/>
      <c r="D7537" s="184"/>
      <c r="E7537" s="197"/>
      <c r="F7537" s="19"/>
      <c r="G7537" s="20"/>
    </row>
    <row r="7538" spans="1:7">
      <c r="A7538" s="211" t="s">
        <v>492</v>
      </c>
      <c r="B7538" s="216" t="str">
        <f ca="1">_xlfn.CONCAT(B7528,A7538)</f>
        <v>28BD4DA2-I</v>
      </c>
      <c r="C7538" s="17"/>
      <c r="D7538" s="184"/>
      <c r="E7538" s="197"/>
      <c r="F7538" s="19"/>
      <c r="G7538" s="20"/>
    </row>
    <row r="7539" spans="1:7">
      <c r="A7539" s="211" t="s">
        <v>493</v>
      </c>
      <c r="B7539" s="216" t="str">
        <f ca="1">_xlfn.CONCAT(B7528,A7539)</f>
        <v>28BD4DA2-J</v>
      </c>
      <c r="C7539" s="17"/>
      <c r="D7539" s="184"/>
      <c r="E7539" s="197"/>
      <c r="F7539" s="19"/>
      <c r="G7539" s="20"/>
    </row>
    <row r="7540" spans="1:7">
      <c r="A7540" s="211" t="s">
        <v>494</v>
      </c>
      <c r="B7540" s="216" t="str">
        <f ca="1">_xlfn.CONCAT(B7528,A7540)</f>
        <v>28BD4DA2-K</v>
      </c>
      <c r="C7540" s="17"/>
      <c r="D7540" s="184"/>
      <c r="E7540" s="197"/>
      <c r="F7540" s="19"/>
      <c r="G7540" s="20"/>
    </row>
    <row r="7541" spans="1:7">
      <c r="A7541" s="211" t="s">
        <v>495</v>
      </c>
      <c r="B7541" s="216" t="str">
        <f ca="1">_xlfn.CONCAT(B7528,A7541)</f>
        <v>28BD4DA2-L</v>
      </c>
      <c r="C7541" s="17"/>
      <c r="D7541" s="184"/>
      <c r="E7541" s="197"/>
      <c r="F7541" s="19"/>
      <c r="G7541" s="20"/>
    </row>
    <row r="7542" spans="1:7">
      <c r="A7542" s="211" t="s">
        <v>496</v>
      </c>
      <c r="B7542" s="216" t="str">
        <f ca="1">_xlfn.CONCAT(B7528,A7542)</f>
        <v>28BD4DA2-M</v>
      </c>
      <c r="C7542" s="17"/>
      <c r="D7542" s="184"/>
      <c r="E7542" s="197"/>
      <c r="F7542" s="19"/>
      <c r="G7542" s="20"/>
    </row>
    <row r="7543" spans="1:7">
      <c r="A7543" s="211" t="s">
        <v>497</v>
      </c>
      <c r="B7543" s="216" t="str">
        <f ca="1">_xlfn.CONCAT(B7528,A7543)</f>
        <v>28BD4DA2-N</v>
      </c>
      <c r="C7543" s="17"/>
      <c r="D7543" s="184"/>
      <c r="E7543" s="197"/>
      <c r="F7543" s="19"/>
      <c r="G7543" s="20"/>
    </row>
    <row r="7544" spans="1:7">
      <c r="A7544" s="211" t="s">
        <v>498</v>
      </c>
      <c r="B7544" s="216" t="str">
        <f ca="1">_xlfn.CONCAT(B7528,A7544)</f>
        <v>28BD4DA2-O</v>
      </c>
      <c r="C7544" s="17"/>
      <c r="D7544" s="184"/>
      <c r="E7544" s="197"/>
      <c r="F7544" s="19"/>
      <c r="G7544" s="20"/>
    </row>
    <row r="7545" spans="1:7">
      <c r="A7545" s="211" t="s">
        <v>499</v>
      </c>
      <c r="B7545" s="216" t="str">
        <f ca="1">_xlfn.CONCAT(B7528,A7545)</f>
        <v>28BD4DA2-P</v>
      </c>
      <c r="C7545" s="17"/>
      <c r="D7545" s="184"/>
      <c r="E7545" s="197"/>
      <c r="F7545" s="19"/>
      <c r="G7545" s="20"/>
    </row>
    <row r="7546" spans="1:7">
      <c r="A7546" s="211" t="s">
        <v>500</v>
      </c>
      <c r="B7546" s="216" t="str">
        <f ca="1">_xlfn.CONCAT(B7528,A7546)</f>
        <v>28BD4DA2-Q</v>
      </c>
      <c r="C7546" s="17"/>
      <c r="D7546" s="184"/>
      <c r="E7546" s="197"/>
      <c r="F7546" s="19"/>
      <c r="G7546" s="20"/>
    </row>
    <row r="7547" spans="1:7">
      <c r="A7547" s="211" t="s">
        <v>501</v>
      </c>
      <c r="B7547" s="216" t="str">
        <f ca="1">_xlfn.CONCAT(B7528,A7547)</f>
        <v>28BD4DA2-R</v>
      </c>
      <c r="C7547" s="17"/>
      <c r="D7547" s="184"/>
      <c r="E7547" s="197"/>
      <c r="F7547" s="19"/>
      <c r="G7547" s="20"/>
    </row>
    <row r="7548" spans="1:7">
      <c r="A7548" s="211" t="s">
        <v>502</v>
      </c>
      <c r="B7548" s="216" t="str">
        <f ca="1">_xlfn.CONCAT(B7528,A7548)</f>
        <v>28BD4DA2-S</v>
      </c>
      <c r="C7548" s="17"/>
      <c r="D7548" s="184"/>
      <c r="E7548" s="197"/>
      <c r="F7548" s="19"/>
      <c r="G7548" s="20"/>
    </row>
    <row r="7549" spans="1:7">
      <c r="A7549" s="211" t="s">
        <v>503</v>
      </c>
      <c r="B7549" s="216" t="str">
        <f ca="1">_xlfn.CONCAT(B7528,A7549)</f>
        <v>28BD4DA2-T</v>
      </c>
      <c r="C7549" s="17"/>
      <c r="D7549" s="184"/>
      <c r="E7549" s="197"/>
      <c r="F7549" s="19"/>
      <c r="G7549" s="20"/>
    </row>
    <row r="7550" spans="1:7" ht="14.25" thickBot="1">
      <c r="A7550" s="211" t="s">
        <v>504</v>
      </c>
      <c r="B7550" s="216" t="str">
        <f ca="1">_xlfn.CONCAT(B7528,A7550)</f>
        <v>28BD4DA2-U</v>
      </c>
      <c r="C7550" s="17"/>
      <c r="D7550" s="184"/>
      <c r="E7550" s="197"/>
      <c r="F7550" s="19"/>
      <c r="G7550" s="20"/>
    </row>
    <row r="7551" spans="1:7" ht="14.25" thickBot="1">
      <c r="A7551" s="211" t="s">
        <v>505</v>
      </c>
      <c r="B7551" s="216" t="str">
        <f ca="1">_xlfn.CONCAT(B7528,A7551)</f>
        <v>28BD4DA2-V</v>
      </c>
      <c r="C7551" s="17" t="s">
        <v>17</v>
      </c>
      <c r="D7551" s="192" t="s">
        <v>17</v>
      </c>
      <c r="E7551" s="18"/>
      <c r="F7551" s="22" t="s">
        <v>18</v>
      </c>
      <c r="G7551" s="23">
        <f>SUM(G7530:G7550)</f>
        <v>50521.65</v>
      </c>
    </row>
    <row r="7552" spans="1:7" ht="15.75" thickBot="1">
      <c r="A7552" s="211" t="s">
        <v>506</v>
      </c>
      <c r="B7552" s="216" t="str">
        <f ca="1">_xlfn.CONCAT(B7528,A7552)</f>
        <v>28BD4DA2-W</v>
      </c>
      <c r="C7552" s="10" t="s">
        <v>19</v>
      </c>
      <c r="D7552" s="190"/>
      <c r="E7552" s="11"/>
      <c r="F7552" s="12"/>
      <c r="G7552" s="13"/>
    </row>
    <row r="7553" spans="1:8" ht="14.25" thickBot="1">
      <c r="A7553" s="211" t="s">
        <v>507</v>
      </c>
      <c r="B7553" s="216" t="str">
        <f ca="1">_xlfn.CONCAT(B7528,A7553)</f>
        <v>28BD4DA2-X</v>
      </c>
      <c r="C7553" s="14" t="s">
        <v>1</v>
      </c>
      <c r="D7553" s="15"/>
      <c r="E7553" s="15" t="s">
        <v>20</v>
      </c>
      <c r="F7553" s="16" t="s">
        <v>21</v>
      </c>
      <c r="G7553" s="15" t="s">
        <v>5</v>
      </c>
    </row>
    <row r="7554" spans="1:8">
      <c r="A7554" s="211" t="s">
        <v>508</v>
      </c>
      <c r="B7554" s="216" t="str">
        <f ca="1">_xlfn.CONCAT(B7528,A7554)</f>
        <v>28BD4DA2-Y</v>
      </c>
      <c r="C7554" s="24" t="s">
        <v>22</v>
      </c>
      <c r="D7554" s="184"/>
      <c r="E7554" s="25">
        <f>_xlfn.XLOOKUP(C7554,'H-MO'!B$7:B$30,'H-MO'!D$7:D$30,,0,1)</f>
        <v>2436.5624999999995</v>
      </c>
      <c r="F7554" s="19">
        <v>0.5</v>
      </c>
      <c r="G7554" s="33">
        <f t="shared" ref="G7554:G7559" si="215">+E7554*F7554</f>
        <v>1218.2812499999998</v>
      </c>
      <c r="H7554" s="234"/>
    </row>
    <row r="7555" spans="1:8">
      <c r="A7555" s="211" t="s">
        <v>509</v>
      </c>
      <c r="B7555" s="216" t="str">
        <f ca="1">_xlfn.CONCAT(B7528,A7555)</f>
        <v>28BD4DA2-Z</v>
      </c>
      <c r="C7555" s="24" t="s">
        <v>23</v>
      </c>
      <c r="D7555" s="184"/>
      <c r="E7555" s="25">
        <f>_xlfn.XLOOKUP(C7555,'H-MO'!B$7:B$30,'H-MO'!D$7:D$30,,0,1)</f>
        <v>1461.9374999999998</v>
      </c>
      <c r="F7555" s="19">
        <v>0.04</v>
      </c>
      <c r="G7555" s="33">
        <f t="shared" si="215"/>
        <v>58.477499999999992</v>
      </c>
      <c r="H7555" s="234"/>
    </row>
    <row r="7556" spans="1:8">
      <c r="A7556" s="211" t="s">
        <v>510</v>
      </c>
      <c r="B7556" s="216" t="str">
        <f ca="1">_xlfn.CONCAT(B7528,A7556)</f>
        <v>28BD4DA2-aa</v>
      </c>
      <c r="C7556" s="24" t="s">
        <v>24</v>
      </c>
      <c r="D7556" s="185"/>
      <c r="E7556" s="25">
        <f>_xlfn.XLOOKUP(C7556,'H-MO'!B$7:B$30,'H-MO'!D$7:D$30,,0,1)</f>
        <v>29238.749999999996</v>
      </c>
      <c r="F7556" s="28">
        <v>0.1</v>
      </c>
      <c r="G7556" s="33">
        <f t="shared" si="215"/>
        <v>2923.875</v>
      </c>
      <c r="H7556" s="234"/>
    </row>
    <row r="7557" spans="1:8">
      <c r="A7557" s="211" t="s">
        <v>511</v>
      </c>
      <c r="B7557" s="216" t="str">
        <f ca="1">_xlfn.CONCAT(B7528,A7557)</f>
        <v>28BD4DA2-ab</v>
      </c>
      <c r="C7557" s="24" t="s">
        <v>25</v>
      </c>
      <c r="D7557" s="185"/>
      <c r="E7557" s="25">
        <f>_xlfn.XLOOKUP(C7557,'H-MO'!B$7:B$30,'H-MO'!D$7:D$30,,0,1)</f>
        <v>2761.4374999999995</v>
      </c>
      <c r="F7557" s="28">
        <v>0.5</v>
      </c>
      <c r="G7557" s="33">
        <f t="shared" si="215"/>
        <v>1380.7187499999998</v>
      </c>
      <c r="H7557" s="234"/>
    </row>
    <row r="7558" spans="1:8">
      <c r="A7558" s="211" t="s">
        <v>512</v>
      </c>
      <c r="B7558" s="216" t="str">
        <f ca="1">_xlfn.CONCAT(B7528,A7558)</f>
        <v>28BD4DA2-ac</v>
      </c>
      <c r="C7558" s="24"/>
      <c r="D7558" s="185"/>
      <c r="E7558" s="29"/>
      <c r="F7558" s="28"/>
      <c r="G7558" s="33">
        <f t="shared" si="215"/>
        <v>0</v>
      </c>
      <c r="H7558" s="234"/>
    </row>
    <row r="7559" spans="1:8" ht="14.25" thickBot="1">
      <c r="A7559" s="211" t="s">
        <v>513</v>
      </c>
      <c r="B7559" s="216" t="str">
        <f ca="1">_xlfn.CONCAT(B7528,A7559)</f>
        <v>28BD4DA2-ad</v>
      </c>
      <c r="C7559" s="24"/>
      <c r="D7559" s="185"/>
      <c r="E7559" s="29"/>
      <c r="F7559" s="28"/>
      <c r="G7559" s="33">
        <f t="shared" si="215"/>
        <v>0</v>
      </c>
      <c r="H7559" s="234"/>
    </row>
    <row r="7560" spans="1:8" ht="14.25" thickBot="1">
      <c r="A7560" s="211" t="s">
        <v>514</v>
      </c>
      <c r="B7560" s="216" t="str">
        <f ca="1">_xlfn.CONCAT(B7528,A7560)</f>
        <v>28BD4DA2-ae</v>
      </c>
      <c r="C7560" s="17"/>
      <c r="D7560" s="192"/>
      <c r="E7560" s="18"/>
      <c r="F7560" s="22" t="s">
        <v>26</v>
      </c>
      <c r="G7560" s="23">
        <f>SUM(G7554:G7559)</f>
        <v>5581.3525</v>
      </c>
      <c r="H7560" s="234"/>
    </row>
    <row r="7561" spans="1:8" ht="15.75" thickBot="1">
      <c r="A7561" s="211" t="s">
        <v>515</v>
      </c>
      <c r="B7561" s="216" t="str">
        <f ca="1">_xlfn.CONCAT(B7528,A7561)</f>
        <v>28BD4DA2-af</v>
      </c>
      <c r="C7561" s="10" t="s">
        <v>27</v>
      </c>
      <c r="D7561" s="190"/>
      <c r="E7561" s="11"/>
      <c r="F7561" s="12"/>
      <c r="G7561" s="13"/>
      <c r="H7561" s="234"/>
    </row>
    <row r="7562" spans="1:8" ht="14.25" thickBot="1">
      <c r="A7562" s="211" t="s">
        <v>516</v>
      </c>
      <c r="B7562" s="216" t="str">
        <f ca="1">_xlfn.CONCAT(B7528,A7562)</f>
        <v>28BD4DA2-ag</v>
      </c>
      <c r="C7562" s="14" t="s">
        <v>1</v>
      </c>
      <c r="D7562" s="15" t="s">
        <v>28</v>
      </c>
      <c r="E7562" s="15" t="s">
        <v>20</v>
      </c>
      <c r="F7562" s="16" t="s">
        <v>21</v>
      </c>
      <c r="G7562" s="15" t="s">
        <v>5</v>
      </c>
      <c r="H7562" s="234"/>
    </row>
    <row r="7563" spans="1:8">
      <c r="A7563" s="211" t="s">
        <v>517</v>
      </c>
      <c r="B7563" s="216" t="str">
        <f ca="1">_xlfn.CONCAT(B7528,A7563)</f>
        <v>28BD4DA2-ah</v>
      </c>
      <c r="C7563" s="30" t="s">
        <v>29</v>
      </c>
      <c r="D7563" s="186">
        <f>'H-MO'!$N$77</f>
        <v>725918.52892505517</v>
      </c>
      <c r="E7563" s="31">
        <f>+D7563/8</f>
        <v>90739.816115631897</v>
      </c>
      <c r="F7563" s="32">
        <v>0.48</v>
      </c>
      <c r="G7563" s="33">
        <f>+E7563*F7563</f>
        <v>43555.111735503306</v>
      </c>
      <c r="H7563" s="234"/>
    </row>
    <row r="7564" spans="1:8">
      <c r="A7564" s="211" t="s">
        <v>518</v>
      </c>
      <c r="B7564" s="216" t="str">
        <f ca="1">_xlfn.CONCAT(B7528,A7564)</f>
        <v>28BD4DA2-ai</v>
      </c>
      <c r="C7564" s="34" t="s">
        <v>30</v>
      </c>
      <c r="D7564" s="187">
        <f>'H-MO'!$N$86</f>
        <v>685561.39085756091</v>
      </c>
      <c r="E7564" s="29">
        <f>+D7564/8</f>
        <v>85695.173857195114</v>
      </c>
      <c r="F7564" s="28">
        <v>0</v>
      </c>
      <c r="G7564" s="33">
        <f>+E7564*F7564</f>
        <v>0</v>
      </c>
      <c r="H7564" s="234"/>
    </row>
    <row r="7565" spans="1:8" ht="14.25" thickBot="1">
      <c r="A7565" s="211" t="s">
        <v>519</v>
      </c>
      <c r="B7565" s="216" t="str">
        <f ca="1">_xlfn.CONCAT(B7528,A7565)</f>
        <v>28BD4DA2-aj</v>
      </c>
      <c r="C7565" s="34"/>
      <c r="D7565" s="187"/>
      <c r="E7565" s="29"/>
      <c r="F7565" s="28"/>
      <c r="G7565" s="33">
        <f>+E7565*F7565</f>
        <v>0</v>
      </c>
    </row>
    <row r="7566" spans="1:8" ht="14.25" thickBot="1">
      <c r="A7566" s="211" t="s">
        <v>520</v>
      </c>
      <c r="B7566" s="216" t="str">
        <f ca="1">_xlfn.CONCAT(B7528,A7566)</f>
        <v>28BD4DA2-ak</v>
      </c>
      <c r="C7566" s="34"/>
      <c r="D7566" s="185"/>
      <c r="E7566" s="26"/>
      <c r="F7566" s="36" t="s">
        <v>31</v>
      </c>
      <c r="G7566" s="23">
        <f>SUM(G7563:G7565)</f>
        <v>43555.111735503306</v>
      </c>
    </row>
    <row r="7567" spans="1:8" ht="14.25" thickBot="1">
      <c r="A7567" s="211" t="s">
        <v>521</v>
      </c>
      <c r="B7567" s="216" t="str">
        <f ca="1">_xlfn.CONCAT(B7528,A7567)</f>
        <v>28BD4DA2-al</v>
      </c>
      <c r="C7567" s="37"/>
      <c r="E7567" s="38"/>
      <c r="F7567" s="22"/>
      <c r="G7567" s="39"/>
    </row>
    <row r="7568" spans="1:8" ht="16.5" thickBot="1">
      <c r="A7568" s="211" t="s">
        <v>522</v>
      </c>
      <c r="B7568" s="216" t="str">
        <f ca="1">_xlfn.CONCAT(B7528,A7568)</f>
        <v>28BD4DA2-am</v>
      </c>
      <c r="C7568" s="40"/>
      <c r="D7568" s="193"/>
      <c r="E7568" s="41"/>
      <c r="F7568" s="42"/>
      <c r="G7568" s="43">
        <f>+G7551+G7560+G7566</f>
        <v>99658.114235503308</v>
      </c>
    </row>
    <row r="7569" spans="1:8" ht="21.75" thickBot="1">
      <c r="B7569" s="212" t="s">
        <v>550</v>
      </c>
      <c r="C7569" s="2"/>
      <c r="D7569" s="183"/>
      <c r="F7569" s="4"/>
      <c r="G7569" s="5"/>
    </row>
    <row r="7570" spans="1:8" ht="18.75">
      <c r="A7570" s="213"/>
      <c r="B7570" s="214">
        <v>172</v>
      </c>
      <c r="C7570" s="242" t="str">
        <f ca="1">_xlfn.XLOOKUP(B7570,Cantidades!$A$10:$A$314,Cantidades!$C$10:$C$314,,0,1)</f>
        <v>Suministro e instalacion de acometida en cobre 3x10 +1x10 +x12T en tubo EMT de 1"</v>
      </c>
      <c r="D7570" s="243"/>
      <c r="E7570" s="243"/>
      <c r="F7570" s="243"/>
      <c r="G7570" s="244"/>
    </row>
    <row r="7571" spans="1:8" ht="19.5" thickBot="1">
      <c r="A7571" s="215"/>
      <c r="B7571" s="216" t="s">
        <v>550</v>
      </c>
      <c r="C7571" s="177"/>
      <c r="D7571" s="189"/>
      <c r="E7571" s="178"/>
      <c r="F7571" s="179" t="s">
        <v>636</v>
      </c>
      <c r="G7571" s="209" t="str">
        <f ca="1">B7572</f>
        <v>2AD4DA3-</v>
      </c>
    </row>
    <row r="7572" spans="1:8" ht="15.75" thickBot="1">
      <c r="B7572" s="212" t="str">
        <f ca="1">_xlfn.XLOOKUP(C7570,Cantidades!$C$1:$C$314,Cantidades!$B$1:$B$314,"",0,1)</f>
        <v>2AD4DA3-</v>
      </c>
      <c r="C7572" s="10" t="s">
        <v>0</v>
      </c>
      <c r="D7572" s="190"/>
      <c r="E7572" s="11"/>
      <c r="F7572" s="12"/>
      <c r="G7572" s="13"/>
    </row>
    <row r="7573" spans="1:8" ht="14.25" thickBot="1">
      <c r="A7573" s="215"/>
      <c r="B7573" s="216" t="s">
        <v>550</v>
      </c>
      <c r="C7573" s="14" t="s">
        <v>1</v>
      </c>
      <c r="D7573" s="15" t="s">
        <v>2</v>
      </c>
      <c r="E7573" s="15" t="s">
        <v>3</v>
      </c>
      <c r="F7573" s="16" t="s">
        <v>4</v>
      </c>
      <c r="G7573" s="15" t="s">
        <v>5</v>
      </c>
    </row>
    <row r="7574" spans="1:8">
      <c r="A7574" s="211" t="s">
        <v>484</v>
      </c>
      <c r="B7574" s="216" t="str">
        <f ca="1">_xlfn.CONCAT(B7572,A7574)</f>
        <v>2AD4DA3-A</v>
      </c>
      <c r="C7574" s="17" t="str">
        <f>_xlfn.XLOOKUP(H7574,'Materiales unitario'!$A$1:$A$2500,'Materiales unitario'!B$1:B$2500,,0,1)</f>
        <v>Cable de cobre aislado #12 AWG-THHN/THWN Color negro</v>
      </c>
      <c r="D7574" s="184" t="str">
        <f>_xlfn.XLOOKUP(H7574,'Materiales unitario'!A$1:A$2500,'Materiales unitario'!C$1:C$2500,,0,1)</f>
        <v>ml</v>
      </c>
      <c r="E7574" s="197">
        <f>_xlfn.XLOOKUP(H7574,'Materiales unitario'!$A$1:$A$2500,'Materiales unitario'!D$1:D$2500,,0,1)</f>
        <v>3020</v>
      </c>
      <c r="F7574" s="19">
        <v>1.1000000000000001</v>
      </c>
      <c r="G7574" s="20">
        <f>+E7574*F7574</f>
        <v>3322.0000000000005</v>
      </c>
      <c r="H7574" s="211" t="s">
        <v>267</v>
      </c>
    </row>
    <row r="7575" spans="1:8">
      <c r="A7575" s="211" t="s">
        <v>485</v>
      </c>
      <c r="B7575" s="216" t="str">
        <f ca="1">_xlfn.CONCAT(B7572,A7575)</f>
        <v>2AD4DA3-B</v>
      </c>
      <c r="C7575" s="17" t="str">
        <f>_xlfn.XLOOKUP(H7575,'Materiales unitario'!$A$1:$A$2500,'Materiales unitario'!B$1:B$2500,,0,1)</f>
        <v>Cable de cobre aislado #10 AWG-THHN/THWN Color negro</v>
      </c>
      <c r="D7575" s="184" t="str">
        <f>_xlfn.XLOOKUP(H7575,'Materiales unitario'!A$1:A$2500,'Materiales unitario'!C$1:C$2500,,0,1)</f>
        <v>ml</v>
      </c>
      <c r="E7575" s="197">
        <f>_xlfn.XLOOKUP(H7575,'Materiales unitario'!$A$1:$A$2500,'Materiales unitario'!D$1:D$2500,,0,1)</f>
        <v>5215</v>
      </c>
      <c r="F7575" s="19">
        <v>4.2</v>
      </c>
      <c r="G7575" s="20">
        <f>+E7575*F7575</f>
        <v>21903</v>
      </c>
      <c r="H7575" s="211" t="s">
        <v>265</v>
      </c>
    </row>
    <row r="7576" spans="1:8">
      <c r="A7576" s="211" t="s">
        <v>486</v>
      </c>
      <c r="B7576" s="216" t="str">
        <f ca="1">_xlfn.CONCAT(B7572,A7576)</f>
        <v>2AD4DA3-C</v>
      </c>
      <c r="C7576" s="17" t="str">
        <f>_xlfn.XLOOKUP(H7576,'Materiales unitario'!$A$1:$A$2500,'Materiales unitario'!B$1:B$2500,,0,1)</f>
        <v>Termoencogible</v>
      </c>
      <c r="D7576" s="184" t="str">
        <f>_xlfn.XLOOKUP(H7576,'Materiales unitario'!A$1:A$2500,'Materiales unitario'!C$1:C$2500,,0,1)</f>
        <v>un</v>
      </c>
      <c r="E7576" s="197">
        <f>_xlfn.XLOOKUP(H7576,'Materiales unitario'!$A$1:$A$2500,'Materiales unitario'!D$1:D$2500,,0,1)</f>
        <v>5000</v>
      </c>
      <c r="F7576" s="19">
        <v>0.1</v>
      </c>
      <c r="G7576" s="20">
        <f>+E7576*F7576</f>
        <v>500</v>
      </c>
      <c r="H7576" s="211" t="s">
        <v>373</v>
      </c>
    </row>
    <row r="7577" spans="1:8">
      <c r="A7577" s="211" t="s">
        <v>487</v>
      </c>
      <c r="B7577" s="216" t="str">
        <f ca="1">_xlfn.CONCAT(B7572,A7577)</f>
        <v>2AD4DA3-D</v>
      </c>
      <c r="C7577" s="17"/>
      <c r="D7577" s="184"/>
      <c r="E7577" s="197"/>
      <c r="F7577" s="19"/>
      <c r="G7577" s="20"/>
    </row>
    <row r="7578" spans="1:8">
      <c r="A7578" s="211" t="s">
        <v>488</v>
      </c>
      <c r="B7578" s="216" t="str">
        <f ca="1">_xlfn.CONCAT(B7572,A7578)</f>
        <v>2AD4DA3-E</v>
      </c>
      <c r="C7578" s="17" t="str">
        <f>_xlfn.XLOOKUP(H7578,'Materiales unitario'!$A$1:$A$2500,'Materiales unitario'!B$1:B$2500,,0,1)</f>
        <v>Tubo metálico ø1" EMT</v>
      </c>
      <c r="D7578" s="184" t="str">
        <f>_xlfn.XLOOKUP(H7578,'Materiales unitario'!A$1:A$2500,'Materiales unitario'!C$1:C$2500,,0,1)</f>
        <v>ml</v>
      </c>
      <c r="E7578" s="197">
        <f>_xlfn.XLOOKUP(H7578,'Materiales unitario'!$A$1:$A$2500,'Materiales unitario'!D$1:D$2500,,0,1)</f>
        <v>15300</v>
      </c>
      <c r="F7578" s="19">
        <v>1.05</v>
      </c>
      <c r="G7578" s="20">
        <f>+E7578*F7578</f>
        <v>16065</v>
      </c>
      <c r="H7578" s="211" t="s">
        <v>815</v>
      </c>
    </row>
    <row r="7579" spans="1:8">
      <c r="A7579" s="211" t="s">
        <v>489</v>
      </c>
      <c r="B7579" s="216" t="str">
        <f ca="1">_xlfn.CONCAT(B7572,A7579)</f>
        <v>2AD4DA3-F</v>
      </c>
      <c r="C7579" s="17" t="str">
        <f>_xlfn.XLOOKUP(H7579,'Materiales unitario'!$A$1:$A$2500,'Materiales unitario'!B$1:B$2500,,0,1)</f>
        <v>Unión metálica ø1" EMT</v>
      </c>
      <c r="D7579" s="184" t="str">
        <f>_xlfn.XLOOKUP(H7579,'Materiales unitario'!A$1:A$2500,'Materiales unitario'!C$1:C$2500,,0,1)</f>
        <v>un</v>
      </c>
      <c r="E7579" s="197">
        <f>_xlfn.XLOOKUP(H7579,'Materiales unitario'!$A$1:$A$2500,'Materiales unitario'!D$1:D$2500,,0,1)</f>
        <v>3500</v>
      </c>
      <c r="F7579" s="19">
        <v>0.35</v>
      </c>
      <c r="G7579" s="20">
        <f>+E7579*F7579</f>
        <v>1225</v>
      </c>
      <c r="H7579" s="211" t="s">
        <v>819</v>
      </c>
    </row>
    <row r="7580" spans="1:8">
      <c r="A7580" s="211" t="s">
        <v>490</v>
      </c>
      <c r="B7580" s="216" t="str">
        <f ca="1">_xlfn.CONCAT(B7572,A7580)</f>
        <v>2AD4DA3-G</v>
      </c>
      <c r="C7580" s="17" t="str">
        <f>_xlfn.XLOOKUP(H7580,'Materiales unitario'!$A$1:$A$2500,'Materiales unitario'!B$1:B$2500,,0,1)</f>
        <v xml:space="preserve">Terminal metálico ø1" EMT </v>
      </c>
      <c r="D7580" s="184" t="str">
        <f>_xlfn.XLOOKUP(H7580,'Materiales unitario'!A$1:A$2500,'Materiales unitario'!C$1:C$2500,,0,1)</f>
        <v>un</v>
      </c>
      <c r="E7580" s="197">
        <f>_xlfn.XLOOKUP(H7580,'Materiales unitario'!$A$1:$A$2500,'Materiales unitario'!D$1:D$2500,,0,1)</f>
        <v>2800</v>
      </c>
      <c r="F7580" s="19">
        <v>0.1</v>
      </c>
      <c r="G7580" s="20">
        <f>+E7580*F7580</f>
        <v>280</v>
      </c>
      <c r="H7580" s="211" t="s">
        <v>820</v>
      </c>
    </row>
    <row r="7581" spans="1:8">
      <c r="A7581" s="211" t="s">
        <v>491</v>
      </c>
      <c r="B7581" s="216" t="str">
        <f ca="1">_xlfn.CONCAT(B7572,A7581)</f>
        <v>2AD4DA3-H</v>
      </c>
      <c r="C7581" s="17" t="str">
        <f>_xlfn.XLOOKUP(H7581,'Materiales unitario'!$A$1:$A$2500,'Materiales unitario'!B$1:B$2500,,0,1)</f>
        <v>Curva metálica ø1" EMT</v>
      </c>
      <c r="D7581" s="184" t="str">
        <f>_xlfn.XLOOKUP(H7581,'Materiales unitario'!A$1:A$2500,'Materiales unitario'!C$1:C$2500,,0,1)</f>
        <v>un</v>
      </c>
      <c r="E7581" s="197">
        <f>_xlfn.XLOOKUP(H7581,'Materiales unitario'!$A$1:$A$2500,'Materiales unitario'!D$1:D$2500,,0,1)</f>
        <v>3890</v>
      </c>
      <c r="F7581" s="19">
        <v>0.1</v>
      </c>
      <c r="G7581" s="20">
        <f>+E7581*F7581</f>
        <v>389</v>
      </c>
      <c r="H7581" s="211" t="s">
        <v>821</v>
      </c>
    </row>
    <row r="7582" spans="1:8">
      <c r="A7582" s="211" t="s">
        <v>492</v>
      </c>
      <c r="B7582" s="216" t="str">
        <f ca="1">_xlfn.CONCAT(B7572,A7582)</f>
        <v>2AD4DA3-I</v>
      </c>
      <c r="C7582" s="17" t="str">
        <f>_xlfn.XLOOKUP(H7582,'Materiales unitario'!$A$1:$A$2500,'Materiales unitario'!B$1:B$2500,,0,1)</f>
        <v xml:space="preserve">Soporte Metálico Uniestruc Tubería ø1" </v>
      </c>
      <c r="D7582" s="184" t="str">
        <f>_xlfn.XLOOKUP(H7582,'Materiales unitario'!A$1:A$2500,'Materiales unitario'!C$1:C$2500,,0,1)</f>
        <v>un</v>
      </c>
      <c r="E7582" s="197">
        <f>_xlfn.XLOOKUP(H7582,'Materiales unitario'!$A$1:$A$2500,'Materiales unitario'!D$1:D$2500,,0,1)</f>
        <v>1300</v>
      </c>
      <c r="F7582" s="19">
        <v>0.75</v>
      </c>
      <c r="G7582" s="20">
        <f>+E7582*F7582</f>
        <v>975</v>
      </c>
      <c r="H7582" s="211" t="s">
        <v>579</v>
      </c>
    </row>
    <row r="7583" spans="1:8">
      <c r="A7583" s="211" t="s">
        <v>493</v>
      </c>
      <c r="B7583" s="216" t="str">
        <f ca="1">_xlfn.CONCAT(B7572,A7583)</f>
        <v>2AD4DA3-J</v>
      </c>
      <c r="C7583" s="17"/>
      <c r="D7583" s="184"/>
      <c r="E7583" s="197"/>
      <c r="F7583" s="19"/>
      <c r="G7583" s="20"/>
    </row>
    <row r="7584" spans="1:8">
      <c r="A7584" s="211" t="s">
        <v>494</v>
      </c>
      <c r="B7584" s="216" t="str">
        <f ca="1">_xlfn.CONCAT(B7572,A7584)</f>
        <v>2AD4DA3-K</v>
      </c>
      <c r="C7584" s="17"/>
      <c r="D7584" s="184"/>
      <c r="E7584" s="197"/>
      <c r="F7584" s="19"/>
      <c r="G7584" s="20"/>
    </row>
    <row r="7585" spans="1:8">
      <c r="A7585" s="211" t="s">
        <v>495</v>
      </c>
      <c r="B7585" s="216" t="str">
        <f ca="1">_xlfn.CONCAT(B7572,A7585)</f>
        <v>2AD4DA3-L</v>
      </c>
      <c r="C7585" s="17"/>
      <c r="D7585" s="184"/>
      <c r="E7585" s="197"/>
      <c r="F7585" s="19"/>
      <c r="G7585" s="20"/>
    </row>
    <row r="7586" spans="1:8">
      <c r="A7586" s="211" t="s">
        <v>496</v>
      </c>
      <c r="B7586" s="216" t="str">
        <f ca="1">_xlfn.CONCAT(B7572,A7586)</f>
        <v>2AD4DA3-M</v>
      </c>
      <c r="C7586" s="17"/>
      <c r="D7586" s="184"/>
      <c r="E7586" s="197"/>
      <c r="F7586" s="19"/>
      <c r="G7586" s="20"/>
    </row>
    <row r="7587" spans="1:8">
      <c r="A7587" s="211" t="s">
        <v>497</v>
      </c>
      <c r="B7587" s="216" t="str">
        <f ca="1">_xlfn.CONCAT(B7572,A7587)</f>
        <v>2AD4DA3-N</v>
      </c>
      <c r="C7587" s="17"/>
      <c r="D7587" s="184"/>
      <c r="E7587" s="197"/>
      <c r="F7587" s="19"/>
      <c r="G7587" s="20"/>
    </row>
    <row r="7588" spans="1:8">
      <c r="A7588" s="211" t="s">
        <v>498</v>
      </c>
      <c r="B7588" s="216" t="str">
        <f ca="1">_xlfn.CONCAT(B7572,A7588)</f>
        <v>2AD4DA3-O</v>
      </c>
      <c r="C7588" s="17"/>
      <c r="D7588" s="184"/>
      <c r="E7588" s="197"/>
      <c r="F7588" s="19"/>
      <c r="G7588" s="20"/>
    </row>
    <row r="7589" spans="1:8">
      <c r="A7589" s="211" t="s">
        <v>499</v>
      </c>
      <c r="B7589" s="216" t="str">
        <f ca="1">_xlfn.CONCAT(B7572,A7589)</f>
        <v>2AD4DA3-P</v>
      </c>
      <c r="C7589" s="17"/>
      <c r="D7589" s="184"/>
      <c r="E7589" s="197"/>
      <c r="F7589" s="19"/>
      <c r="G7589" s="20"/>
    </row>
    <row r="7590" spans="1:8">
      <c r="A7590" s="211" t="s">
        <v>500</v>
      </c>
      <c r="B7590" s="216" t="str">
        <f ca="1">_xlfn.CONCAT(B7572,A7590)</f>
        <v>2AD4DA3-Q</v>
      </c>
      <c r="C7590" s="17"/>
      <c r="D7590" s="184"/>
      <c r="E7590" s="197"/>
      <c r="F7590" s="19"/>
      <c r="G7590" s="20"/>
    </row>
    <row r="7591" spans="1:8">
      <c r="A7591" s="211" t="s">
        <v>501</v>
      </c>
      <c r="B7591" s="216" t="str">
        <f ca="1">_xlfn.CONCAT(B7572,A7591)</f>
        <v>2AD4DA3-R</v>
      </c>
      <c r="C7591" s="17"/>
      <c r="D7591" s="184"/>
      <c r="E7591" s="197"/>
      <c r="F7591" s="19"/>
      <c r="G7591" s="20"/>
    </row>
    <row r="7592" spans="1:8">
      <c r="A7592" s="211" t="s">
        <v>502</v>
      </c>
      <c r="B7592" s="216" t="str">
        <f ca="1">_xlfn.CONCAT(B7572,A7592)</f>
        <v>2AD4DA3-S</v>
      </c>
      <c r="C7592" s="17"/>
      <c r="D7592" s="184"/>
      <c r="E7592" s="197"/>
      <c r="F7592" s="19"/>
      <c r="G7592" s="20"/>
    </row>
    <row r="7593" spans="1:8">
      <c r="A7593" s="211" t="s">
        <v>503</v>
      </c>
      <c r="B7593" s="216" t="str">
        <f ca="1">_xlfn.CONCAT(B7572,A7593)</f>
        <v>2AD4DA3-T</v>
      </c>
      <c r="C7593" s="17"/>
      <c r="D7593" s="184"/>
      <c r="E7593" s="197"/>
      <c r="F7593" s="19"/>
      <c r="G7593" s="20"/>
    </row>
    <row r="7594" spans="1:8" ht="14.25" thickBot="1">
      <c r="A7594" s="211" t="s">
        <v>504</v>
      </c>
      <c r="B7594" s="216" t="str">
        <f ca="1">_xlfn.CONCAT(B7572,A7594)</f>
        <v>2AD4DA3-U</v>
      </c>
      <c r="C7594" s="17"/>
      <c r="D7594" s="184"/>
      <c r="E7594" s="197"/>
      <c r="F7594" s="19"/>
      <c r="G7594" s="20"/>
    </row>
    <row r="7595" spans="1:8" ht="14.25" thickBot="1">
      <c r="A7595" s="211" t="s">
        <v>505</v>
      </c>
      <c r="B7595" s="216" t="str">
        <f ca="1">_xlfn.CONCAT(B7572,A7595)</f>
        <v>2AD4DA3-V</v>
      </c>
      <c r="C7595" s="17" t="s">
        <v>17</v>
      </c>
      <c r="D7595" s="192" t="s">
        <v>17</v>
      </c>
      <c r="E7595" s="18"/>
      <c r="F7595" s="22" t="s">
        <v>18</v>
      </c>
      <c r="G7595" s="23">
        <f>SUM(G7574:G7594)</f>
        <v>44659</v>
      </c>
    </row>
    <row r="7596" spans="1:8" ht="15.75" thickBot="1">
      <c r="A7596" s="211" t="s">
        <v>506</v>
      </c>
      <c r="B7596" s="216" t="str">
        <f ca="1">_xlfn.CONCAT(B7572,A7596)</f>
        <v>2AD4DA3-W</v>
      </c>
      <c r="C7596" s="10" t="s">
        <v>19</v>
      </c>
      <c r="D7596" s="190"/>
      <c r="E7596" s="11"/>
      <c r="F7596" s="12"/>
      <c r="G7596" s="13"/>
    </row>
    <row r="7597" spans="1:8" ht="14.25" thickBot="1">
      <c r="A7597" s="211" t="s">
        <v>507</v>
      </c>
      <c r="B7597" s="216" t="str">
        <f ca="1">_xlfn.CONCAT(B7572,A7597)</f>
        <v>2AD4DA3-X</v>
      </c>
      <c r="C7597" s="14" t="s">
        <v>1</v>
      </c>
      <c r="D7597" s="15"/>
      <c r="E7597" s="15" t="s">
        <v>20</v>
      </c>
      <c r="F7597" s="16" t="s">
        <v>21</v>
      </c>
      <c r="G7597" s="15" t="s">
        <v>5</v>
      </c>
    </row>
    <row r="7598" spans="1:8">
      <c r="A7598" s="211" t="s">
        <v>508</v>
      </c>
      <c r="B7598" s="216" t="str">
        <f ca="1">_xlfn.CONCAT(B7572,A7598)</f>
        <v>2AD4DA3-Y</v>
      </c>
      <c r="C7598" s="24" t="s">
        <v>22</v>
      </c>
      <c r="D7598" s="184"/>
      <c r="E7598" s="25">
        <f>_xlfn.XLOOKUP(C7598,'H-MO'!B$7:B$30,'H-MO'!D$7:D$30,,0,1)</f>
        <v>2436.5624999999995</v>
      </c>
      <c r="F7598" s="19">
        <v>0.4</v>
      </c>
      <c r="G7598" s="33">
        <f t="shared" ref="G7598:G7603" si="216">+E7598*F7598</f>
        <v>974.62499999999989</v>
      </c>
      <c r="H7598" s="234"/>
    </row>
    <row r="7599" spans="1:8">
      <c r="A7599" s="211" t="s">
        <v>509</v>
      </c>
      <c r="B7599" s="216" t="str">
        <f ca="1">_xlfn.CONCAT(B7572,A7599)</f>
        <v>2AD4DA3-Z</v>
      </c>
      <c r="C7599" s="24" t="s">
        <v>23</v>
      </c>
      <c r="D7599" s="184"/>
      <c r="E7599" s="25">
        <f>_xlfn.XLOOKUP(C7599,'H-MO'!B$7:B$30,'H-MO'!D$7:D$30,,0,1)</f>
        <v>1461.9374999999998</v>
      </c>
      <c r="F7599" s="19">
        <v>0.01</v>
      </c>
      <c r="G7599" s="33">
        <f t="shared" si="216"/>
        <v>14.619374999999998</v>
      </c>
      <c r="H7599" s="234"/>
    </row>
    <row r="7600" spans="1:8">
      <c r="A7600" s="211" t="s">
        <v>510</v>
      </c>
      <c r="B7600" s="216" t="str">
        <f ca="1">_xlfn.CONCAT(B7572,A7600)</f>
        <v>2AD4DA3-aa</v>
      </c>
      <c r="C7600" s="24" t="s">
        <v>24</v>
      </c>
      <c r="D7600" s="185"/>
      <c r="E7600" s="25">
        <f>_xlfn.XLOOKUP(C7600,'H-MO'!B$7:B$30,'H-MO'!D$7:D$30,,0,1)</f>
        <v>29238.749999999996</v>
      </c>
      <c r="F7600" s="28">
        <v>0.01</v>
      </c>
      <c r="G7600" s="33">
        <f t="shared" si="216"/>
        <v>292.38749999999999</v>
      </c>
      <c r="H7600" s="234"/>
    </row>
    <row r="7601" spans="1:8">
      <c r="A7601" s="211" t="s">
        <v>511</v>
      </c>
      <c r="B7601" s="216" t="str">
        <f ca="1">_xlfn.CONCAT(B7572,A7601)</f>
        <v>2AD4DA3-ab</v>
      </c>
      <c r="C7601" s="24" t="s">
        <v>25</v>
      </c>
      <c r="D7601" s="185"/>
      <c r="E7601" s="25">
        <f>_xlfn.XLOOKUP(C7601,'H-MO'!B$7:B$30,'H-MO'!D$7:D$30,,0,1)</f>
        <v>2761.4374999999995</v>
      </c>
      <c r="F7601" s="28">
        <v>0.3</v>
      </c>
      <c r="G7601" s="33">
        <f t="shared" si="216"/>
        <v>828.43124999999986</v>
      </c>
      <c r="H7601" s="234"/>
    </row>
    <row r="7602" spans="1:8">
      <c r="A7602" s="211" t="s">
        <v>512</v>
      </c>
      <c r="B7602" s="216" t="str">
        <f ca="1">_xlfn.CONCAT(B7572,A7602)</f>
        <v>2AD4DA3-ac</v>
      </c>
      <c r="C7602" s="24"/>
      <c r="D7602" s="185"/>
      <c r="E7602" s="29"/>
      <c r="F7602" s="28"/>
      <c r="G7602" s="33">
        <f t="shared" si="216"/>
        <v>0</v>
      </c>
    </row>
    <row r="7603" spans="1:8" ht="14.25" thickBot="1">
      <c r="A7603" s="211" t="s">
        <v>513</v>
      </c>
      <c r="B7603" s="216" t="str">
        <f ca="1">_xlfn.CONCAT(B7572,A7603)</f>
        <v>2AD4DA3-ad</v>
      </c>
      <c r="C7603" s="24"/>
      <c r="D7603" s="185"/>
      <c r="E7603" s="29"/>
      <c r="F7603" s="28"/>
      <c r="G7603" s="33">
        <f t="shared" si="216"/>
        <v>0</v>
      </c>
    </row>
    <row r="7604" spans="1:8" ht="14.25" thickBot="1">
      <c r="A7604" s="211" t="s">
        <v>514</v>
      </c>
      <c r="B7604" s="216" t="str">
        <f ca="1">_xlfn.CONCAT(B7572,A7604)</f>
        <v>2AD4DA3-ae</v>
      </c>
      <c r="C7604" s="17"/>
      <c r="D7604" s="192"/>
      <c r="E7604" s="18"/>
      <c r="F7604" s="22" t="s">
        <v>26</v>
      </c>
      <c r="G7604" s="23">
        <f>SUM(G7598:G7603)</f>
        <v>2110.0631249999997</v>
      </c>
    </row>
    <row r="7605" spans="1:8" ht="15.75" thickBot="1">
      <c r="A7605" s="211" t="s">
        <v>515</v>
      </c>
      <c r="B7605" s="216" t="str">
        <f ca="1">_xlfn.CONCAT(B7572,A7605)</f>
        <v>2AD4DA3-af</v>
      </c>
      <c r="C7605" s="10" t="s">
        <v>27</v>
      </c>
      <c r="D7605" s="190"/>
      <c r="E7605" s="11"/>
      <c r="F7605" s="12"/>
      <c r="G7605" s="13"/>
    </row>
    <row r="7606" spans="1:8" ht="14.25" thickBot="1">
      <c r="A7606" s="211" t="s">
        <v>516</v>
      </c>
      <c r="B7606" s="216" t="str">
        <f ca="1">_xlfn.CONCAT(B7572,A7606)</f>
        <v>2AD4DA3-ag</v>
      </c>
      <c r="C7606" s="14" t="s">
        <v>1</v>
      </c>
      <c r="D7606" s="15" t="s">
        <v>28</v>
      </c>
      <c r="E7606" s="15" t="s">
        <v>20</v>
      </c>
      <c r="F7606" s="16" t="s">
        <v>21</v>
      </c>
      <c r="G7606" s="15" t="s">
        <v>5</v>
      </c>
    </row>
    <row r="7607" spans="1:8">
      <c r="A7607" s="211" t="s">
        <v>517</v>
      </c>
      <c r="B7607" s="216" t="str">
        <f ca="1">_xlfn.CONCAT(B7572,A7607)</f>
        <v>2AD4DA3-ah</v>
      </c>
      <c r="C7607" s="30" t="s">
        <v>29</v>
      </c>
      <c r="D7607" s="186">
        <f>'H-MO'!$N$77</f>
        <v>725918.52892505517</v>
      </c>
      <c r="E7607" s="31">
        <f>+D7607/8</f>
        <v>90739.816115631897</v>
      </c>
      <c r="F7607" s="32">
        <v>0.34</v>
      </c>
      <c r="G7607" s="33">
        <f>+E7607*F7607</f>
        <v>30851.537479314848</v>
      </c>
      <c r="H7607" s="234"/>
    </row>
    <row r="7608" spans="1:8">
      <c r="A7608" s="211" t="s">
        <v>518</v>
      </c>
      <c r="B7608" s="216" t="str">
        <f ca="1">_xlfn.CONCAT(B7572,A7608)</f>
        <v>2AD4DA3-ai</v>
      </c>
      <c r="C7608" s="34" t="s">
        <v>30</v>
      </c>
      <c r="D7608" s="187">
        <f>'H-MO'!$N$86</f>
        <v>685561.39085756091</v>
      </c>
      <c r="E7608" s="29">
        <f>+D7608/8</f>
        <v>85695.173857195114</v>
      </c>
      <c r="F7608" s="28"/>
      <c r="G7608" s="33">
        <f>+E7608*F7608</f>
        <v>0</v>
      </c>
      <c r="H7608" s="234"/>
    </row>
    <row r="7609" spans="1:8" ht="14.25" thickBot="1">
      <c r="A7609" s="211" t="s">
        <v>519</v>
      </c>
      <c r="B7609" s="216" t="str">
        <f ca="1">_xlfn.CONCAT(B7572,A7609)</f>
        <v>2AD4DA3-aj</v>
      </c>
      <c r="C7609" s="34"/>
      <c r="D7609" s="187"/>
      <c r="E7609" s="29"/>
      <c r="F7609" s="28"/>
      <c r="G7609" s="33">
        <f>+E7609*F7609</f>
        <v>0</v>
      </c>
    </row>
    <row r="7610" spans="1:8" ht="14.25" thickBot="1">
      <c r="A7610" s="211" t="s">
        <v>520</v>
      </c>
      <c r="B7610" s="216" t="str">
        <f ca="1">_xlfn.CONCAT(B7572,A7610)</f>
        <v>2AD4DA3-ak</v>
      </c>
      <c r="C7610" s="34"/>
      <c r="D7610" s="185"/>
      <c r="E7610" s="26"/>
      <c r="F7610" s="36" t="s">
        <v>31</v>
      </c>
      <c r="G7610" s="23">
        <f>SUM(G7607:G7609)</f>
        <v>30851.537479314848</v>
      </c>
    </row>
    <row r="7611" spans="1:8" ht="14.25" thickBot="1">
      <c r="A7611" s="211" t="s">
        <v>521</v>
      </c>
      <c r="B7611" s="216" t="str">
        <f ca="1">_xlfn.CONCAT(B7572,A7611)</f>
        <v>2AD4DA3-al</v>
      </c>
      <c r="C7611" s="37"/>
      <c r="E7611" s="38"/>
      <c r="F7611" s="22"/>
      <c r="G7611" s="39"/>
    </row>
    <row r="7612" spans="1:8" ht="16.5" thickBot="1">
      <c r="A7612" s="211" t="s">
        <v>522</v>
      </c>
      <c r="B7612" s="216" t="str">
        <f ca="1">_xlfn.CONCAT(B7572,A7612)</f>
        <v>2AD4DA3-am</v>
      </c>
      <c r="C7612" s="40"/>
      <c r="D7612" s="193"/>
      <c r="E7612" s="41"/>
      <c r="F7612" s="42"/>
      <c r="G7612" s="43">
        <f>+G7595+G7604+G7610</f>
        <v>77620.600604314852</v>
      </c>
    </row>
    <row r="7613" spans="1:8" ht="21.75" thickBot="1">
      <c r="B7613" s="212" t="s">
        <v>550</v>
      </c>
      <c r="C7613" s="2"/>
      <c r="D7613" s="183"/>
      <c r="F7613" s="4"/>
      <c r="G7613" s="5"/>
    </row>
    <row r="7614" spans="1:8" ht="18.75">
      <c r="A7614" s="213"/>
      <c r="B7614" s="214">
        <v>173</v>
      </c>
      <c r="C7614" s="242" t="str">
        <f ca="1">_xlfn.XLOOKUP(B7614,Cantidades!$A$10:$A$314,Cantidades!$C$10:$C$314,,0,1)</f>
        <v>Suministro e instalacion de acometida en aluminio 3x2/0 +1x2/0 +x2T</v>
      </c>
      <c r="D7614" s="243"/>
      <c r="E7614" s="243"/>
      <c r="F7614" s="243"/>
      <c r="G7614" s="244"/>
    </row>
    <row r="7615" spans="1:8" ht="19.5" thickBot="1">
      <c r="A7615" s="215"/>
      <c r="B7615" s="216" t="s">
        <v>550</v>
      </c>
      <c r="C7615" s="177"/>
      <c r="D7615" s="189"/>
      <c r="E7615" s="178"/>
      <c r="F7615" s="179" t="s">
        <v>636</v>
      </c>
      <c r="G7615" s="209" t="str">
        <f ca="1">B7616</f>
        <v>34637822-</v>
      </c>
    </row>
    <row r="7616" spans="1:8" ht="15.75" thickBot="1">
      <c r="B7616" s="212" t="str">
        <f ca="1">_xlfn.XLOOKUP(C7614,Cantidades!$C$1:$C$314,Cantidades!$B$1:$B$314,"",0,1)</f>
        <v>34637822-</v>
      </c>
      <c r="C7616" s="10" t="s">
        <v>0</v>
      </c>
      <c r="D7616" s="190"/>
      <c r="E7616" s="11"/>
      <c r="F7616" s="12"/>
      <c r="G7616" s="13"/>
    </row>
    <row r="7617" spans="1:8" ht="14.25" thickBot="1">
      <c r="A7617" s="215"/>
      <c r="B7617" s="216" t="s">
        <v>550</v>
      </c>
      <c r="C7617" s="14" t="s">
        <v>1</v>
      </c>
      <c r="D7617" s="15" t="s">
        <v>2</v>
      </c>
      <c r="E7617" s="15" t="s">
        <v>3</v>
      </c>
      <c r="F7617" s="16" t="s">
        <v>4</v>
      </c>
      <c r="G7617" s="15" t="s">
        <v>5</v>
      </c>
    </row>
    <row r="7618" spans="1:8">
      <c r="A7618" s="211" t="s">
        <v>484</v>
      </c>
      <c r="B7618" s="216" t="str">
        <f ca="1">_xlfn.CONCAT(B7616,A7618)</f>
        <v>34637822-A</v>
      </c>
      <c r="C7618" s="17" t="str">
        <f>_xlfn.XLOOKUP(H7618,'Materiales unitario'!$A$1:$A$2500,'Materiales unitario'!B$1:B$2500,,0,1)</f>
        <v>Cable de Aluminio aislado #2/0 AWG - THHN/THWN</v>
      </c>
      <c r="D7618" s="184" t="str">
        <f>_xlfn.XLOOKUP(H7618,'Materiales unitario'!A$1:A$2500,'Materiales unitario'!C$1:C$2500,,0,1)</f>
        <v>ml</v>
      </c>
      <c r="E7618" s="197">
        <f>_xlfn.XLOOKUP(H7618,'Materiales unitario'!$A$1:$A$2500,'Materiales unitario'!D$1:D$2500,,0,1)</f>
        <v>10890</v>
      </c>
      <c r="F7618" s="19">
        <v>4.2</v>
      </c>
      <c r="G7618" s="20">
        <f>+E7618*F7618</f>
        <v>45738</v>
      </c>
      <c r="H7618" s="211" t="s">
        <v>1419</v>
      </c>
    </row>
    <row r="7619" spans="1:8">
      <c r="A7619" s="211" t="s">
        <v>485</v>
      </c>
      <c r="B7619" s="216" t="str">
        <f ca="1">_xlfn.CONCAT(B7616,A7619)</f>
        <v>34637822-B</v>
      </c>
      <c r="C7619" s="17" t="str">
        <f>_xlfn.XLOOKUP(H7619,'Materiales unitario'!$A$1:$A$2500,'Materiales unitario'!B$1:B$2500,,0,1)</f>
        <v>Cable de Aluminio aislado #2 AWG - THHN/THWN</v>
      </c>
      <c r="D7619" s="184" t="str">
        <f>_xlfn.XLOOKUP(H7619,'Materiales unitario'!A$1:A$2500,'Materiales unitario'!C$1:C$2500,,0,1)</f>
        <v>ml</v>
      </c>
      <c r="E7619" s="197">
        <f>_xlfn.XLOOKUP(H7619,'Materiales unitario'!$A$1:$A$2500,'Materiales unitario'!D$1:D$2500,,0,1)</f>
        <v>6188</v>
      </c>
      <c r="F7619" s="19">
        <v>1.05</v>
      </c>
      <c r="G7619" s="20">
        <f>+E7619*F7619</f>
        <v>6497.4000000000005</v>
      </c>
      <c r="H7619" s="211" t="s">
        <v>258</v>
      </c>
    </row>
    <row r="7620" spans="1:8">
      <c r="A7620" s="211" t="s">
        <v>486</v>
      </c>
      <c r="B7620" s="216" t="str">
        <f ca="1">_xlfn.CONCAT(B7616,A7620)</f>
        <v>34637822-C</v>
      </c>
      <c r="C7620" s="17" t="str">
        <f>_xlfn.XLOOKUP(H7620,'Materiales unitario'!$A$1:$A$2500,'Materiales unitario'!B$1:B$2500,,0,1)</f>
        <v>Borna bimetálica de ojo tipo pala #2/0 AWG</v>
      </c>
      <c r="D7620" s="184" t="str">
        <f>_xlfn.XLOOKUP(H7620,'Materiales unitario'!A$1:A$2500,'Materiales unitario'!C$1:C$2500,,0,1)</f>
        <v>un</v>
      </c>
      <c r="E7620" s="197">
        <f>_xlfn.XLOOKUP(H7620,'Materiales unitario'!$A$1:$A$2500,'Materiales unitario'!D$1:D$2500,,0,1)</f>
        <v>7600</v>
      </c>
      <c r="F7620" s="19">
        <v>0.6</v>
      </c>
      <c r="G7620" s="20">
        <f>+E7620*F7620</f>
        <v>4560</v>
      </c>
      <c r="H7620" s="211" t="s">
        <v>1420</v>
      </c>
    </row>
    <row r="7621" spans="1:8">
      <c r="A7621" s="211" t="s">
        <v>487</v>
      </c>
      <c r="B7621" s="216" t="str">
        <f ca="1">_xlfn.CONCAT(B7616,A7621)</f>
        <v>34637822-D</v>
      </c>
      <c r="C7621" s="17" t="str">
        <f>_xlfn.XLOOKUP(H7621,'Materiales unitario'!$A$1:$A$2500,'Materiales unitario'!B$1:B$2500,,0,1)</f>
        <v>Borna bimetálica de ojo tipo pala #2 AWG</v>
      </c>
      <c r="D7621" s="184" t="str">
        <f>_xlfn.XLOOKUP(H7621,'Materiales unitario'!A$1:A$2500,'Materiales unitario'!C$1:C$2500,,0,1)</f>
        <v>un</v>
      </c>
      <c r="E7621" s="197">
        <f>_xlfn.XLOOKUP(H7621,'Materiales unitario'!$A$1:$A$2500,'Materiales unitario'!D$1:D$2500,,0,1)</f>
        <v>8806</v>
      </c>
      <c r="F7621" s="19">
        <v>0.1</v>
      </c>
      <c r="G7621" s="20">
        <f>+E7621*F7621</f>
        <v>880.6</v>
      </c>
      <c r="H7621" s="211" t="s">
        <v>243</v>
      </c>
    </row>
    <row r="7622" spans="1:8">
      <c r="A7622" s="211" t="s">
        <v>488</v>
      </c>
      <c r="B7622" s="216" t="str">
        <f ca="1">_xlfn.CONCAT(B7616,A7622)</f>
        <v>34637822-E</v>
      </c>
      <c r="C7622" s="17" t="str">
        <f>_xlfn.XLOOKUP(H7622,'Materiales unitario'!$A$1:$A$2500,'Materiales unitario'!B$1:B$2500,,0,1)</f>
        <v>Termoencogible</v>
      </c>
      <c r="D7622" s="184" t="str">
        <f>_xlfn.XLOOKUP(H7622,'Materiales unitario'!A$1:A$2500,'Materiales unitario'!C$1:C$2500,,0,1)</f>
        <v>un</v>
      </c>
      <c r="E7622" s="197">
        <f>_xlfn.XLOOKUP(H7622,'Materiales unitario'!$A$1:$A$2500,'Materiales unitario'!D$1:D$2500,,0,1)</f>
        <v>5000</v>
      </c>
      <c r="F7622" s="19">
        <v>0.1</v>
      </c>
      <c r="G7622" s="20">
        <f>+E7622*F7622</f>
        <v>500</v>
      </c>
      <c r="H7622" s="211" t="s">
        <v>373</v>
      </c>
    </row>
    <row r="7623" spans="1:8">
      <c r="A7623" s="211" t="s">
        <v>489</v>
      </c>
      <c r="B7623" s="216" t="str">
        <f ca="1">_xlfn.CONCAT(B7616,A7623)</f>
        <v>34637822-F</v>
      </c>
      <c r="C7623" s="17"/>
      <c r="D7623" s="184"/>
      <c r="E7623" s="197"/>
      <c r="F7623" s="19"/>
      <c r="G7623" s="20"/>
    </row>
    <row r="7624" spans="1:8">
      <c r="A7624" s="211" t="s">
        <v>490</v>
      </c>
      <c r="B7624" s="216" t="str">
        <f ca="1">_xlfn.CONCAT(B7616,A7624)</f>
        <v>34637822-G</v>
      </c>
      <c r="C7624" s="17"/>
      <c r="D7624" s="184"/>
      <c r="E7624" s="197"/>
      <c r="F7624" s="19"/>
      <c r="G7624" s="20"/>
    </row>
    <row r="7625" spans="1:8">
      <c r="A7625" s="211" t="s">
        <v>491</v>
      </c>
      <c r="B7625" s="216" t="str">
        <f ca="1">_xlfn.CONCAT(B7616,A7625)</f>
        <v>34637822-H</v>
      </c>
      <c r="C7625" s="17"/>
      <c r="D7625" s="184"/>
      <c r="E7625" s="197"/>
      <c r="F7625" s="19"/>
      <c r="G7625" s="20"/>
    </row>
    <row r="7626" spans="1:8">
      <c r="A7626" s="211" t="s">
        <v>492</v>
      </c>
      <c r="B7626" s="216" t="str">
        <f ca="1">_xlfn.CONCAT(B7616,A7626)</f>
        <v>34637822-I</v>
      </c>
      <c r="C7626" s="17"/>
      <c r="D7626" s="184"/>
      <c r="E7626" s="197"/>
      <c r="F7626" s="19"/>
      <c r="G7626" s="20"/>
    </row>
    <row r="7627" spans="1:8">
      <c r="A7627" s="211" t="s">
        <v>493</v>
      </c>
      <c r="B7627" s="216" t="str">
        <f ca="1">_xlfn.CONCAT(B7616,A7627)</f>
        <v>34637822-J</v>
      </c>
      <c r="C7627" s="17"/>
      <c r="D7627" s="184"/>
      <c r="E7627" s="197"/>
      <c r="F7627" s="19"/>
      <c r="G7627" s="20"/>
    </row>
    <row r="7628" spans="1:8">
      <c r="A7628" s="211" t="s">
        <v>494</v>
      </c>
      <c r="B7628" s="216" t="str">
        <f ca="1">_xlfn.CONCAT(B7616,A7628)</f>
        <v>34637822-K</v>
      </c>
      <c r="C7628" s="17"/>
      <c r="D7628" s="184"/>
      <c r="E7628" s="197"/>
      <c r="F7628" s="19"/>
      <c r="G7628" s="20"/>
    </row>
    <row r="7629" spans="1:8">
      <c r="A7629" s="211" t="s">
        <v>495</v>
      </c>
      <c r="B7629" s="216" t="str">
        <f ca="1">_xlfn.CONCAT(B7616,A7629)</f>
        <v>34637822-L</v>
      </c>
      <c r="C7629" s="17"/>
      <c r="D7629" s="184"/>
      <c r="E7629" s="197"/>
      <c r="F7629" s="19"/>
      <c r="G7629" s="20"/>
    </row>
    <row r="7630" spans="1:8">
      <c r="A7630" s="211" t="s">
        <v>496</v>
      </c>
      <c r="B7630" s="216" t="str">
        <f ca="1">_xlfn.CONCAT(B7616,A7630)</f>
        <v>34637822-M</v>
      </c>
      <c r="C7630" s="17"/>
      <c r="D7630" s="184"/>
      <c r="E7630" s="197"/>
      <c r="F7630" s="19"/>
      <c r="G7630" s="20"/>
    </row>
    <row r="7631" spans="1:8">
      <c r="A7631" s="211" t="s">
        <v>497</v>
      </c>
      <c r="B7631" s="216" t="str">
        <f ca="1">_xlfn.CONCAT(B7616,A7631)</f>
        <v>34637822-N</v>
      </c>
      <c r="C7631" s="17"/>
      <c r="D7631" s="184"/>
      <c r="E7631" s="197"/>
      <c r="F7631" s="19"/>
      <c r="G7631" s="20"/>
    </row>
    <row r="7632" spans="1:8">
      <c r="A7632" s="211" t="s">
        <v>498</v>
      </c>
      <c r="B7632" s="216" t="str">
        <f ca="1">_xlfn.CONCAT(B7616,A7632)</f>
        <v>34637822-O</v>
      </c>
      <c r="C7632" s="17"/>
      <c r="D7632" s="184"/>
      <c r="E7632" s="197"/>
      <c r="F7632" s="19"/>
      <c r="G7632" s="20"/>
    </row>
    <row r="7633" spans="1:8">
      <c r="A7633" s="211" t="s">
        <v>499</v>
      </c>
      <c r="B7633" s="216" t="str">
        <f ca="1">_xlfn.CONCAT(B7616,A7633)</f>
        <v>34637822-P</v>
      </c>
      <c r="C7633" s="17"/>
      <c r="D7633" s="184"/>
      <c r="E7633" s="197"/>
      <c r="F7633" s="19"/>
      <c r="G7633" s="20"/>
    </row>
    <row r="7634" spans="1:8">
      <c r="A7634" s="211" t="s">
        <v>500</v>
      </c>
      <c r="B7634" s="216" t="str">
        <f ca="1">_xlfn.CONCAT(B7616,A7634)</f>
        <v>34637822-Q</v>
      </c>
      <c r="C7634" s="17"/>
      <c r="D7634" s="184"/>
      <c r="E7634" s="197"/>
      <c r="F7634" s="19"/>
      <c r="G7634" s="20"/>
    </row>
    <row r="7635" spans="1:8">
      <c r="A7635" s="211" t="s">
        <v>501</v>
      </c>
      <c r="B7635" s="216" t="str">
        <f ca="1">_xlfn.CONCAT(B7616,A7635)</f>
        <v>34637822-R</v>
      </c>
      <c r="C7635" s="17"/>
      <c r="D7635" s="184"/>
      <c r="E7635" s="197"/>
      <c r="F7635" s="19"/>
      <c r="G7635" s="20"/>
    </row>
    <row r="7636" spans="1:8">
      <c r="A7636" s="211" t="s">
        <v>502</v>
      </c>
      <c r="B7636" s="216" t="str">
        <f ca="1">_xlfn.CONCAT(B7616,A7636)</f>
        <v>34637822-S</v>
      </c>
      <c r="C7636" s="17"/>
      <c r="D7636" s="184"/>
      <c r="E7636" s="197"/>
      <c r="F7636" s="19"/>
      <c r="G7636" s="20"/>
    </row>
    <row r="7637" spans="1:8">
      <c r="A7637" s="211" t="s">
        <v>503</v>
      </c>
      <c r="B7637" s="216" t="str">
        <f ca="1">_xlfn.CONCAT(B7616,A7637)</f>
        <v>34637822-T</v>
      </c>
      <c r="C7637" s="17"/>
      <c r="D7637" s="184"/>
      <c r="E7637" s="197"/>
      <c r="F7637" s="19"/>
      <c r="G7637" s="20"/>
    </row>
    <row r="7638" spans="1:8" ht="14.25" thickBot="1">
      <c r="A7638" s="211" t="s">
        <v>504</v>
      </c>
      <c r="B7638" s="216" t="str">
        <f ca="1">_xlfn.CONCAT(B7616,A7638)</f>
        <v>34637822-U</v>
      </c>
      <c r="C7638" s="17"/>
      <c r="D7638" s="184"/>
      <c r="E7638" s="197"/>
      <c r="F7638" s="19"/>
      <c r="G7638" s="20"/>
    </row>
    <row r="7639" spans="1:8" ht="14.25" thickBot="1">
      <c r="A7639" s="211" t="s">
        <v>505</v>
      </c>
      <c r="B7639" s="216" t="str">
        <f ca="1">_xlfn.CONCAT(B7616,A7639)</f>
        <v>34637822-V</v>
      </c>
      <c r="C7639" s="17" t="s">
        <v>17</v>
      </c>
      <c r="D7639" s="192" t="s">
        <v>17</v>
      </c>
      <c r="E7639" s="18"/>
      <c r="F7639" s="22" t="s">
        <v>18</v>
      </c>
      <c r="G7639" s="23">
        <f>SUM(G7618:G7638)</f>
        <v>58176</v>
      </c>
    </row>
    <row r="7640" spans="1:8" ht="15.75" thickBot="1">
      <c r="A7640" s="211" t="s">
        <v>506</v>
      </c>
      <c r="B7640" s="216" t="str">
        <f ca="1">_xlfn.CONCAT(B7616,A7640)</f>
        <v>34637822-W</v>
      </c>
      <c r="C7640" s="10" t="s">
        <v>19</v>
      </c>
      <c r="D7640" s="190"/>
      <c r="E7640" s="11"/>
      <c r="F7640" s="12"/>
      <c r="G7640" s="13"/>
    </row>
    <row r="7641" spans="1:8" ht="14.25" thickBot="1">
      <c r="A7641" s="211" t="s">
        <v>507</v>
      </c>
      <c r="B7641" s="216" t="str">
        <f ca="1">_xlfn.CONCAT(B7616,A7641)</f>
        <v>34637822-X</v>
      </c>
      <c r="C7641" s="14" t="s">
        <v>1</v>
      </c>
      <c r="D7641" s="15"/>
      <c r="E7641" s="15" t="s">
        <v>20</v>
      </c>
      <c r="F7641" s="16" t="s">
        <v>21</v>
      </c>
      <c r="G7641" s="15" t="s">
        <v>5</v>
      </c>
    </row>
    <row r="7642" spans="1:8">
      <c r="A7642" s="211" t="s">
        <v>508</v>
      </c>
      <c r="B7642" s="216" t="str">
        <f ca="1">_xlfn.CONCAT(B7616,A7642)</f>
        <v>34637822-Y</v>
      </c>
      <c r="C7642" s="24" t="s">
        <v>22</v>
      </c>
      <c r="D7642" s="184"/>
      <c r="E7642" s="25">
        <f>_xlfn.XLOOKUP(C7642,'H-MO'!B$7:B$30,'H-MO'!D$7:D$30,,0,1)</f>
        <v>2436.5624999999995</v>
      </c>
      <c r="F7642" s="19">
        <v>0.7</v>
      </c>
      <c r="G7642" s="33">
        <f t="shared" ref="G7642:G7647" si="217">+E7642*F7642</f>
        <v>1705.5937499999995</v>
      </c>
      <c r="H7642" s="234"/>
    </row>
    <row r="7643" spans="1:8">
      <c r="A7643" s="211" t="s">
        <v>509</v>
      </c>
      <c r="B7643" s="216" t="str">
        <f ca="1">_xlfn.CONCAT(B7616,A7643)</f>
        <v>34637822-Z</v>
      </c>
      <c r="C7643" s="24" t="s">
        <v>23</v>
      </c>
      <c r="D7643" s="184"/>
      <c r="E7643" s="25">
        <f>_xlfn.XLOOKUP(C7643,'H-MO'!B$7:B$30,'H-MO'!D$7:D$30,,0,1)</f>
        <v>1461.9374999999998</v>
      </c>
      <c r="F7643" s="19">
        <v>0.05</v>
      </c>
      <c r="G7643" s="33">
        <f t="shared" si="217"/>
        <v>73.096874999999997</v>
      </c>
      <c r="H7643" s="234"/>
    </row>
    <row r="7644" spans="1:8">
      <c r="A7644" s="211" t="s">
        <v>510</v>
      </c>
      <c r="B7644" s="216" t="str">
        <f ca="1">_xlfn.CONCAT(B7616,A7644)</f>
        <v>34637822-aa</v>
      </c>
      <c r="C7644" s="24" t="s">
        <v>24</v>
      </c>
      <c r="D7644" s="185"/>
      <c r="E7644" s="25">
        <f>_xlfn.XLOOKUP(C7644,'H-MO'!B$7:B$30,'H-MO'!D$7:D$30,,0,1)</f>
        <v>29238.749999999996</v>
      </c>
      <c r="F7644" s="28">
        <v>0.1</v>
      </c>
      <c r="G7644" s="33">
        <f t="shared" si="217"/>
        <v>2923.875</v>
      </c>
      <c r="H7644" s="234"/>
    </row>
    <row r="7645" spans="1:8">
      <c r="A7645" s="211" t="s">
        <v>511</v>
      </c>
      <c r="B7645" s="216" t="str">
        <f ca="1">_xlfn.CONCAT(B7616,A7645)</f>
        <v>34637822-ab</v>
      </c>
      <c r="C7645" s="24" t="s">
        <v>25</v>
      </c>
      <c r="D7645" s="185"/>
      <c r="E7645" s="25">
        <f>_xlfn.XLOOKUP(C7645,'H-MO'!B$7:B$30,'H-MO'!D$7:D$30,,0,1)</f>
        <v>2761.4374999999995</v>
      </c>
      <c r="F7645" s="28">
        <v>0.5</v>
      </c>
      <c r="G7645" s="33">
        <f t="shared" si="217"/>
        <v>1380.7187499999998</v>
      </c>
      <c r="H7645" s="234"/>
    </row>
    <row r="7646" spans="1:8">
      <c r="A7646" s="211" t="s">
        <v>512</v>
      </c>
      <c r="B7646" s="216" t="str">
        <f ca="1">_xlfn.CONCAT(B7616,A7646)</f>
        <v>34637822-ac</v>
      </c>
      <c r="C7646" s="24"/>
      <c r="D7646" s="185"/>
      <c r="E7646" s="29"/>
      <c r="F7646" s="28"/>
      <c r="G7646" s="33">
        <f t="shared" si="217"/>
        <v>0</v>
      </c>
      <c r="H7646" s="234"/>
    </row>
    <row r="7647" spans="1:8" ht="14.25" thickBot="1">
      <c r="A7647" s="211" t="s">
        <v>513</v>
      </c>
      <c r="B7647" s="216" t="str">
        <f ca="1">_xlfn.CONCAT(B7616,A7647)</f>
        <v>34637822-ad</v>
      </c>
      <c r="C7647" s="24"/>
      <c r="D7647" s="185"/>
      <c r="E7647" s="29"/>
      <c r="F7647" s="28"/>
      <c r="G7647" s="33">
        <f t="shared" si="217"/>
        <v>0</v>
      </c>
      <c r="H7647" s="234"/>
    </row>
    <row r="7648" spans="1:8" ht="14.25" thickBot="1">
      <c r="A7648" s="211" t="s">
        <v>514</v>
      </c>
      <c r="B7648" s="216" t="str">
        <f ca="1">_xlfn.CONCAT(B7616,A7648)</f>
        <v>34637822-ae</v>
      </c>
      <c r="C7648" s="17"/>
      <c r="D7648" s="192"/>
      <c r="E7648" s="18"/>
      <c r="F7648" s="22" t="s">
        <v>26</v>
      </c>
      <c r="G7648" s="23">
        <f>SUM(G7642:G7647)</f>
        <v>6083.2843749999993</v>
      </c>
      <c r="H7648" s="234"/>
    </row>
    <row r="7649" spans="1:8" ht="15.75" thickBot="1">
      <c r="A7649" s="211" t="s">
        <v>515</v>
      </c>
      <c r="B7649" s="216" t="str">
        <f ca="1">_xlfn.CONCAT(B7616,A7649)</f>
        <v>34637822-af</v>
      </c>
      <c r="C7649" s="10" t="s">
        <v>27</v>
      </c>
      <c r="D7649" s="190"/>
      <c r="E7649" s="11"/>
      <c r="F7649" s="12"/>
      <c r="G7649" s="13"/>
      <c r="H7649" s="234"/>
    </row>
    <row r="7650" spans="1:8" ht="14.25" thickBot="1">
      <c r="A7650" s="211" t="s">
        <v>516</v>
      </c>
      <c r="B7650" s="216" t="str">
        <f ca="1">_xlfn.CONCAT(B7616,A7650)</f>
        <v>34637822-ag</v>
      </c>
      <c r="C7650" s="14" t="s">
        <v>1</v>
      </c>
      <c r="D7650" s="15" t="s">
        <v>28</v>
      </c>
      <c r="E7650" s="15" t="s">
        <v>20</v>
      </c>
      <c r="F7650" s="16" t="s">
        <v>21</v>
      </c>
      <c r="G7650" s="15" t="s">
        <v>5</v>
      </c>
      <c r="H7650" s="234"/>
    </row>
    <row r="7651" spans="1:8">
      <c r="A7651" s="211" t="s">
        <v>517</v>
      </c>
      <c r="B7651" s="216" t="str">
        <f ca="1">_xlfn.CONCAT(B7616,A7651)</f>
        <v>34637822-ah</v>
      </c>
      <c r="C7651" s="30" t="s">
        <v>29</v>
      </c>
      <c r="D7651" s="186">
        <f>'H-MO'!$N$77</f>
        <v>725918.52892505517</v>
      </c>
      <c r="E7651" s="31">
        <f>+D7651/8</f>
        <v>90739.816115631897</v>
      </c>
      <c r="F7651" s="32">
        <v>0.69</v>
      </c>
      <c r="G7651" s="33">
        <f>+E7651*F7651</f>
        <v>62610.473119786002</v>
      </c>
      <c r="H7651" s="234"/>
    </row>
    <row r="7652" spans="1:8">
      <c r="A7652" s="211" t="s">
        <v>518</v>
      </c>
      <c r="B7652" s="216" t="str">
        <f ca="1">_xlfn.CONCAT(B7616,A7652)</f>
        <v>34637822-ai</v>
      </c>
      <c r="C7652" s="34" t="s">
        <v>30</v>
      </c>
      <c r="D7652" s="187">
        <f>'H-MO'!$N$86</f>
        <v>685561.39085756091</v>
      </c>
      <c r="E7652" s="29">
        <f>+D7652/8</f>
        <v>85695.173857195114</v>
      </c>
      <c r="F7652" s="28">
        <v>0</v>
      </c>
      <c r="G7652" s="33">
        <f>+E7652*F7652</f>
        <v>0</v>
      </c>
      <c r="H7652" s="234"/>
    </row>
    <row r="7653" spans="1:8" ht="14.25" thickBot="1">
      <c r="A7653" s="211" t="s">
        <v>519</v>
      </c>
      <c r="B7653" s="216" t="str">
        <f ca="1">_xlfn.CONCAT(B7616,A7653)</f>
        <v>34637822-aj</v>
      </c>
      <c r="C7653" s="34"/>
      <c r="D7653" s="187"/>
      <c r="E7653" s="29"/>
      <c r="F7653" s="28"/>
      <c r="G7653" s="33">
        <f>+E7653*F7653</f>
        <v>0</v>
      </c>
    </row>
    <row r="7654" spans="1:8" ht="14.25" thickBot="1">
      <c r="A7654" s="211" t="s">
        <v>520</v>
      </c>
      <c r="B7654" s="216" t="str">
        <f ca="1">_xlfn.CONCAT(B7616,A7654)</f>
        <v>34637822-ak</v>
      </c>
      <c r="C7654" s="34"/>
      <c r="D7654" s="185"/>
      <c r="E7654" s="26"/>
      <c r="F7654" s="36" t="s">
        <v>31</v>
      </c>
      <c r="G7654" s="23">
        <f>SUM(G7651:G7653)</f>
        <v>62610.473119786002</v>
      </c>
    </row>
    <row r="7655" spans="1:8" ht="14.25" thickBot="1">
      <c r="A7655" s="211" t="s">
        <v>521</v>
      </c>
      <c r="B7655" s="216" t="str">
        <f ca="1">_xlfn.CONCAT(B7616,A7655)</f>
        <v>34637822-al</v>
      </c>
      <c r="C7655" s="37"/>
      <c r="E7655" s="38"/>
      <c r="F7655" s="22"/>
      <c r="G7655" s="39"/>
    </row>
    <row r="7656" spans="1:8" ht="16.5" thickBot="1">
      <c r="A7656" s="211" t="s">
        <v>522</v>
      </c>
      <c r="B7656" s="216" t="str">
        <f ca="1">_xlfn.CONCAT(B7616,A7656)</f>
        <v>34637822-am</v>
      </c>
      <c r="C7656" s="40"/>
      <c r="D7656" s="193"/>
      <c r="E7656" s="41"/>
      <c r="F7656" s="42"/>
      <c r="G7656" s="43">
        <f>+G7639+G7648+G7654</f>
        <v>126869.757494786</v>
      </c>
    </row>
    <row r="7657" spans="1:8" ht="21.75" thickBot="1">
      <c r="B7657" s="212" t="s">
        <v>550</v>
      </c>
      <c r="C7657" s="2"/>
      <c r="D7657" s="183"/>
      <c r="F7657" s="4"/>
      <c r="G7657" s="5"/>
    </row>
    <row r="7658" spans="1:8" ht="18.75">
      <c r="A7658" s="213"/>
      <c r="B7658" s="214">
        <v>174</v>
      </c>
      <c r="C7658" s="242" t="str">
        <f ca="1">_xlfn.XLOOKUP(B7658,Cantidades!$A$10:$A$314,Cantidades!$C$10:$C$314,,0,1)</f>
        <v>Suministro e instalacion de acometida en aluminio 3x4/0 +1x4/0 +x2T</v>
      </c>
      <c r="D7658" s="243"/>
      <c r="E7658" s="243"/>
      <c r="F7658" s="243"/>
      <c r="G7658" s="244"/>
    </row>
    <row r="7659" spans="1:8" ht="19.5" thickBot="1">
      <c r="A7659" s="215"/>
      <c r="B7659" s="216" t="s">
        <v>550</v>
      </c>
      <c r="C7659" s="177"/>
      <c r="D7659" s="189"/>
      <c r="E7659" s="178"/>
      <c r="F7659" s="179" t="s">
        <v>636</v>
      </c>
      <c r="G7659" s="209" t="str">
        <f ca="1">B7660</f>
        <v>101C7854-</v>
      </c>
    </row>
    <row r="7660" spans="1:8" ht="15.75" thickBot="1">
      <c r="B7660" s="212" t="str">
        <f ca="1">_xlfn.XLOOKUP(C7658,Cantidades!$C$1:$C$314,Cantidades!$B$1:$B$314,"",0,1)</f>
        <v>101C7854-</v>
      </c>
      <c r="C7660" s="10" t="s">
        <v>0</v>
      </c>
      <c r="D7660" s="190"/>
      <c r="E7660" s="11"/>
      <c r="F7660" s="12"/>
      <c r="G7660" s="13"/>
    </row>
    <row r="7661" spans="1:8" ht="14.25" thickBot="1">
      <c r="A7661" s="215"/>
      <c r="B7661" s="216" t="s">
        <v>550</v>
      </c>
      <c r="C7661" s="14" t="s">
        <v>1</v>
      </c>
      <c r="D7661" s="15" t="s">
        <v>2</v>
      </c>
      <c r="E7661" s="15" t="s">
        <v>3</v>
      </c>
      <c r="F7661" s="16" t="s">
        <v>4</v>
      </c>
      <c r="G7661" s="15" t="s">
        <v>5</v>
      </c>
    </row>
    <row r="7662" spans="1:8">
      <c r="A7662" s="211" t="s">
        <v>484</v>
      </c>
      <c r="B7662" s="216" t="str">
        <f ca="1">_xlfn.CONCAT(B7660,A7662)</f>
        <v>101C7854-A</v>
      </c>
      <c r="C7662" s="17" t="str">
        <f>_xlfn.XLOOKUP(H7662,'Materiales unitario'!$A$1:$A$2500,'Materiales unitario'!B$1:B$2500,,0,1)</f>
        <v>Cable de Aluminio aislado #4/0 AWG - THHN/THWN</v>
      </c>
      <c r="D7662" s="184" t="str">
        <f>_xlfn.XLOOKUP(H7662,'Materiales unitario'!A$1:A$2500,'Materiales unitario'!C$1:C$2500,,0,1)</f>
        <v>ml</v>
      </c>
      <c r="E7662" s="197">
        <f>_xlfn.XLOOKUP(H7662,'Materiales unitario'!$A$1:$A$2500,'Materiales unitario'!D$1:D$2500,,0,1)</f>
        <v>15589</v>
      </c>
      <c r="F7662" s="19">
        <v>4.2</v>
      </c>
      <c r="G7662" s="20">
        <f>+E7662*F7662</f>
        <v>65473.8</v>
      </c>
      <c r="H7662" s="211" t="s">
        <v>261</v>
      </c>
    </row>
    <row r="7663" spans="1:8">
      <c r="A7663" s="211" t="s">
        <v>485</v>
      </c>
      <c r="B7663" s="216" t="str">
        <f ca="1">_xlfn.CONCAT(B7660,A7663)</f>
        <v>101C7854-B</v>
      </c>
      <c r="C7663" s="17" t="str">
        <f>_xlfn.XLOOKUP(H7663,'Materiales unitario'!$A$1:$A$2500,'Materiales unitario'!B$1:B$2500,,0,1)</f>
        <v>Cable de Aluminio aislado #2 AWG - THHN/THWN</v>
      </c>
      <c r="D7663" s="184" t="str">
        <f>_xlfn.XLOOKUP(H7663,'Materiales unitario'!A$1:A$2500,'Materiales unitario'!C$1:C$2500,,0,1)</f>
        <v>ml</v>
      </c>
      <c r="E7663" s="197">
        <f>_xlfn.XLOOKUP(H7663,'Materiales unitario'!$A$1:$A$2500,'Materiales unitario'!D$1:D$2500,,0,1)</f>
        <v>6188</v>
      </c>
      <c r="F7663" s="19">
        <v>1.05</v>
      </c>
      <c r="G7663" s="20">
        <f>+E7663*F7663</f>
        <v>6497.4000000000005</v>
      </c>
      <c r="H7663" s="211" t="s">
        <v>258</v>
      </c>
    </row>
    <row r="7664" spans="1:8">
      <c r="A7664" s="211" t="s">
        <v>486</v>
      </c>
      <c r="B7664" s="216" t="str">
        <f ca="1">_xlfn.CONCAT(B7660,A7664)</f>
        <v>101C7854-C</v>
      </c>
      <c r="C7664" s="17" t="str">
        <f>_xlfn.XLOOKUP(H7664,'Materiales unitario'!$A$1:$A$2500,'Materiales unitario'!B$1:B$2500,,0,1)</f>
        <v>Borna bimetálica de ojo tipo pala #4/0 AWG</v>
      </c>
      <c r="D7664" s="184" t="str">
        <f>_xlfn.XLOOKUP(H7664,'Materiales unitario'!A$1:A$2500,'Materiales unitario'!C$1:C$2500,,0,1)</f>
        <v>un</v>
      </c>
      <c r="E7664" s="197">
        <f>_xlfn.XLOOKUP(H7664,'Materiales unitario'!$A$1:$A$2500,'Materiales unitario'!D$1:D$2500,,0,1)</f>
        <v>13804</v>
      </c>
      <c r="F7664" s="19">
        <v>0.6</v>
      </c>
      <c r="G7664" s="20">
        <f>+E7664*F7664</f>
        <v>8282.4</v>
      </c>
      <c r="H7664" s="211" t="s">
        <v>246</v>
      </c>
    </row>
    <row r="7665" spans="1:8">
      <c r="A7665" s="211" t="s">
        <v>487</v>
      </c>
      <c r="B7665" s="216" t="str">
        <f ca="1">_xlfn.CONCAT(B7660,A7665)</f>
        <v>101C7854-D</v>
      </c>
      <c r="C7665" s="17" t="str">
        <f>_xlfn.XLOOKUP(H7665,'Materiales unitario'!$A$1:$A$2500,'Materiales unitario'!B$1:B$2500,,0,1)</f>
        <v>Borna bimetálica de ojo tipo pala #2 AWG</v>
      </c>
      <c r="D7665" s="184" t="str">
        <f>_xlfn.XLOOKUP(H7665,'Materiales unitario'!A$1:A$2500,'Materiales unitario'!C$1:C$2500,,0,1)</f>
        <v>un</v>
      </c>
      <c r="E7665" s="197">
        <f>_xlfn.XLOOKUP(H7665,'Materiales unitario'!$A$1:$A$2500,'Materiales unitario'!D$1:D$2500,,0,1)</f>
        <v>8806</v>
      </c>
      <c r="F7665" s="19">
        <v>0.1</v>
      </c>
      <c r="G7665" s="20">
        <f>+E7665*F7665</f>
        <v>880.6</v>
      </c>
      <c r="H7665" s="211" t="s">
        <v>243</v>
      </c>
    </row>
    <row r="7666" spans="1:8">
      <c r="A7666" s="211" t="s">
        <v>488</v>
      </c>
      <c r="B7666" s="216" t="str">
        <f ca="1">_xlfn.CONCAT(B7660,A7666)</f>
        <v>101C7854-E</v>
      </c>
      <c r="C7666" s="17" t="str">
        <f>_xlfn.XLOOKUP(H7666,'Materiales unitario'!$A$1:$A$2500,'Materiales unitario'!B$1:B$2500,,0,1)</f>
        <v>Termoencogible</v>
      </c>
      <c r="D7666" s="184" t="str">
        <f>_xlfn.XLOOKUP(H7666,'Materiales unitario'!A$1:A$2500,'Materiales unitario'!C$1:C$2500,,0,1)</f>
        <v>un</v>
      </c>
      <c r="E7666" s="197">
        <f>_xlfn.XLOOKUP(H7666,'Materiales unitario'!$A$1:$A$2500,'Materiales unitario'!D$1:D$2500,,0,1)</f>
        <v>5000</v>
      </c>
      <c r="F7666" s="19">
        <v>0.1</v>
      </c>
      <c r="G7666" s="20">
        <f>+E7666*F7666</f>
        <v>500</v>
      </c>
      <c r="H7666" s="211" t="s">
        <v>373</v>
      </c>
    </row>
    <row r="7667" spans="1:8">
      <c r="A7667" s="211" t="s">
        <v>489</v>
      </c>
      <c r="B7667" s="216" t="str">
        <f ca="1">_xlfn.CONCAT(B7660,A7667)</f>
        <v>101C7854-F</v>
      </c>
      <c r="C7667" s="17"/>
      <c r="D7667" s="184"/>
      <c r="E7667" s="197"/>
      <c r="F7667" s="19"/>
      <c r="G7667" s="20"/>
    </row>
    <row r="7668" spans="1:8">
      <c r="A7668" s="211" t="s">
        <v>490</v>
      </c>
      <c r="B7668" s="216" t="str">
        <f ca="1">_xlfn.CONCAT(B7660,A7668)</f>
        <v>101C7854-G</v>
      </c>
      <c r="C7668" s="17"/>
      <c r="D7668" s="184"/>
      <c r="E7668" s="197"/>
      <c r="F7668" s="19"/>
      <c r="G7668" s="20"/>
    </row>
    <row r="7669" spans="1:8">
      <c r="A7669" s="211" t="s">
        <v>491</v>
      </c>
      <c r="B7669" s="216" t="str">
        <f ca="1">_xlfn.CONCAT(B7660,A7669)</f>
        <v>101C7854-H</v>
      </c>
      <c r="C7669" s="17"/>
      <c r="D7669" s="184"/>
      <c r="E7669" s="197"/>
      <c r="F7669" s="19"/>
      <c r="G7669" s="20"/>
    </row>
    <row r="7670" spans="1:8">
      <c r="A7670" s="211" t="s">
        <v>492</v>
      </c>
      <c r="B7670" s="216" t="str">
        <f ca="1">_xlfn.CONCAT(B7660,A7670)</f>
        <v>101C7854-I</v>
      </c>
      <c r="C7670" s="17"/>
      <c r="D7670" s="184"/>
      <c r="E7670" s="197"/>
      <c r="F7670" s="19"/>
      <c r="G7670" s="20"/>
    </row>
    <row r="7671" spans="1:8">
      <c r="A7671" s="211" t="s">
        <v>493</v>
      </c>
      <c r="B7671" s="216" t="str">
        <f ca="1">_xlfn.CONCAT(B7660,A7671)</f>
        <v>101C7854-J</v>
      </c>
      <c r="C7671" s="17"/>
      <c r="D7671" s="184"/>
      <c r="E7671" s="197"/>
      <c r="F7671" s="19"/>
      <c r="G7671" s="20"/>
    </row>
    <row r="7672" spans="1:8">
      <c r="A7672" s="211" t="s">
        <v>494</v>
      </c>
      <c r="B7672" s="216" t="str">
        <f ca="1">_xlfn.CONCAT(B7660,A7672)</f>
        <v>101C7854-K</v>
      </c>
      <c r="C7672" s="17"/>
      <c r="D7672" s="184"/>
      <c r="E7672" s="197"/>
      <c r="F7672" s="19"/>
      <c r="G7672" s="20"/>
    </row>
    <row r="7673" spans="1:8">
      <c r="A7673" s="211" t="s">
        <v>495</v>
      </c>
      <c r="B7673" s="216" t="str">
        <f ca="1">_xlfn.CONCAT(B7660,A7673)</f>
        <v>101C7854-L</v>
      </c>
      <c r="C7673" s="17"/>
      <c r="D7673" s="184"/>
      <c r="E7673" s="197"/>
      <c r="F7673" s="19"/>
      <c r="G7673" s="20"/>
    </row>
    <row r="7674" spans="1:8">
      <c r="A7674" s="211" t="s">
        <v>496</v>
      </c>
      <c r="B7674" s="216" t="str">
        <f ca="1">_xlfn.CONCAT(B7660,A7674)</f>
        <v>101C7854-M</v>
      </c>
      <c r="C7674" s="17"/>
      <c r="D7674" s="184"/>
      <c r="E7674" s="197"/>
      <c r="F7674" s="19"/>
      <c r="G7674" s="20"/>
    </row>
    <row r="7675" spans="1:8">
      <c r="A7675" s="211" t="s">
        <v>497</v>
      </c>
      <c r="B7675" s="216" t="str">
        <f ca="1">_xlfn.CONCAT(B7660,A7675)</f>
        <v>101C7854-N</v>
      </c>
      <c r="C7675" s="17"/>
      <c r="D7675" s="184"/>
      <c r="E7675" s="197"/>
      <c r="F7675" s="19"/>
      <c r="G7675" s="20"/>
    </row>
    <row r="7676" spans="1:8">
      <c r="A7676" s="211" t="s">
        <v>498</v>
      </c>
      <c r="B7676" s="216" t="str">
        <f ca="1">_xlfn.CONCAT(B7660,A7676)</f>
        <v>101C7854-O</v>
      </c>
      <c r="C7676" s="17"/>
      <c r="D7676" s="184"/>
      <c r="E7676" s="197"/>
      <c r="F7676" s="19"/>
      <c r="G7676" s="20"/>
    </row>
    <row r="7677" spans="1:8">
      <c r="A7677" s="211" t="s">
        <v>499</v>
      </c>
      <c r="B7677" s="216" t="str">
        <f ca="1">_xlfn.CONCAT(B7660,A7677)</f>
        <v>101C7854-P</v>
      </c>
      <c r="C7677" s="17"/>
      <c r="D7677" s="184"/>
      <c r="E7677" s="197"/>
      <c r="F7677" s="19"/>
      <c r="G7677" s="20"/>
    </row>
    <row r="7678" spans="1:8">
      <c r="A7678" s="211" t="s">
        <v>500</v>
      </c>
      <c r="B7678" s="216" t="str">
        <f ca="1">_xlfn.CONCAT(B7660,A7678)</f>
        <v>101C7854-Q</v>
      </c>
      <c r="C7678" s="17"/>
      <c r="D7678" s="184"/>
      <c r="E7678" s="197"/>
      <c r="F7678" s="19"/>
      <c r="G7678" s="20"/>
    </row>
    <row r="7679" spans="1:8">
      <c r="A7679" s="211" t="s">
        <v>501</v>
      </c>
      <c r="B7679" s="216" t="str">
        <f ca="1">_xlfn.CONCAT(B7660,A7679)</f>
        <v>101C7854-R</v>
      </c>
      <c r="C7679" s="17"/>
      <c r="D7679" s="184"/>
      <c r="E7679" s="197"/>
      <c r="F7679" s="19"/>
      <c r="G7679" s="20"/>
    </row>
    <row r="7680" spans="1:8">
      <c r="A7680" s="211" t="s">
        <v>502</v>
      </c>
      <c r="B7680" s="216" t="str">
        <f ca="1">_xlfn.CONCAT(B7660,A7680)</f>
        <v>101C7854-S</v>
      </c>
      <c r="C7680" s="17"/>
      <c r="D7680" s="184"/>
      <c r="E7680" s="197"/>
      <c r="F7680" s="19"/>
      <c r="G7680" s="20"/>
    </row>
    <row r="7681" spans="1:8">
      <c r="A7681" s="211" t="s">
        <v>503</v>
      </c>
      <c r="B7681" s="216" t="str">
        <f ca="1">_xlfn.CONCAT(B7660,A7681)</f>
        <v>101C7854-T</v>
      </c>
      <c r="C7681" s="17"/>
      <c r="D7681" s="184"/>
      <c r="E7681" s="197"/>
      <c r="F7681" s="19"/>
      <c r="G7681" s="20"/>
    </row>
    <row r="7682" spans="1:8" ht="14.25" thickBot="1">
      <c r="A7682" s="211" t="s">
        <v>504</v>
      </c>
      <c r="B7682" s="216" t="str">
        <f ca="1">_xlfn.CONCAT(B7660,A7682)</f>
        <v>101C7854-U</v>
      </c>
      <c r="C7682" s="17"/>
      <c r="D7682" s="184"/>
      <c r="E7682" s="197"/>
      <c r="F7682" s="19"/>
      <c r="G7682" s="20"/>
    </row>
    <row r="7683" spans="1:8" ht="14.25" thickBot="1">
      <c r="A7683" s="211" t="s">
        <v>505</v>
      </c>
      <c r="B7683" s="216" t="str">
        <f ca="1">_xlfn.CONCAT(B7660,A7683)</f>
        <v>101C7854-V</v>
      </c>
      <c r="C7683" s="17" t="s">
        <v>17</v>
      </c>
      <c r="D7683" s="192" t="s">
        <v>17</v>
      </c>
      <c r="E7683" s="18"/>
      <c r="F7683" s="22" t="s">
        <v>18</v>
      </c>
      <c r="G7683" s="23">
        <f>SUM(G7662:G7682)</f>
        <v>81634.2</v>
      </c>
    </row>
    <row r="7684" spans="1:8" ht="15.75" thickBot="1">
      <c r="A7684" s="211" t="s">
        <v>506</v>
      </c>
      <c r="B7684" s="216" t="str">
        <f ca="1">_xlfn.CONCAT(B7660,A7684)</f>
        <v>101C7854-W</v>
      </c>
      <c r="C7684" s="10" t="s">
        <v>19</v>
      </c>
      <c r="D7684" s="190"/>
      <c r="E7684" s="11"/>
      <c r="F7684" s="12"/>
      <c r="G7684" s="13"/>
    </row>
    <row r="7685" spans="1:8" ht="14.25" thickBot="1">
      <c r="A7685" s="211" t="s">
        <v>507</v>
      </c>
      <c r="B7685" s="216" t="str">
        <f ca="1">_xlfn.CONCAT(B7660,A7685)</f>
        <v>101C7854-X</v>
      </c>
      <c r="C7685" s="14" t="s">
        <v>1</v>
      </c>
      <c r="D7685" s="15"/>
      <c r="E7685" s="15" t="s">
        <v>20</v>
      </c>
      <c r="F7685" s="16" t="s">
        <v>21</v>
      </c>
      <c r="G7685" s="15" t="s">
        <v>5</v>
      </c>
    </row>
    <row r="7686" spans="1:8">
      <c r="A7686" s="211" t="s">
        <v>508</v>
      </c>
      <c r="B7686" s="216" t="str">
        <f ca="1">_xlfn.CONCAT(B7660,A7686)</f>
        <v>101C7854-Y</v>
      </c>
      <c r="C7686" s="24" t="s">
        <v>22</v>
      </c>
      <c r="D7686" s="184"/>
      <c r="E7686" s="25">
        <f>_xlfn.XLOOKUP(C7686,'H-MO'!B$7:B$30,'H-MO'!D$7:D$30,,0,1)</f>
        <v>2436.5624999999995</v>
      </c>
      <c r="F7686" s="19">
        <v>0.8</v>
      </c>
      <c r="G7686" s="33">
        <f t="shared" ref="G7686:G7691" si="218">+E7686*F7686</f>
        <v>1949.2499999999998</v>
      </c>
      <c r="H7686" s="234"/>
    </row>
    <row r="7687" spans="1:8">
      <c r="A7687" s="211" t="s">
        <v>509</v>
      </c>
      <c r="B7687" s="216" t="str">
        <f ca="1">_xlfn.CONCAT(B7660,A7687)</f>
        <v>101C7854-Z</v>
      </c>
      <c r="C7687" s="24" t="s">
        <v>23</v>
      </c>
      <c r="D7687" s="184"/>
      <c r="E7687" s="25">
        <f>_xlfn.XLOOKUP(C7687,'H-MO'!B$7:B$30,'H-MO'!D$7:D$30,,0,1)</f>
        <v>1461.9374999999998</v>
      </c>
      <c r="F7687" s="19">
        <v>0.05</v>
      </c>
      <c r="G7687" s="33">
        <f t="shared" si="218"/>
        <v>73.096874999999997</v>
      </c>
      <c r="H7687" s="234"/>
    </row>
    <row r="7688" spans="1:8">
      <c r="A7688" s="211" t="s">
        <v>510</v>
      </c>
      <c r="B7688" s="216" t="str">
        <f ca="1">_xlfn.CONCAT(B7660,A7688)</f>
        <v>101C7854-aa</v>
      </c>
      <c r="C7688" s="24" t="s">
        <v>24</v>
      </c>
      <c r="D7688" s="185"/>
      <c r="E7688" s="25">
        <f>_xlfn.XLOOKUP(C7688,'H-MO'!B$7:B$30,'H-MO'!D$7:D$30,,0,1)</f>
        <v>29238.749999999996</v>
      </c>
      <c r="F7688" s="28">
        <v>0.1</v>
      </c>
      <c r="G7688" s="33">
        <f t="shared" si="218"/>
        <v>2923.875</v>
      </c>
      <c r="H7688" s="234"/>
    </row>
    <row r="7689" spans="1:8">
      <c r="A7689" s="211" t="s">
        <v>511</v>
      </c>
      <c r="B7689" s="216" t="str">
        <f ca="1">_xlfn.CONCAT(B7660,A7689)</f>
        <v>101C7854-ab</v>
      </c>
      <c r="C7689" s="24" t="s">
        <v>25</v>
      </c>
      <c r="D7689" s="185"/>
      <c r="E7689" s="25">
        <f>_xlfn.XLOOKUP(C7689,'H-MO'!B$7:B$30,'H-MO'!D$7:D$30,,0,1)</f>
        <v>2761.4374999999995</v>
      </c>
      <c r="F7689" s="28">
        <v>0.5</v>
      </c>
      <c r="G7689" s="33">
        <f t="shared" si="218"/>
        <v>1380.7187499999998</v>
      </c>
      <c r="H7689" s="234"/>
    </row>
    <row r="7690" spans="1:8">
      <c r="A7690" s="211" t="s">
        <v>512</v>
      </c>
      <c r="B7690" s="216" t="str">
        <f ca="1">_xlfn.CONCAT(B7660,A7690)</f>
        <v>101C7854-ac</v>
      </c>
      <c r="C7690" s="24"/>
      <c r="D7690" s="185"/>
      <c r="E7690" s="29"/>
      <c r="F7690" s="28"/>
      <c r="G7690" s="33">
        <f t="shared" si="218"/>
        <v>0</v>
      </c>
      <c r="H7690" s="234"/>
    </row>
    <row r="7691" spans="1:8" ht="14.25" thickBot="1">
      <c r="A7691" s="211" t="s">
        <v>513</v>
      </c>
      <c r="B7691" s="216" t="str">
        <f ca="1">_xlfn.CONCAT(B7660,A7691)</f>
        <v>101C7854-ad</v>
      </c>
      <c r="C7691" s="24"/>
      <c r="D7691" s="185"/>
      <c r="E7691" s="29"/>
      <c r="F7691" s="28"/>
      <c r="G7691" s="33">
        <f t="shared" si="218"/>
        <v>0</v>
      </c>
      <c r="H7691" s="234"/>
    </row>
    <row r="7692" spans="1:8" ht="14.25" thickBot="1">
      <c r="A7692" s="211" t="s">
        <v>514</v>
      </c>
      <c r="B7692" s="216" t="str">
        <f ca="1">_xlfn.CONCAT(B7660,A7692)</f>
        <v>101C7854-ae</v>
      </c>
      <c r="C7692" s="17"/>
      <c r="D7692" s="192"/>
      <c r="E7692" s="18"/>
      <c r="F7692" s="22" t="s">
        <v>26</v>
      </c>
      <c r="G7692" s="23">
        <f>SUM(G7686:G7691)</f>
        <v>6326.9406249999993</v>
      </c>
      <c r="H7692" s="234"/>
    </row>
    <row r="7693" spans="1:8" ht="15.75" thickBot="1">
      <c r="A7693" s="211" t="s">
        <v>515</v>
      </c>
      <c r="B7693" s="216" t="str">
        <f ca="1">_xlfn.CONCAT(B7660,A7693)</f>
        <v>101C7854-af</v>
      </c>
      <c r="C7693" s="10" t="s">
        <v>27</v>
      </c>
      <c r="D7693" s="190"/>
      <c r="E7693" s="11"/>
      <c r="F7693" s="12"/>
      <c r="G7693" s="13"/>
      <c r="H7693" s="234"/>
    </row>
    <row r="7694" spans="1:8" ht="14.25" thickBot="1">
      <c r="A7694" s="211" t="s">
        <v>516</v>
      </c>
      <c r="B7694" s="216" t="str">
        <f ca="1">_xlfn.CONCAT(B7660,A7694)</f>
        <v>101C7854-ag</v>
      </c>
      <c r="C7694" s="14" t="s">
        <v>1</v>
      </c>
      <c r="D7694" s="15" t="s">
        <v>28</v>
      </c>
      <c r="E7694" s="15" t="s">
        <v>20</v>
      </c>
      <c r="F7694" s="16" t="s">
        <v>21</v>
      </c>
      <c r="G7694" s="15" t="s">
        <v>5</v>
      </c>
      <c r="H7694" s="234"/>
    </row>
    <row r="7695" spans="1:8">
      <c r="A7695" s="211" t="s">
        <v>517</v>
      </c>
      <c r="B7695" s="216" t="str">
        <f ca="1">_xlfn.CONCAT(B7660,A7695)</f>
        <v>101C7854-ah</v>
      </c>
      <c r="C7695" s="30" t="s">
        <v>29</v>
      </c>
      <c r="D7695" s="186">
        <f>'H-MO'!$N$77</f>
        <v>725918.52892505517</v>
      </c>
      <c r="E7695" s="31">
        <f>+D7695/8</f>
        <v>90739.816115631897</v>
      </c>
      <c r="F7695" s="32">
        <v>0.77</v>
      </c>
      <c r="G7695" s="33">
        <f>+E7695*F7695</f>
        <v>69869.658409036565</v>
      </c>
      <c r="H7695" s="234"/>
    </row>
    <row r="7696" spans="1:8">
      <c r="A7696" s="211" t="s">
        <v>518</v>
      </c>
      <c r="B7696" s="216" t="str">
        <f ca="1">_xlfn.CONCAT(B7660,A7696)</f>
        <v>101C7854-ai</v>
      </c>
      <c r="C7696" s="34" t="s">
        <v>30</v>
      </c>
      <c r="D7696" s="187">
        <f>'H-MO'!$N$86</f>
        <v>685561.39085756091</v>
      </c>
      <c r="E7696" s="29">
        <f>+D7696/8</f>
        <v>85695.173857195114</v>
      </c>
      <c r="F7696" s="28">
        <v>0</v>
      </c>
      <c r="G7696" s="33">
        <f>+E7696*F7696</f>
        <v>0</v>
      </c>
      <c r="H7696" s="234"/>
    </row>
    <row r="7697" spans="1:8" ht="14.25" thickBot="1">
      <c r="A7697" s="211" t="s">
        <v>519</v>
      </c>
      <c r="B7697" s="216" t="str">
        <f ca="1">_xlfn.CONCAT(B7660,A7697)</f>
        <v>101C7854-aj</v>
      </c>
      <c r="C7697" s="34"/>
      <c r="D7697" s="187"/>
      <c r="E7697" s="29"/>
      <c r="F7697" s="28"/>
      <c r="G7697" s="33">
        <f>+E7697*F7697</f>
        <v>0</v>
      </c>
    </row>
    <row r="7698" spans="1:8" ht="14.25" thickBot="1">
      <c r="A7698" s="211" t="s">
        <v>520</v>
      </c>
      <c r="B7698" s="216" t="str">
        <f ca="1">_xlfn.CONCAT(B7660,A7698)</f>
        <v>101C7854-ak</v>
      </c>
      <c r="C7698" s="34"/>
      <c r="D7698" s="185"/>
      <c r="E7698" s="26"/>
      <c r="F7698" s="36" t="s">
        <v>31</v>
      </c>
      <c r="G7698" s="23">
        <f>SUM(G7695:G7697)</f>
        <v>69869.658409036565</v>
      </c>
    </row>
    <row r="7699" spans="1:8" ht="14.25" thickBot="1">
      <c r="A7699" s="211" t="s">
        <v>521</v>
      </c>
      <c r="B7699" s="216" t="str">
        <f ca="1">_xlfn.CONCAT(B7660,A7699)</f>
        <v>101C7854-al</v>
      </c>
      <c r="C7699" s="37"/>
      <c r="E7699" s="38"/>
      <c r="F7699" s="22"/>
      <c r="G7699" s="39"/>
    </row>
    <row r="7700" spans="1:8" ht="16.5" thickBot="1">
      <c r="A7700" s="211" t="s">
        <v>522</v>
      </c>
      <c r="B7700" s="216" t="str">
        <f ca="1">_xlfn.CONCAT(B7660,A7700)</f>
        <v>101C7854-am</v>
      </c>
      <c r="C7700" s="40"/>
      <c r="D7700" s="193"/>
      <c r="E7700" s="41"/>
      <c r="F7700" s="42"/>
      <c r="G7700" s="43">
        <f>+G7683+G7692+G7698</f>
        <v>157830.79903403658</v>
      </c>
    </row>
    <row r="7701" spans="1:8" ht="21.75" thickBot="1">
      <c r="B7701" s="212" t="s">
        <v>550</v>
      </c>
      <c r="C7701" s="2"/>
      <c r="D7701" s="183"/>
      <c r="F7701" s="4"/>
      <c r="G7701" s="5"/>
    </row>
    <row r="7702" spans="1:8" ht="18.75">
      <c r="A7702" s="213"/>
      <c r="B7702" s="214">
        <v>175</v>
      </c>
      <c r="C7702" s="242" t="str">
        <f ca="1">_xlfn.XLOOKUP(B7702,Cantidades!$A$10:$A$314,Cantidades!$C$10:$C$314,,0,1)</f>
        <v>Suministro e instalación de acometida en cable de cobre  3#4/0 + 1#4/0 + 1#2T AWG</v>
      </c>
      <c r="D7702" s="243"/>
      <c r="E7702" s="243"/>
      <c r="F7702" s="243"/>
      <c r="G7702" s="244"/>
      <c r="H7702" s="213"/>
    </row>
    <row r="7703" spans="1:8" ht="19.5" thickBot="1">
      <c r="A7703" s="215"/>
      <c r="B7703" s="216" t="s">
        <v>550</v>
      </c>
      <c r="C7703" s="177"/>
      <c r="D7703" s="189"/>
      <c r="E7703" s="178"/>
      <c r="F7703" s="179" t="s">
        <v>636</v>
      </c>
      <c r="G7703" s="209" t="str">
        <f ca="1">B7704</f>
        <v>2EE83F05-</v>
      </c>
      <c r="H7703" s="215"/>
    </row>
    <row r="7704" spans="1:8" ht="15.75" thickBot="1">
      <c r="B7704" s="212" t="str">
        <f ca="1">_xlfn.XLOOKUP(C7702,Cantidades!$C$1:$C$314,Cantidades!$B$1:$B$314,"",0,1)</f>
        <v>2EE83F05-</v>
      </c>
      <c r="C7704" s="10" t="s">
        <v>0</v>
      </c>
      <c r="D7704" s="190"/>
      <c r="E7704" s="11"/>
      <c r="F7704" s="12"/>
      <c r="G7704" s="13"/>
    </row>
    <row r="7705" spans="1:8" ht="14.25" thickBot="1">
      <c r="A7705" s="215"/>
      <c r="B7705" s="216" t="s">
        <v>550</v>
      </c>
      <c r="C7705" s="14" t="s">
        <v>1</v>
      </c>
      <c r="D7705" s="15" t="s">
        <v>2</v>
      </c>
      <c r="E7705" s="15" t="s">
        <v>3</v>
      </c>
      <c r="F7705" s="16" t="s">
        <v>4</v>
      </c>
      <c r="G7705" s="15" t="s">
        <v>5</v>
      </c>
      <c r="H7705" s="215"/>
    </row>
    <row r="7706" spans="1:8" ht="15">
      <c r="A7706" s="211" t="s">
        <v>484</v>
      </c>
      <c r="B7706" s="216" t="str">
        <f ca="1">_xlfn.CONCAT(B7704,A7706)</f>
        <v>2EE83F05-A</v>
      </c>
      <c r="C7706" s="17" t="str">
        <f>_xlfn.XLOOKUP(H7706,'Materiales unitario'!$A$1:$A$2500,'Materiales unitario'!B$1:B$2500,,0,1)</f>
        <v>Cinta aislante Super #33 x 20 mts</v>
      </c>
      <c r="D7706" s="184" t="str">
        <f>_xlfn.XLOOKUP(H7706,'Materiales unitario'!A$1:A$2500,'Materiales unitario'!C$1:C$2500,,0,1)</f>
        <v>rl</v>
      </c>
      <c r="E7706" s="197">
        <f>_xlfn.XLOOKUP(H7706,'Materiales unitario'!$A$1:$A$2500,'Materiales unitario'!D$1:D$2500,,0,1)</f>
        <v>23650.000000000004</v>
      </c>
      <c r="F7706" s="19">
        <v>0.05</v>
      </c>
      <c r="G7706" s="20">
        <f t="shared" ref="G7706:G7711" si="219">+E7706*F7706</f>
        <v>1182.5000000000002</v>
      </c>
      <c r="H7706" s="217" t="s">
        <v>296</v>
      </c>
    </row>
    <row r="7707" spans="1:8" ht="15">
      <c r="A7707" s="211" t="s">
        <v>485</v>
      </c>
      <c r="B7707" s="216" t="str">
        <f ca="1">_xlfn.CONCAT(B7704,A7707)</f>
        <v>2EE83F05-B</v>
      </c>
      <c r="C7707" s="17" t="str">
        <f>_xlfn.XLOOKUP(H7707,'Materiales unitario'!$A$1:$A$2500,'Materiales unitario'!B$1:B$2500,,0,1)</f>
        <v>Cable de cobre aislado #4/0 AWG-THHN/THWN Color negro</v>
      </c>
      <c r="D7707" s="184" t="str">
        <f>_xlfn.XLOOKUP(H7707,'Materiales unitario'!A$1:A$2500,'Materiales unitario'!C$1:C$2500,,0,1)</f>
        <v>ml</v>
      </c>
      <c r="E7707" s="197">
        <f>_xlfn.XLOOKUP(H7707,'Materiales unitario'!$A$1:$A$2500,'Materiales unitario'!D$1:D$2500,,0,1)</f>
        <v>72830</v>
      </c>
      <c r="F7707" s="19">
        <v>4.2</v>
      </c>
      <c r="G7707" s="20">
        <f t="shared" si="219"/>
        <v>305886</v>
      </c>
      <c r="H7707" s="217" t="s">
        <v>272</v>
      </c>
    </row>
    <row r="7708" spans="1:8" ht="15">
      <c r="A7708" s="211" t="s">
        <v>486</v>
      </c>
      <c r="B7708" s="216" t="str">
        <f ca="1">_xlfn.CONCAT(B7704,A7708)</f>
        <v>2EE83F05-C</v>
      </c>
      <c r="C7708" s="17" t="str">
        <f>_xlfn.XLOOKUP(H7708,'Materiales unitario'!$A$1:$A$2500,'Materiales unitario'!B$1:B$2500,,0,1)</f>
        <v>Cable de cobre aislado #2 AWG-THHN/THWN Color negro</v>
      </c>
      <c r="D7708" s="184" t="str">
        <f>_xlfn.XLOOKUP(H7708,'Materiales unitario'!A$1:A$2500,'Materiales unitario'!C$1:C$2500,,0,1)</f>
        <v>ml</v>
      </c>
      <c r="E7708" s="197">
        <f>_xlfn.XLOOKUP(H7708,'Materiales unitario'!$A$1:$A$2500,'Materiales unitario'!D$1:D$2500,,0,1)</f>
        <v>23687</v>
      </c>
      <c r="F7708" s="19">
        <v>1.05</v>
      </c>
      <c r="G7708" s="20">
        <f t="shared" si="219"/>
        <v>24871.350000000002</v>
      </c>
      <c r="H7708" s="217" t="s">
        <v>268</v>
      </c>
    </row>
    <row r="7709" spans="1:8" ht="15">
      <c r="A7709" s="211" t="s">
        <v>487</v>
      </c>
      <c r="B7709" s="216" t="str">
        <f ca="1">_xlfn.CONCAT(B7704,A7709)</f>
        <v>2EE83F05-D</v>
      </c>
      <c r="C7709" s="17" t="str">
        <f>_xlfn.XLOOKUP(H7709,'Materiales unitario'!$A$1:$A$2500,'Materiales unitario'!B$1:B$2500,,0,1)</f>
        <v>Borna terminal estañada  de ojo tipo pala #4/0 AWG</v>
      </c>
      <c r="D7709" s="184" t="str">
        <f>_xlfn.XLOOKUP(H7709,'Materiales unitario'!A$1:A$2500,'Materiales unitario'!C$1:C$2500,,0,1)</f>
        <v>un</v>
      </c>
      <c r="E7709" s="197">
        <f>_xlfn.XLOOKUP(H7709,'Materiales unitario'!$A$1:$A$2500,'Materiales unitario'!D$1:D$2500,,0,1)</f>
        <v>9430</v>
      </c>
      <c r="F7709" s="19">
        <v>0.4</v>
      </c>
      <c r="G7709" s="20">
        <f t="shared" si="219"/>
        <v>3772</v>
      </c>
      <c r="H7709" s="217" t="s">
        <v>250</v>
      </c>
    </row>
    <row r="7710" spans="1:8" ht="15">
      <c r="A7710" s="211" t="s">
        <v>488</v>
      </c>
      <c r="B7710" s="216" t="str">
        <f ca="1">_xlfn.CONCAT(B7704,A7710)</f>
        <v>2EE83F05-E</v>
      </c>
      <c r="C7710" s="17" t="str">
        <f>_xlfn.XLOOKUP(H7710,'Materiales unitario'!$A$1:$A$2500,'Materiales unitario'!B$1:B$2500,,0,1)</f>
        <v>Borna terminal estañada de ojo tipo pala #2 AWG</v>
      </c>
      <c r="D7710" s="184" t="str">
        <f>_xlfn.XLOOKUP(H7710,'Materiales unitario'!A$1:A$2500,'Materiales unitario'!C$1:C$2500,,0,1)</f>
        <v>un</v>
      </c>
      <c r="E7710" s="197">
        <f>_xlfn.XLOOKUP(H7710,'Materiales unitario'!$A$1:$A$2500,'Materiales unitario'!D$1:D$2500,,0,1)</f>
        <v>3251</v>
      </c>
      <c r="F7710" s="19">
        <v>0.2</v>
      </c>
      <c r="G7710" s="20">
        <f t="shared" si="219"/>
        <v>650.20000000000005</v>
      </c>
      <c r="H7710" s="217" t="s">
        <v>252</v>
      </c>
    </row>
    <row r="7711" spans="1:8" ht="15">
      <c r="A7711" s="211" t="s">
        <v>489</v>
      </c>
      <c r="B7711" s="216" t="str">
        <f ca="1">_xlfn.CONCAT(B7704,A7711)</f>
        <v>2EE83F05-F</v>
      </c>
      <c r="C7711" s="17" t="str">
        <f>_xlfn.XLOOKUP(H7711,'Materiales unitario'!$A$1:$A$2500,'Materiales unitario'!B$1:B$2500,,0,1)</f>
        <v>Termoencogible</v>
      </c>
      <c r="D7711" s="184" t="str">
        <f>_xlfn.XLOOKUP(H7711,'Materiales unitario'!A$1:A$2500,'Materiales unitario'!C$1:C$2500,,0,1)</f>
        <v>un</v>
      </c>
      <c r="E7711" s="197">
        <f>_xlfn.XLOOKUP(H7711,'Materiales unitario'!$A$1:$A$2500,'Materiales unitario'!D$1:D$2500,,0,1)</f>
        <v>5000</v>
      </c>
      <c r="F7711" s="19">
        <v>0.1</v>
      </c>
      <c r="G7711" s="20">
        <f t="shared" si="219"/>
        <v>500</v>
      </c>
      <c r="H7711" s="217" t="s">
        <v>373</v>
      </c>
    </row>
    <row r="7712" spans="1:8" ht="15">
      <c r="A7712" s="211" t="s">
        <v>490</v>
      </c>
      <c r="B7712" s="216" t="str">
        <f ca="1">_xlfn.CONCAT(B7704,A7712)</f>
        <v>2EE83F05-G</v>
      </c>
      <c r="C7712" s="17"/>
      <c r="D7712" s="184"/>
      <c r="E7712" s="197"/>
      <c r="F7712" s="19"/>
      <c r="G7712" s="20"/>
      <c r="H7712" s="217"/>
    </row>
    <row r="7713" spans="1:8" ht="15">
      <c r="A7713" s="211" t="s">
        <v>491</v>
      </c>
      <c r="B7713" s="216" t="str">
        <f ca="1">_xlfn.CONCAT(B7704,A7713)</f>
        <v>2EE83F05-H</v>
      </c>
      <c r="C7713" s="17"/>
      <c r="D7713" s="184"/>
      <c r="E7713" s="197"/>
      <c r="F7713" s="19"/>
      <c r="G7713" s="20"/>
      <c r="H7713" s="217"/>
    </row>
    <row r="7714" spans="1:8" ht="15">
      <c r="A7714" s="211" t="s">
        <v>492</v>
      </c>
      <c r="B7714" s="216" t="str">
        <f ca="1">_xlfn.CONCAT(B7704,A7714)</f>
        <v>2EE83F05-I</v>
      </c>
      <c r="C7714" s="17"/>
      <c r="D7714" s="184"/>
      <c r="E7714" s="197"/>
      <c r="F7714" s="19"/>
      <c r="G7714" s="20"/>
      <c r="H7714" s="217"/>
    </row>
    <row r="7715" spans="1:8" ht="15">
      <c r="A7715" s="211" t="s">
        <v>493</v>
      </c>
      <c r="B7715" s="216" t="str">
        <f ca="1">_xlfn.CONCAT(B7704,A7715)</f>
        <v>2EE83F05-J</v>
      </c>
      <c r="C7715" s="17"/>
      <c r="D7715" s="184"/>
      <c r="E7715" s="197"/>
      <c r="F7715" s="19"/>
      <c r="G7715" s="20"/>
      <c r="H7715" s="217"/>
    </row>
    <row r="7716" spans="1:8" ht="15">
      <c r="A7716" s="211" t="s">
        <v>494</v>
      </c>
      <c r="B7716" s="216" t="str">
        <f ca="1">_xlfn.CONCAT(B7704,A7716)</f>
        <v>2EE83F05-K</v>
      </c>
      <c r="C7716" s="17"/>
      <c r="D7716" s="184"/>
      <c r="E7716" s="197"/>
      <c r="F7716" s="19"/>
      <c r="G7716" s="20"/>
      <c r="H7716" s="217"/>
    </row>
    <row r="7717" spans="1:8" ht="15">
      <c r="A7717" s="211" t="s">
        <v>495</v>
      </c>
      <c r="B7717" s="216" t="str">
        <f ca="1">_xlfn.CONCAT(B7704,A7717)</f>
        <v>2EE83F05-L</v>
      </c>
      <c r="C7717" s="17"/>
      <c r="D7717" s="184"/>
      <c r="E7717" s="197"/>
      <c r="F7717" s="19"/>
      <c r="G7717" s="20"/>
      <c r="H7717" s="217"/>
    </row>
    <row r="7718" spans="1:8" ht="15">
      <c r="A7718" s="211" t="s">
        <v>496</v>
      </c>
      <c r="B7718" s="216" t="str">
        <f ca="1">_xlfn.CONCAT(B7704,A7718)</f>
        <v>2EE83F05-M</v>
      </c>
      <c r="C7718" s="17"/>
      <c r="D7718" s="184"/>
      <c r="E7718" s="197"/>
      <c r="F7718" s="19"/>
      <c r="G7718" s="20"/>
      <c r="H7718" s="217"/>
    </row>
    <row r="7719" spans="1:8">
      <c r="A7719" s="211" t="s">
        <v>497</v>
      </c>
      <c r="B7719" s="216" t="str">
        <f ca="1">_xlfn.CONCAT(B7704,A7719)</f>
        <v>2EE83F05-N</v>
      </c>
      <c r="C7719" s="17"/>
      <c r="D7719" s="184"/>
      <c r="E7719" s="197"/>
      <c r="F7719" s="19"/>
      <c r="G7719" s="20"/>
    </row>
    <row r="7720" spans="1:8">
      <c r="A7720" s="211" t="s">
        <v>498</v>
      </c>
      <c r="B7720" s="216" t="str">
        <f ca="1">_xlfn.CONCAT(B7704,A7720)</f>
        <v>2EE83F05-O</v>
      </c>
      <c r="C7720" s="17"/>
      <c r="D7720" s="184"/>
      <c r="E7720" s="197"/>
      <c r="F7720" s="19"/>
      <c r="G7720" s="20"/>
    </row>
    <row r="7721" spans="1:8">
      <c r="A7721" s="211" t="s">
        <v>499</v>
      </c>
      <c r="B7721" s="216" t="str">
        <f ca="1">_xlfn.CONCAT(B7704,A7721)</f>
        <v>2EE83F05-P</v>
      </c>
      <c r="C7721" s="17"/>
      <c r="D7721" s="184"/>
      <c r="E7721" s="197"/>
      <c r="F7721" s="19"/>
      <c r="G7721" s="20"/>
    </row>
    <row r="7722" spans="1:8">
      <c r="A7722" s="211" t="s">
        <v>500</v>
      </c>
      <c r="B7722" s="216" t="str">
        <f ca="1">_xlfn.CONCAT(B7704,A7722)</f>
        <v>2EE83F05-Q</v>
      </c>
      <c r="C7722" s="17"/>
      <c r="D7722" s="184"/>
      <c r="E7722" s="197"/>
      <c r="F7722" s="19"/>
      <c r="G7722" s="20"/>
    </row>
    <row r="7723" spans="1:8">
      <c r="A7723" s="211" t="s">
        <v>501</v>
      </c>
      <c r="B7723" s="216" t="str">
        <f ca="1">_xlfn.CONCAT(B7704,A7723)</f>
        <v>2EE83F05-R</v>
      </c>
      <c r="C7723" s="17"/>
      <c r="D7723" s="184"/>
      <c r="E7723" s="197"/>
      <c r="F7723" s="19"/>
      <c r="G7723" s="20"/>
    </row>
    <row r="7724" spans="1:8">
      <c r="A7724" s="211" t="s">
        <v>502</v>
      </c>
      <c r="B7724" s="216" t="str">
        <f ca="1">_xlfn.CONCAT(B7704,A7724)</f>
        <v>2EE83F05-S</v>
      </c>
      <c r="C7724" s="17"/>
      <c r="D7724" s="184"/>
      <c r="E7724" s="197"/>
      <c r="F7724" s="19"/>
      <c r="G7724" s="20"/>
    </row>
    <row r="7725" spans="1:8">
      <c r="A7725" s="211" t="s">
        <v>503</v>
      </c>
      <c r="B7725" s="216" t="str">
        <f ca="1">_xlfn.CONCAT(B7704,A7725)</f>
        <v>2EE83F05-T</v>
      </c>
      <c r="C7725" s="17"/>
      <c r="D7725" s="184"/>
      <c r="E7725" s="197"/>
      <c r="F7725" s="19"/>
      <c r="G7725" s="20"/>
    </row>
    <row r="7726" spans="1:8" ht="14.25" thickBot="1">
      <c r="A7726" s="211" t="s">
        <v>504</v>
      </c>
      <c r="B7726" s="216" t="str">
        <f ca="1">_xlfn.CONCAT(B7704,A7726)</f>
        <v>2EE83F05-U</v>
      </c>
      <c r="C7726" s="17"/>
      <c r="D7726" s="184"/>
      <c r="E7726" s="197"/>
      <c r="F7726" s="19"/>
      <c r="G7726" s="20"/>
    </row>
    <row r="7727" spans="1:8" ht="14.25" thickBot="1">
      <c r="A7727" s="211" t="s">
        <v>505</v>
      </c>
      <c r="B7727" s="216" t="str">
        <f ca="1">_xlfn.CONCAT(B7704,A7727)</f>
        <v>2EE83F05-V</v>
      </c>
      <c r="C7727" s="17" t="s">
        <v>17</v>
      </c>
      <c r="D7727" s="192" t="s">
        <v>17</v>
      </c>
      <c r="E7727" s="18"/>
      <c r="F7727" s="22" t="s">
        <v>18</v>
      </c>
      <c r="G7727" s="23">
        <f>SUM(G7706:G7726)</f>
        <v>336862.05</v>
      </c>
    </row>
    <row r="7728" spans="1:8" ht="15.75" thickBot="1">
      <c r="A7728" s="211" t="s">
        <v>506</v>
      </c>
      <c r="B7728" s="216" t="str">
        <f ca="1">_xlfn.CONCAT(B7704,A7728)</f>
        <v>2EE83F05-W</v>
      </c>
      <c r="C7728" s="10" t="s">
        <v>19</v>
      </c>
      <c r="D7728" s="190"/>
      <c r="E7728" s="11"/>
      <c r="F7728" s="12"/>
      <c r="G7728" s="13"/>
    </row>
    <row r="7729" spans="1:8" ht="14.25" thickBot="1">
      <c r="A7729" s="211" t="s">
        <v>507</v>
      </c>
      <c r="B7729" s="216" t="str">
        <f ca="1">_xlfn.CONCAT(B7704,A7729)</f>
        <v>2EE83F05-X</v>
      </c>
      <c r="C7729" s="14" t="s">
        <v>1</v>
      </c>
      <c r="D7729" s="15"/>
      <c r="E7729" s="15" t="s">
        <v>20</v>
      </c>
      <c r="F7729" s="16" t="s">
        <v>21</v>
      </c>
      <c r="G7729" s="15" t="s">
        <v>5</v>
      </c>
      <c r="H7729" s="215"/>
    </row>
    <row r="7730" spans="1:8">
      <c r="A7730" s="211" t="s">
        <v>508</v>
      </c>
      <c r="B7730" s="216" t="str">
        <f ca="1">_xlfn.CONCAT(B7704,A7730)</f>
        <v>2EE83F05-Y</v>
      </c>
      <c r="C7730" s="24" t="s">
        <v>22</v>
      </c>
      <c r="D7730" s="184"/>
      <c r="E7730" s="25">
        <f>_xlfn.XLOOKUP(C7730,'H-MO'!B$7:B$30,'H-MO'!D$7:D$30,,0,1)</f>
        <v>2436.5624999999995</v>
      </c>
      <c r="F7730" s="19">
        <v>4</v>
      </c>
      <c r="G7730" s="33">
        <f t="shared" ref="G7730:G7735" si="220">+E7730*F7730</f>
        <v>9746.2499999999982</v>
      </c>
    </row>
    <row r="7731" spans="1:8">
      <c r="A7731" s="211" t="s">
        <v>509</v>
      </c>
      <c r="B7731" s="216" t="str">
        <f ca="1">_xlfn.CONCAT(B7704,A7731)</f>
        <v>2EE83F05-Z</v>
      </c>
      <c r="C7731" s="24" t="s">
        <v>23</v>
      </c>
      <c r="D7731" s="184"/>
      <c r="E7731" s="25">
        <f>_xlfn.XLOOKUP(C7731,'H-MO'!B$7:B$30,'H-MO'!D$7:D$30,,0,1)</f>
        <v>1461.9374999999998</v>
      </c>
      <c r="F7731" s="19">
        <v>0.5</v>
      </c>
      <c r="G7731" s="33">
        <f t="shared" si="220"/>
        <v>730.96874999999989</v>
      </c>
    </row>
    <row r="7732" spans="1:8">
      <c r="A7732" s="211" t="s">
        <v>510</v>
      </c>
      <c r="B7732" s="216" t="str">
        <f ca="1">_xlfn.CONCAT(B7704,A7732)</f>
        <v>2EE83F05-aa</v>
      </c>
      <c r="C7732" s="24" t="s">
        <v>24</v>
      </c>
      <c r="D7732" s="185"/>
      <c r="E7732" s="25">
        <f>_xlfn.XLOOKUP(C7732,'H-MO'!B$7:B$30,'H-MO'!D$7:D$30,,0,1)</f>
        <v>29238.749999999996</v>
      </c>
      <c r="F7732" s="28">
        <v>0.3</v>
      </c>
      <c r="G7732" s="33">
        <f t="shared" si="220"/>
        <v>8771.6249999999982</v>
      </c>
    </row>
    <row r="7733" spans="1:8">
      <c r="A7733" s="211" t="s">
        <v>511</v>
      </c>
      <c r="B7733" s="216" t="str">
        <f ca="1">_xlfn.CONCAT(B7704,A7733)</f>
        <v>2EE83F05-ab</v>
      </c>
      <c r="C7733" s="24" t="s">
        <v>25</v>
      </c>
      <c r="D7733" s="185"/>
      <c r="E7733" s="25">
        <f>_xlfn.XLOOKUP(C7733,'H-MO'!B$7:B$30,'H-MO'!D$7:D$30,,0,1)</f>
        <v>2761.4374999999995</v>
      </c>
      <c r="F7733" s="28">
        <v>2</v>
      </c>
      <c r="G7733" s="33">
        <f t="shared" si="220"/>
        <v>5522.8749999999991</v>
      </c>
    </row>
    <row r="7734" spans="1:8">
      <c r="A7734" s="211" t="s">
        <v>512</v>
      </c>
      <c r="B7734" s="216" t="str">
        <f ca="1">_xlfn.CONCAT(B7704,A7734)</f>
        <v>2EE83F05-ac</v>
      </c>
      <c r="C7734" s="24"/>
      <c r="D7734" s="185"/>
      <c r="E7734" s="29"/>
      <c r="F7734" s="28"/>
      <c r="G7734" s="33">
        <f t="shared" si="220"/>
        <v>0</v>
      </c>
    </row>
    <row r="7735" spans="1:8" ht="14.25" thickBot="1">
      <c r="A7735" s="211" t="s">
        <v>513</v>
      </c>
      <c r="B7735" s="216" t="str">
        <f ca="1">_xlfn.CONCAT(B7704,A7735)</f>
        <v>2EE83F05-ad</v>
      </c>
      <c r="C7735" s="24"/>
      <c r="D7735" s="185"/>
      <c r="E7735" s="29"/>
      <c r="F7735" s="28"/>
      <c r="G7735" s="33">
        <f t="shared" si="220"/>
        <v>0</v>
      </c>
    </row>
    <row r="7736" spans="1:8" ht="14.25" thickBot="1">
      <c r="A7736" s="211" t="s">
        <v>514</v>
      </c>
      <c r="B7736" s="216" t="str">
        <f ca="1">_xlfn.CONCAT(B7704,A7736)</f>
        <v>2EE83F05-ae</v>
      </c>
      <c r="C7736" s="17"/>
      <c r="D7736" s="192"/>
      <c r="E7736" s="18"/>
      <c r="F7736" s="22" t="s">
        <v>26</v>
      </c>
      <c r="G7736" s="23">
        <f>SUM(G7730:G7735)</f>
        <v>24771.718749999996</v>
      </c>
    </row>
    <row r="7737" spans="1:8" ht="15.75" thickBot="1">
      <c r="A7737" s="211" t="s">
        <v>515</v>
      </c>
      <c r="B7737" s="216" t="str">
        <f ca="1">_xlfn.CONCAT(B7704,A7737)</f>
        <v>2EE83F05-af</v>
      </c>
      <c r="C7737" s="10" t="s">
        <v>27</v>
      </c>
      <c r="D7737" s="190"/>
      <c r="E7737" s="11"/>
      <c r="F7737" s="12"/>
      <c r="G7737" s="13"/>
    </row>
    <row r="7738" spans="1:8" ht="14.25" thickBot="1">
      <c r="A7738" s="211" t="s">
        <v>516</v>
      </c>
      <c r="B7738" s="216" t="str">
        <f ca="1">_xlfn.CONCAT(B7704,A7738)</f>
        <v>2EE83F05-ag</v>
      </c>
      <c r="C7738" s="14" t="s">
        <v>1</v>
      </c>
      <c r="D7738" s="15" t="s">
        <v>28</v>
      </c>
      <c r="E7738" s="15" t="s">
        <v>20</v>
      </c>
      <c r="F7738" s="16" t="s">
        <v>21</v>
      </c>
      <c r="G7738" s="15" t="s">
        <v>5</v>
      </c>
      <c r="H7738" s="215"/>
    </row>
    <row r="7739" spans="1:8">
      <c r="A7739" s="211" t="s">
        <v>517</v>
      </c>
      <c r="B7739" s="216" t="str">
        <f ca="1">_xlfn.CONCAT(B7704,A7739)</f>
        <v>2EE83F05-ah</v>
      </c>
      <c r="C7739" s="30" t="s">
        <v>29</v>
      </c>
      <c r="D7739" s="186">
        <f>'H-MO'!$N$77</f>
        <v>725918.52892505517</v>
      </c>
      <c r="E7739" s="31">
        <f>+D7739/8</f>
        <v>90739.816115631897</v>
      </c>
      <c r="F7739" s="32">
        <v>0.8</v>
      </c>
      <c r="G7739" s="33">
        <f>+E7739*F7739</f>
        <v>72591.852892505514</v>
      </c>
      <c r="H7739" s="229"/>
    </row>
    <row r="7740" spans="1:8">
      <c r="A7740" s="211" t="s">
        <v>518</v>
      </c>
      <c r="B7740" s="216" t="str">
        <f ca="1">_xlfn.CONCAT(B7704,A7740)</f>
        <v>2EE83F05-ai</v>
      </c>
      <c r="C7740" s="34" t="s">
        <v>30</v>
      </c>
      <c r="D7740" s="187">
        <f>'H-MO'!$N$86</f>
        <v>685561.39085756091</v>
      </c>
      <c r="E7740" s="29">
        <f>+D7740/8</f>
        <v>85695.173857195114</v>
      </c>
      <c r="F7740" s="28"/>
      <c r="G7740" s="33">
        <f>+E7740*F7740</f>
        <v>0</v>
      </c>
    </row>
    <row r="7741" spans="1:8" ht="14.25" thickBot="1">
      <c r="A7741" s="211" t="s">
        <v>519</v>
      </c>
      <c r="B7741" s="216" t="str">
        <f ca="1">_xlfn.CONCAT(B7704,A7741)</f>
        <v>2EE83F05-aj</v>
      </c>
      <c r="C7741" s="34"/>
      <c r="D7741" s="187"/>
      <c r="E7741" s="29"/>
      <c r="F7741" s="28"/>
      <c r="G7741" s="33">
        <f>+E7741*F7741</f>
        <v>0</v>
      </c>
    </row>
    <row r="7742" spans="1:8" ht="14.25" thickBot="1">
      <c r="A7742" s="211" t="s">
        <v>520</v>
      </c>
      <c r="B7742" s="216" t="str">
        <f ca="1">_xlfn.CONCAT(B7704,A7742)</f>
        <v>2EE83F05-ak</v>
      </c>
      <c r="C7742" s="34"/>
      <c r="D7742" s="185"/>
      <c r="E7742" s="26"/>
      <c r="F7742" s="36" t="s">
        <v>31</v>
      </c>
      <c r="G7742" s="23">
        <f>SUM(G7739:G7741)</f>
        <v>72591.852892505514</v>
      </c>
    </row>
    <row r="7743" spans="1:8" ht="14.25" thickBot="1">
      <c r="A7743" s="211" t="s">
        <v>521</v>
      </c>
      <c r="B7743" s="216" t="str">
        <f ca="1">_xlfn.CONCAT(B7704,A7743)</f>
        <v>2EE83F05-al</v>
      </c>
      <c r="C7743" s="37"/>
      <c r="E7743" s="38"/>
      <c r="F7743" s="22"/>
      <c r="G7743" s="39"/>
    </row>
    <row r="7744" spans="1:8" ht="16.5" thickBot="1">
      <c r="A7744" s="211" t="s">
        <v>522</v>
      </c>
      <c r="B7744" s="216" t="str">
        <f ca="1">_xlfn.CONCAT(B7704,A7744)</f>
        <v>2EE83F05-am</v>
      </c>
      <c r="C7744" s="40"/>
      <c r="D7744" s="193"/>
      <c r="E7744" s="41"/>
      <c r="F7744" s="42"/>
      <c r="G7744" s="43">
        <f>+G7727+G7736+G7742</f>
        <v>434225.62164250552</v>
      </c>
    </row>
    <row r="7745" spans="1:8" ht="21.75" thickBot="1">
      <c r="B7745" s="212" t="s">
        <v>550</v>
      </c>
      <c r="C7745" s="2"/>
      <c r="D7745" s="183"/>
      <c r="F7745" s="4"/>
      <c r="G7745" s="5"/>
    </row>
    <row r="7746" spans="1:8" ht="18.75">
      <c r="A7746" s="213"/>
      <c r="B7746" s="214">
        <v>176</v>
      </c>
      <c r="C7746" s="242" t="str">
        <f ca="1">_xlfn.XLOOKUP(B7746,Cantidades!$A$10:$A$314,Cantidades!$C$10:$C$314,,0,1)</f>
        <v>Suministro e instalacion de acometida en aluminio 3x4/0 +1x250 +x2T</v>
      </c>
      <c r="D7746" s="243"/>
      <c r="E7746" s="243"/>
      <c r="F7746" s="243"/>
      <c r="G7746" s="244"/>
    </row>
    <row r="7747" spans="1:8" ht="19.5" thickBot="1">
      <c r="A7747" s="215"/>
      <c r="B7747" s="216" t="s">
        <v>550</v>
      </c>
      <c r="C7747" s="177"/>
      <c r="D7747" s="189"/>
      <c r="E7747" s="178"/>
      <c r="F7747" s="179" t="s">
        <v>636</v>
      </c>
      <c r="G7747" s="209" t="str">
        <f ca="1">B7748</f>
        <v>5FB65CB-</v>
      </c>
    </row>
    <row r="7748" spans="1:8" ht="15.75" thickBot="1">
      <c r="B7748" s="212" t="str">
        <f ca="1">_xlfn.XLOOKUP(C7746,Cantidades!$C$1:$C$314,Cantidades!$B$1:$B$314,"",0,1)</f>
        <v>5FB65CB-</v>
      </c>
      <c r="C7748" s="10" t="s">
        <v>0</v>
      </c>
      <c r="D7748" s="190"/>
      <c r="E7748" s="11"/>
      <c r="F7748" s="12"/>
      <c r="G7748" s="13"/>
    </row>
    <row r="7749" spans="1:8" ht="14.25" thickBot="1">
      <c r="A7749" s="215"/>
      <c r="B7749" s="216" t="s">
        <v>550</v>
      </c>
      <c r="C7749" s="14" t="s">
        <v>1</v>
      </c>
      <c r="D7749" s="15" t="s">
        <v>2</v>
      </c>
      <c r="E7749" s="15" t="s">
        <v>3</v>
      </c>
      <c r="F7749" s="16" t="s">
        <v>4</v>
      </c>
      <c r="G7749" s="15" t="s">
        <v>5</v>
      </c>
    </row>
    <row r="7750" spans="1:8">
      <c r="A7750" s="211" t="s">
        <v>484</v>
      </c>
      <c r="B7750" s="216" t="str">
        <f ca="1">_xlfn.CONCAT(B7748,A7750)</f>
        <v>5FB65CB-A</v>
      </c>
      <c r="C7750" s="17" t="str">
        <f>_xlfn.XLOOKUP(H7750,'Materiales unitario'!$A$1:$A$2500,'Materiales unitario'!B$1:B$2500,,0,1)</f>
        <v>Cable de Aluminio aislado #4/0 AWG - THHN/THWN</v>
      </c>
      <c r="D7750" s="184" t="str">
        <f>_xlfn.XLOOKUP(H7750,'Materiales unitario'!A$1:A$2500,'Materiales unitario'!C$1:C$2500,,0,1)</f>
        <v>ml</v>
      </c>
      <c r="E7750" s="197">
        <f>_xlfn.XLOOKUP(H7750,'Materiales unitario'!$A$1:$A$2500,'Materiales unitario'!D$1:D$2500,,0,1)</f>
        <v>15589</v>
      </c>
      <c r="F7750" s="19">
        <v>3.15</v>
      </c>
      <c r="G7750" s="20">
        <f t="shared" ref="G7750:G7755" si="221">+E7750*F7750</f>
        <v>49105.35</v>
      </c>
      <c r="H7750" s="211" t="s">
        <v>261</v>
      </c>
    </row>
    <row r="7751" spans="1:8">
      <c r="A7751" s="211" t="s">
        <v>485</v>
      </c>
      <c r="B7751" s="216" t="str">
        <f ca="1">_xlfn.CONCAT(B7748,A7751)</f>
        <v>5FB65CB-B</v>
      </c>
      <c r="C7751" s="17" t="str">
        <f>_xlfn.XLOOKUP(H7751,'Materiales unitario'!$A$1:$A$2500,'Materiales unitario'!B$1:B$2500,,0,1)</f>
        <v>Cable de Aluminio aislado #2 AWG - THHN/THWN</v>
      </c>
      <c r="D7751" s="184" t="str">
        <f>_xlfn.XLOOKUP(H7751,'Materiales unitario'!A$1:A$2500,'Materiales unitario'!C$1:C$2500,,0,1)</f>
        <v>ml</v>
      </c>
      <c r="E7751" s="197">
        <f>_xlfn.XLOOKUP(H7751,'Materiales unitario'!$A$1:$A$2500,'Materiales unitario'!D$1:D$2500,,0,1)</f>
        <v>6188</v>
      </c>
      <c r="F7751" s="19">
        <v>1.05</v>
      </c>
      <c r="G7751" s="20">
        <f t="shared" si="221"/>
        <v>6497.4000000000005</v>
      </c>
      <c r="H7751" s="211" t="s">
        <v>258</v>
      </c>
    </row>
    <row r="7752" spans="1:8">
      <c r="A7752" s="211" t="s">
        <v>486</v>
      </c>
      <c r="B7752" s="216" t="str">
        <f ca="1">_xlfn.CONCAT(B7748,A7752)</f>
        <v>5FB65CB-C</v>
      </c>
      <c r="C7752" s="17" t="str">
        <f>_xlfn.XLOOKUP(H7752,'Materiales unitario'!$A$1:$A$2500,'Materiales unitario'!B$1:B$2500,,0,1)</f>
        <v>Borna bimetálica de ojo tipo pala #4/0 AWG</v>
      </c>
      <c r="D7752" s="184" t="str">
        <f>_xlfn.XLOOKUP(H7752,'Materiales unitario'!A$1:A$2500,'Materiales unitario'!C$1:C$2500,,0,1)</f>
        <v>un</v>
      </c>
      <c r="E7752" s="197">
        <f>_xlfn.XLOOKUP(H7752,'Materiales unitario'!$A$1:$A$2500,'Materiales unitario'!D$1:D$2500,,0,1)</f>
        <v>13804</v>
      </c>
      <c r="F7752" s="19">
        <v>0.6</v>
      </c>
      <c r="G7752" s="20">
        <f t="shared" si="221"/>
        <v>8282.4</v>
      </c>
      <c r="H7752" s="211" t="s">
        <v>246</v>
      </c>
    </row>
    <row r="7753" spans="1:8">
      <c r="A7753" s="211" t="s">
        <v>487</v>
      </c>
      <c r="B7753" s="216" t="str">
        <f ca="1">_xlfn.CONCAT(B7748,A7753)</f>
        <v>5FB65CB-D</v>
      </c>
      <c r="C7753" s="17" t="str">
        <f>_xlfn.XLOOKUP(H7753,'Materiales unitario'!$A$1:$A$2500,'Materiales unitario'!B$1:B$2500,,0,1)</f>
        <v>Borna bimetálica de ojo tipo pala #2 AWG</v>
      </c>
      <c r="D7753" s="184" t="str">
        <f>_xlfn.XLOOKUP(H7753,'Materiales unitario'!A$1:A$2500,'Materiales unitario'!C$1:C$2500,,0,1)</f>
        <v>un</v>
      </c>
      <c r="E7753" s="197">
        <f>_xlfn.XLOOKUP(H7753,'Materiales unitario'!$A$1:$A$2500,'Materiales unitario'!D$1:D$2500,,0,1)</f>
        <v>8806</v>
      </c>
      <c r="F7753" s="19">
        <v>0.1</v>
      </c>
      <c r="G7753" s="20">
        <f t="shared" si="221"/>
        <v>880.6</v>
      </c>
      <c r="H7753" s="211" t="s">
        <v>243</v>
      </c>
    </row>
    <row r="7754" spans="1:8">
      <c r="A7754" s="211" t="s">
        <v>488</v>
      </c>
      <c r="B7754" s="216" t="str">
        <f ca="1">_xlfn.CONCAT(B7748,A7754)</f>
        <v>5FB65CB-E</v>
      </c>
      <c r="C7754" s="17" t="str">
        <f>_xlfn.XLOOKUP(H7754,'Materiales unitario'!$A$1:$A$2500,'Materiales unitario'!B$1:B$2500,,0,1)</f>
        <v>Cable de Aluminio aislado #250 mcm - THHN/THWN</v>
      </c>
      <c r="D7754" s="184" t="str">
        <f>_xlfn.XLOOKUP(H7754,'Materiales unitario'!A$1:A$2500,'Materiales unitario'!C$1:C$2500,,0,1)</f>
        <v>ml</v>
      </c>
      <c r="E7754" s="197">
        <f>_xlfn.XLOOKUP(H7754,'Materiales unitario'!$A$1:$A$2500,'Materiales unitario'!D$1:D$2500,,0,1)</f>
        <v>19230</v>
      </c>
      <c r="F7754" s="19">
        <v>1.05</v>
      </c>
      <c r="G7754" s="20">
        <f t="shared" si="221"/>
        <v>20191.5</v>
      </c>
      <c r="H7754" s="211" t="s">
        <v>1427</v>
      </c>
    </row>
    <row r="7755" spans="1:8">
      <c r="A7755" s="211" t="s">
        <v>489</v>
      </c>
      <c r="B7755" s="216" t="str">
        <f ca="1">_xlfn.CONCAT(B7748,A7755)</f>
        <v>5FB65CB-F</v>
      </c>
      <c r="C7755" s="17" t="str">
        <f>_xlfn.XLOOKUP(H7755,'Materiales unitario'!$A$1:$A$2500,'Materiales unitario'!B$1:B$2500,,0,1)</f>
        <v>Borna bimetálica de ojo tipo pala #250 MCM</v>
      </c>
      <c r="D7755" s="184" t="str">
        <f>_xlfn.XLOOKUP(H7755,'Materiales unitario'!A$1:A$2500,'Materiales unitario'!C$1:C$2500,,0,1)</f>
        <v>un</v>
      </c>
      <c r="E7755" s="197">
        <f>_xlfn.XLOOKUP(H7755,'Materiales unitario'!$A$1:$A$2500,'Materiales unitario'!D$1:D$2500,,0,1)</f>
        <v>17156</v>
      </c>
      <c r="F7755" s="19">
        <v>0.1</v>
      </c>
      <c r="G7755" s="20">
        <f t="shared" si="221"/>
        <v>1715.6000000000001</v>
      </c>
      <c r="H7755" s="211" t="s">
        <v>1430</v>
      </c>
    </row>
    <row r="7756" spans="1:8">
      <c r="A7756" s="211" t="s">
        <v>490</v>
      </c>
      <c r="B7756" s="216" t="str">
        <f ca="1">_xlfn.CONCAT(B7748,A7756)</f>
        <v>5FB65CB-G</v>
      </c>
      <c r="C7756" s="17" t="s">
        <v>144</v>
      </c>
      <c r="D7756" s="184" t="s">
        <v>145</v>
      </c>
      <c r="E7756" s="197">
        <v>23650.000000000004</v>
      </c>
      <c r="F7756" s="19">
        <v>0.05</v>
      </c>
      <c r="G7756" s="20">
        <v>1182.5000000000002</v>
      </c>
      <c r="H7756" s="211" t="s">
        <v>296</v>
      </c>
    </row>
    <row r="7757" spans="1:8">
      <c r="A7757" s="211" t="s">
        <v>491</v>
      </c>
      <c r="B7757" s="216" t="str">
        <f ca="1">_xlfn.CONCAT(B7748,A7757)</f>
        <v>5FB65CB-H</v>
      </c>
      <c r="C7757" s="17" t="s">
        <v>187</v>
      </c>
      <c r="D7757" s="184" t="s">
        <v>9</v>
      </c>
      <c r="E7757" s="197">
        <v>5000</v>
      </c>
      <c r="F7757" s="19">
        <v>0.1</v>
      </c>
      <c r="G7757" s="20">
        <v>500</v>
      </c>
      <c r="H7757" s="211" t="s">
        <v>373</v>
      </c>
    </row>
    <row r="7758" spans="1:8">
      <c r="A7758" s="211" t="s">
        <v>492</v>
      </c>
      <c r="B7758" s="216" t="str">
        <f ca="1">_xlfn.CONCAT(B7748,A7758)</f>
        <v>5FB65CB-I</v>
      </c>
      <c r="C7758" s="17"/>
      <c r="D7758" s="184"/>
      <c r="E7758" s="197"/>
      <c r="F7758" s="19"/>
      <c r="G7758" s="20"/>
    </row>
    <row r="7759" spans="1:8">
      <c r="A7759" s="211" t="s">
        <v>493</v>
      </c>
      <c r="B7759" s="216" t="str">
        <f ca="1">_xlfn.CONCAT(B7748,A7759)</f>
        <v>5FB65CB-J</v>
      </c>
      <c r="C7759" s="17"/>
      <c r="D7759" s="184"/>
      <c r="E7759" s="197"/>
      <c r="F7759" s="19"/>
      <c r="G7759" s="20"/>
    </row>
    <row r="7760" spans="1:8">
      <c r="A7760" s="211" t="s">
        <v>494</v>
      </c>
      <c r="B7760" s="216" t="str">
        <f ca="1">_xlfn.CONCAT(B7748,A7760)</f>
        <v>5FB65CB-K</v>
      </c>
      <c r="C7760" s="17"/>
      <c r="D7760" s="184"/>
      <c r="E7760" s="197"/>
      <c r="F7760" s="19"/>
      <c r="G7760" s="20"/>
    </row>
    <row r="7761" spans="1:8">
      <c r="A7761" s="211" t="s">
        <v>495</v>
      </c>
      <c r="B7761" s="216" t="str">
        <f ca="1">_xlfn.CONCAT(B7748,A7761)</f>
        <v>5FB65CB-L</v>
      </c>
      <c r="C7761" s="17"/>
      <c r="D7761" s="184"/>
      <c r="E7761" s="197"/>
      <c r="F7761" s="19"/>
      <c r="G7761" s="20"/>
    </row>
    <row r="7762" spans="1:8">
      <c r="A7762" s="211" t="s">
        <v>496</v>
      </c>
      <c r="B7762" s="216" t="str">
        <f ca="1">_xlfn.CONCAT(B7748,A7762)</f>
        <v>5FB65CB-M</v>
      </c>
      <c r="C7762" s="17"/>
      <c r="D7762" s="184"/>
      <c r="E7762" s="197"/>
      <c r="F7762" s="19"/>
      <c r="G7762" s="20"/>
    </row>
    <row r="7763" spans="1:8">
      <c r="A7763" s="211" t="s">
        <v>497</v>
      </c>
      <c r="B7763" s="216" t="str">
        <f ca="1">_xlfn.CONCAT(B7748,A7763)</f>
        <v>5FB65CB-N</v>
      </c>
      <c r="C7763" s="17"/>
      <c r="D7763" s="184"/>
      <c r="E7763" s="197"/>
      <c r="F7763" s="19"/>
      <c r="G7763" s="20"/>
    </row>
    <row r="7764" spans="1:8">
      <c r="A7764" s="211" t="s">
        <v>498</v>
      </c>
      <c r="B7764" s="216" t="str">
        <f ca="1">_xlfn.CONCAT(B7748,A7764)</f>
        <v>5FB65CB-O</v>
      </c>
      <c r="C7764" s="17"/>
      <c r="D7764" s="184"/>
      <c r="E7764" s="197"/>
      <c r="F7764" s="19"/>
      <c r="G7764" s="20"/>
    </row>
    <row r="7765" spans="1:8">
      <c r="A7765" s="211" t="s">
        <v>499</v>
      </c>
      <c r="B7765" s="216" t="str">
        <f ca="1">_xlfn.CONCAT(B7748,A7765)</f>
        <v>5FB65CB-P</v>
      </c>
      <c r="C7765" s="17"/>
      <c r="D7765" s="184"/>
      <c r="E7765" s="197"/>
      <c r="F7765" s="19"/>
      <c r="G7765" s="20"/>
    </row>
    <row r="7766" spans="1:8">
      <c r="A7766" s="211" t="s">
        <v>500</v>
      </c>
      <c r="B7766" s="216" t="str">
        <f ca="1">_xlfn.CONCAT(B7748,A7766)</f>
        <v>5FB65CB-Q</v>
      </c>
      <c r="C7766" s="17"/>
      <c r="D7766" s="184"/>
      <c r="E7766" s="197"/>
      <c r="F7766" s="19"/>
      <c r="G7766" s="20"/>
    </row>
    <row r="7767" spans="1:8">
      <c r="A7767" s="211" t="s">
        <v>501</v>
      </c>
      <c r="B7767" s="216" t="str">
        <f ca="1">_xlfn.CONCAT(B7748,A7767)</f>
        <v>5FB65CB-R</v>
      </c>
      <c r="C7767" s="17"/>
      <c r="D7767" s="184"/>
      <c r="E7767" s="197"/>
      <c r="F7767" s="19"/>
      <c r="G7767" s="20"/>
    </row>
    <row r="7768" spans="1:8">
      <c r="A7768" s="211" t="s">
        <v>502</v>
      </c>
      <c r="B7768" s="216" t="str">
        <f ca="1">_xlfn.CONCAT(B7748,A7768)</f>
        <v>5FB65CB-S</v>
      </c>
      <c r="C7768" s="17"/>
      <c r="D7768" s="184"/>
      <c r="E7768" s="197"/>
      <c r="F7768" s="19"/>
      <c r="G7768" s="20"/>
    </row>
    <row r="7769" spans="1:8">
      <c r="A7769" s="211" t="s">
        <v>503</v>
      </c>
      <c r="B7769" s="216" t="str">
        <f ca="1">_xlfn.CONCAT(B7748,A7769)</f>
        <v>5FB65CB-T</v>
      </c>
      <c r="C7769" s="17"/>
      <c r="D7769" s="184"/>
      <c r="E7769" s="197"/>
      <c r="F7769" s="19"/>
      <c r="G7769" s="20"/>
    </row>
    <row r="7770" spans="1:8" ht="14.25" thickBot="1">
      <c r="A7770" s="211" t="s">
        <v>504</v>
      </c>
      <c r="B7770" s="216" t="str">
        <f ca="1">_xlfn.CONCAT(B7748,A7770)</f>
        <v>5FB65CB-U</v>
      </c>
      <c r="C7770" s="17"/>
      <c r="D7770" s="184"/>
      <c r="E7770" s="197"/>
      <c r="F7770" s="19"/>
      <c r="G7770" s="20"/>
    </row>
    <row r="7771" spans="1:8" ht="14.25" thickBot="1">
      <c r="A7771" s="211" t="s">
        <v>505</v>
      </c>
      <c r="B7771" s="216" t="str">
        <f ca="1">_xlfn.CONCAT(B7748,A7771)</f>
        <v>5FB65CB-V</v>
      </c>
      <c r="C7771" s="17" t="s">
        <v>17</v>
      </c>
      <c r="D7771" s="192" t="s">
        <v>17</v>
      </c>
      <c r="E7771" s="18"/>
      <c r="F7771" s="22" t="s">
        <v>18</v>
      </c>
      <c r="G7771" s="23">
        <f>SUM(G7750:G7770)</f>
        <v>88355.35</v>
      </c>
    </row>
    <row r="7772" spans="1:8" ht="15.75" thickBot="1">
      <c r="A7772" s="211" t="s">
        <v>506</v>
      </c>
      <c r="B7772" s="216" t="str">
        <f ca="1">_xlfn.CONCAT(B7748,A7772)</f>
        <v>5FB65CB-W</v>
      </c>
      <c r="C7772" s="10" t="s">
        <v>19</v>
      </c>
      <c r="D7772" s="190"/>
      <c r="E7772" s="11"/>
      <c r="F7772" s="12"/>
      <c r="G7772" s="13"/>
    </row>
    <row r="7773" spans="1:8" ht="14.25" thickBot="1">
      <c r="A7773" s="211" t="s">
        <v>507</v>
      </c>
      <c r="B7773" s="216" t="str">
        <f ca="1">_xlfn.CONCAT(B7748,A7773)</f>
        <v>5FB65CB-X</v>
      </c>
      <c r="C7773" s="14" t="s">
        <v>1</v>
      </c>
      <c r="D7773" s="15"/>
      <c r="E7773" s="15" t="s">
        <v>20</v>
      </c>
      <c r="F7773" s="16" t="s">
        <v>21</v>
      </c>
      <c r="G7773" s="15" t="s">
        <v>5</v>
      </c>
    </row>
    <row r="7774" spans="1:8">
      <c r="A7774" s="211" t="s">
        <v>508</v>
      </c>
      <c r="B7774" s="216" t="str">
        <f ca="1">_xlfn.CONCAT(B7748,A7774)</f>
        <v>5FB65CB-Y</v>
      </c>
      <c r="C7774" s="24" t="s">
        <v>22</v>
      </c>
      <c r="D7774" s="184"/>
      <c r="E7774" s="25">
        <f>_xlfn.XLOOKUP(C7774,'H-MO'!B$7:B$30,'H-MO'!D$7:D$30,,0,1)</f>
        <v>2436.5624999999995</v>
      </c>
      <c r="F7774" s="19">
        <v>0.8</v>
      </c>
      <c r="G7774" s="33">
        <f t="shared" ref="G7774:G7779" si="222">+E7774*F7774</f>
        <v>1949.2499999999998</v>
      </c>
      <c r="H7774" s="234"/>
    </row>
    <row r="7775" spans="1:8">
      <c r="A7775" s="211" t="s">
        <v>509</v>
      </c>
      <c r="B7775" s="216" t="str">
        <f ca="1">_xlfn.CONCAT(B7748,A7775)</f>
        <v>5FB65CB-Z</v>
      </c>
      <c r="C7775" s="24" t="s">
        <v>23</v>
      </c>
      <c r="D7775" s="184"/>
      <c r="E7775" s="25">
        <f>_xlfn.XLOOKUP(C7775,'H-MO'!B$7:B$30,'H-MO'!D$7:D$30,,0,1)</f>
        <v>1461.9374999999998</v>
      </c>
      <c r="F7775" s="19">
        <v>0.05</v>
      </c>
      <c r="G7775" s="33">
        <f t="shared" si="222"/>
        <v>73.096874999999997</v>
      </c>
      <c r="H7775" s="234"/>
    </row>
    <row r="7776" spans="1:8">
      <c r="A7776" s="211" t="s">
        <v>510</v>
      </c>
      <c r="B7776" s="216" t="str">
        <f ca="1">_xlfn.CONCAT(B7748,A7776)</f>
        <v>5FB65CB-aa</v>
      </c>
      <c r="C7776" s="24" t="s">
        <v>24</v>
      </c>
      <c r="D7776" s="185"/>
      <c r="E7776" s="25">
        <f>_xlfn.XLOOKUP(C7776,'H-MO'!B$7:B$30,'H-MO'!D$7:D$30,,0,1)</f>
        <v>29238.749999999996</v>
      </c>
      <c r="F7776" s="28">
        <v>0.1</v>
      </c>
      <c r="G7776" s="33">
        <f t="shared" si="222"/>
        <v>2923.875</v>
      </c>
      <c r="H7776" s="234"/>
    </row>
    <row r="7777" spans="1:8">
      <c r="A7777" s="211" t="s">
        <v>511</v>
      </c>
      <c r="B7777" s="216" t="str">
        <f ca="1">_xlfn.CONCAT(B7748,A7777)</f>
        <v>5FB65CB-ab</v>
      </c>
      <c r="C7777" s="24" t="s">
        <v>25</v>
      </c>
      <c r="D7777" s="185"/>
      <c r="E7777" s="25">
        <f>_xlfn.XLOOKUP(C7777,'H-MO'!B$7:B$30,'H-MO'!D$7:D$30,,0,1)</f>
        <v>2761.4374999999995</v>
      </c>
      <c r="F7777" s="28">
        <v>0.5</v>
      </c>
      <c r="G7777" s="33">
        <f t="shared" si="222"/>
        <v>1380.7187499999998</v>
      </c>
      <c r="H7777" s="234"/>
    </row>
    <row r="7778" spans="1:8">
      <c r="A7778" s="211" t="s">
        <v>512</v>
      </c>
      <c r="B7778" s="216" t="str">
        <f ca="1">_xlfn.CONCAT(B7748,A7778)</f>
        <v>5FB65CB-ac</v>
      </c>
      <c r="C7778" s="24"/>
      <c r="D7778" s="185"/>
      <c r="E7778" s="29"/>
      <c r="F7778" s="28"/>
      <c r="G7778" s="33">
        <f t="shared" si="222"/>
        <v>0</v>
      </c>
      <c r="H7778" s="234"/>
    </row>
    <row r="7779" spans="1:8" ht="14.25" thickBot="1">
      <c r="A7779" s="211" t="s">
        <v>513</v>
      </c>
      <c r="B7779" s="216" t="str">
        <f ca="1">_xlfn.CONCAT(B7748,A7779)</f>
        <v>5FB65CB-ad</v>
      </c>
      <c r="C7779" s="24"/>
      <c r="D7779" s="185"/>
      <c r="E7779" s="29"/>
      <c r="F7779" s="28"/>
      <c r="G7779" s="33">
        <f t="shared" si="222"/>
        <v>0</v>
      </c>
      <c r="H7779" s="234"/>
    </row>
    <row r="7780" spans="1:8" ht="14.25" thickBot="1">
      <c r="A7780" s="211" t="s">
        <v>514</v>
      </c>
      <c r="B7780" s="216" t="str">
        <f ca="1">_xlfn.CONCAT(B7748,A7780)</f>
        <v>5FB65CB-ae</v>
      </c>
      <c r="C7780" s="17"/>
      <c r="D7780" s="192"/>
      <c r="E7780" s="18"/>
      <c r="F7780" s="22" t="s">
        <v>26</v>
      </c>
      <c r="G7780" s="23">
        <f>SUM(G7774:G7779)</f>
        <v>6326.9406249999993</v>
      </c>
      <c r="H7780" s="234"/>
    </row>
    <row r="7781" spans="1:8" ht="15.75" thickBot="1">
      <c r="A7781" s="211" t="s">
        <v>515</v>
      </c>
      <c r="B7781" s="216" t="str">
        <f ca="1">_xlfn.CONCAT(B7748,A7781)</f>
        <v>5FB65CB-af</v>
      </c>
      <c r="C7781" s="10" t="s">
        <v>27</v>
      </c>
      <c r="D7781" s="190"/>
      <c r="E7781" s="11"/>
      <c r="F7781" s="12"/>
      <c r="G7781" s="13"/>
      <c r="H7781" s="234"/>
    </row>
    <row r="7782" spans="1:8" ht="14.25" thickBot="1">
      <c r="A7782" s="211" t="s">
        <v>516</v>
      </c>
      <c r="B7782" s="216" t="str">
        <f ca="1">_xlfn.CONCAT(B7748,A7782)</f>
        <v>5FB65CB-ag</v>
      </c>
      <c r="C7782" s="14" t="s">
        <v>1</v>
      </c>
      <c r="D7782" s="15" t="s">
        <v>28</v>
      </c>
      <c r="E7782" s="15" t="s">
        <v>20</v>
      </c>
      <c r="F7782" s="16" t="s">
        <v>21</v>
      </c>
      <c r="G7782" s="15" t="s">
        <v>5</v>
      </c>
      <c r="H7782" s="234"/>
    </row>
    <row r="7783" spans="1:8">
      <c r="A7783" s="211" t="s">
        <v>517</v>
      </c>
      <c r="B7783" s="216" t="str">
        <f ca="1">_xlfn.CONCAT(B7748,A7783)</f>
        <v>5FB65CB-ah</v>
      </c>
      <c r="C7783" s="30" t="s">
        <v>29</v>
      </c>
      <c r="D7783" s="186">
        <f>'H-MO'!$N$77</f>
        <v>725918.52892505517</v>
      </c>
      <c r="E7783" s="31">
        <f>+D7783/8</f>
        <v>90739.816115631897</v>
      </c>
      <c r="F7783" s="32">
        <v>0.82</v>
      </c>
      <c r="G7783" s="33">
        <f>+E7783*F7783</f>
        <v>74406.649214818157</v>
      </c>
      <c r="H7783" s="234"/>
    </row>
    <row r="7784" spans="1:8">
      <c r="A7784" s="211" t="s">
        <v>518</v>
      </c>
      <c r="B7784" s="216" t="str">
        <f ca="1">_xlfn.CONCAT(B7748,A7784)</f>
        <v>5FB65CB-ai</v>
      </c>
      <c r="C7784" s="34" t="s">
        <v>30</v>
      </c>
      <c r="D7784" s="187">
        <f>'H-MO'!$N$86</f>
        <v>685561.39085756091</v>
      </c>
      <c r="E7784" s="29">
        <f>+D7784/8</f>
        <v>85695.173857195114</v>
      </c>
      <c r="F7784" s="28">
        <v>0</v>
      </c>
      <c r="G7784" s="33">
        <f>+E7784*F7784</f>
        <v>0</v>
      </c>
      <c r="H7784" s="234"/>
    </row>
    <row r="7785" spans="1:8" ht="14.25" thickBot="1">
      <c r="A7785" s="211" t="s">
        <v>519</v>
      </c>
      <c r="B7785" s="216" t="str">
        <f ca="1">_xlfn.CONCAT(B7748,A7785)</f>
        <v>5FB65CB-aj</v>
      </c>
      <c r="C7785" s="34"/>
      <c r="D7785" s="187"/>
      <c r="E7785" s="29"/>
      <c r="F7785" s="28"/>
      <c r="G7785" s="33">
        <f>+E7785*F7785</f>
        <v>0</v>
      </c>
    </row>
    <row r="7786" spans="1:8" ht="14.25" thickBot="1">
      <c r="A7786" s="211" t="s">
        <v>520</v>
      </c>
      <c r="B7786" s="216" t="str">
        <f ca="1">_xlfn.CONCAT(B7748,A7786)</f>
        <v>5FB65CB-ak</v>
      </c>
      <c r="C7786" s="34"/>
      <c r="D7786" s="185"/>
      <c r="E7786" s="26"/>
      <c r="F7786" s="36" t="s">
        <v>31</v>
      </c>
      <c r="G7786" s="23">
        <f>SUM(G7783:G7785)</f>
        <v>74406.649214818157</v>
      </c>
    </row>
    <row r="7787" spans="1:8" ht="14.25" thickBot="1">
      <c r="A7787" s="211" t="s">
        <v>521</v>
      </c>
      <c r="B7787" s="216" t="str">
        <f ca="1">_xlfn.CONCAT(B7748,A7787)</f>
        <v>5FB65CB-al</v>
      </c>
      <c r="C7787" s="37"/>
      <c r="E7787" s="38"/>
      <c r="F7787" s="22"/>
      <c r="G7787" s="39"/>
    </row>
    <row r="7788" spans="1:8" ht="16.5" thickBot="1">
      <c r="A7788" s="211" t="s">
        <v>522</v>
      </c>
      <c r="B7788" s="216" t="str">
        <f ca="1">_xlfn.CONCAT(B7748,A7788)</f>
        <v>5FB65CB-am</v>
      </c>
      <c r="C7788" s="40"/>
      <c r="D7788" s="193"/>
      <c r="E7788" s="41"/>
      <c r="F7788" s="42"/>
      <c r="G7788" s="43">
        <f>+G7771+G7780+G7786</f>
        <v>169088.93983981817</v>
      </c>
    </row>
    <row r="7789" spans="1:8" ht="21.75" thickBot="1">
      <c r="B7789" s="212" t="s">
        <v>550</v>
      </c>
      <c r="C7789" s="2"/>
      <c r="D7789" s="183"/>
      <c r="F7789" s="4"/>
      <c r="G7789" s="5"/>
    </row>
    <row r="7790" spans="1:8" ht="18.75">
      <c r="A7790" s="213"/>
      <c r="B7790" s="214">
        <v>177</v>
      </c>
      <c r="C7790" s="242" t="str">
        <f ca="1">_xlfn.XLOOKUP(B7790,Cantidades!$A$10:$A$314,Cantidades!$C$10:$C$314,,0,1)</f>
        <v>Suministro e instalacion de acometida en cobre 3x8 +1x6 +1x8T en tubo EMT 1"</v>
      </c>
      <c r="D7790" s="243"/>
      <c r="E7790" s="243"/>
      <c r="F7790" s="243"/>
      <c r="G7790" s="244"/>
    </row>
    <row r="7791" spans="1:8" ht="19.5" thickBot="1">
      <c r="A7791" s="215"/>
      <c r="B7791" s="216" t="s">
        <v>550</v>
      </c>
      <c r="C7791" s="177"/>
      <c r="D7791" s="189"/>
      <c r="E7791" s="178"/>
      <c r="F7791" s="179" t="s">
        <v>636</v>
      </c>
      <c r="G7791" s="209" t="str">
        <f ca="1">B7792</f>
        <v>30ABD4DA3-</v>
      </c>
    </row>
    <row r="7792" spans="1:8" ht="15.75" thickBot="1">
      <c r="B7792" s="212" t="str">
        <f ca="1">_xlfn.XLOOKUP(C7790,Cantidades!$C$1:$C$314,Cantidades!$B$1:$B$314,"",0,1)</f>
        <v>30ABD4DA3-</v>
      </c>
      <c r="C7792" s="10" t="s">
        <v>0</v>
      </c>
      <c r="D7792" s="190"/>
      <c r="E7792" s="11"/>
      <c r="F7792" s="12"/>
      <c r="G7792" s="13"/>
    </row>
    <row r="7793" spans="1:8" ht="14.25" thickBot="1">
      <c r="A7793" s="215"/>
      <c r="B7793" s="216" t="s">
        <v>550</v>
      </c>
      <c r="C7793" s="14" t="s">
        <v>1</v>
      </c>
      <c r="D7793" s="15" t="s">
        <v>2</v>
      </c>
      <c r="E7793" s="15" t="s">
        <v>3</v>
      </c>
      <c r="F7793" s="16" t="s">
        <v>4</v>
      </c>
      <c r="G7793" s="15" t="s">
        <v>5</v>
      </c>
    </row>
    <row r="7794" spans="1:8">
      <c r="A7794" s="211" t="s">
        <v>484</v>
      </c>
      <c r="B7794" s="216" t="str">
        <f ca="1">_xlfn.CONCAT(B7792,A7794)</f>
        <v>30ABD4DA3-A</v>
      </c>
      <c r="C7794" s="17" t="str">
        <f>_xlfn.XLOOKUP(H7794,'Materiales unitario'!$A$1:$A$2500,'Materiales unitario'!B$1:B$2500,,0,1)</f>
        <v>Cable de cobre aislado #8 AWG-THHN/THWN Color negro</v>
      </c>
      <c r="D7794" s="184" t="str">
        <f>_xlfn.XLOOKUP(H7794,'Materiales unitario'!A$1:A$2500,'Materiales unitario'!C$1:C$2500,,0,1)</f>
        <v>ml</v>
      </c>
      <c r="E7794" s="197">
        <f>_xlfn.XLOOKUP(H7794,'Materiales unitario'!$A$1:$A$2500,'Materiales unitario'!D$1:D$2500,,0,1)</f>
        <v>6400</v>
      </c>
      <c r="F7794" s="19">
        <v>4.2</v>
      </c>
      <c r="G7794" s="20">
        <f>+E7794*F7794</f>
        <v>26880</v>
      </c>
      <c r="H7794" s="211" t="s">
        <v>274</v>
      </c>
    </row>
    <row r="7795" spans="1:8">
      <c r="A7795" s="211" t="s">
        <v>485</v>
      </c>
      <c r="B7795" s="216" t="str">
        <f ca="1">_xlfn.CONCAT(B7792,A7795)</f>
        <v>30ABD4DA3-B</v>
      </c>
      <c r="C7795" s="17" t="str">
        <f>_xlfn.XLOOKUP(H7795,'Materiales unitario'!$A$1:$A$2500,'Materiales unitario'!B$1:B$2500,,0,1)</f>
        <v>Cable de cobre aislado #6 AWG-THHN/THWN Color negro</v>
      </c>
      <c r="D7795" s="184" t="str">
        <f>_xlfn.XLOOKUP(H7795,'Materiales unitario'!A$1:A$2500,'Materiales unitario'!C$1:C$2500,,0,1)</f>
        <v>ml</v>
      </c>
      <c r="E7795" s="197">
        <f>_xlfn.XLOOKUP(H7795,'Materiales unitario'!$A$1:$A$2500,'Materiales unitario'!D$1:D$2500,,0,1)</f>
        <v>10300</v>
      </c>
      <c r="F7795" s="19">
        <v>1.05</v>
      </c>
      <c r="G7795" s="20">
        <f>+E7795*F7795</f>
        <v>10815</v>
      </c>
      <c r="H7795" s="211" t="s">
        <v>273</v>
      </c>
    </row>
    <row r="7796" spans="1:8">
      <c r="A7796" s="211" t="s">
        <v>486</v>
      </c>
      <c r="B7796" s="216" t="str">
        <f ca="1">_xlfn.CONCAT(B7792,A7796)</f>
        <v>30ABD4DA3-C</v>
      </c>
      <c r="C7796" s="17" t="str">
        <f>_xlfn.XLOOKUP(H7796,'Materiales unitario'!$A$1:$A$2500,'Materiales unitario'!B$1:B$2500,,0,1)</f>
        <v>Borna terminal estañada de ojo tipo pala #8 AWG</v>
      </c>
      <c r="D7796" s="184" t="str">
        <f>_xlfn.XLOOKUP(H7796,'Materiales unitario'!A$1:A$2500,'Materiales unitario'!C$1:C$2500,,0,1)</f>
        <v>un</v>
      </c>
      <c r="E7796" s="197">
        <f>_xlfn.XLOOKUP(H7796,'Materiales unitario'!$A$1:$A$2500,'Materiales unitario'!D$1:D$2500,,0,1)</f>
        <v>1200</v>
      </c>
      <c r="F7796" s="19">
        <v>0.5</v>
      </c>
      <c r="G7796" s="20">
        <f>+E7796*F7796</f>
        <v>600</v>
      </c>
      <c r="H7796" s="211" t="s">
        <v>255</v>
      </c>
    </row>
    <row r="7797" spans="1:8">
      <c r="A7797" s="211" t="s">
        <v>487</v>
      </c>
      <c r="B7797" s="216" t="str">
        <f ca="1">_xlfn.CONCAT(B7792,A7797)</f>
        <v>30ABD4DA3-D</v>
      </c>
      <c r="C7797" s="17" t="str">
        <f>_xlfn.XLOOKUP(H7797,'Materiales unitario'!$A$1:$A$2500,'Materiales unitario'!B$1:B$2500,,0,1)</f>
        <v>Borna terminal estañada de ojo tipo pala #6 AWG</v>
      </c>
      <c r="D7797" s="184" t="str">
        <f>_xlfn.XLOOKUP(H7797,'Materiales unitario'!A$1:A$2500,'Materiales unitario'!C$1:C$2500,,0,1)</f>
        <v>un</v>
      </c>
      <c r="E7797" s="197">
        <f>_xlfn.XLOOKUP(H7797,'Materiales unitario'!$A$1:$A$2500,'Materiales unitario'!D$1:D$2500,,0,1)</f>
        <v>1800</v>
      </c>
      <c r="F7797" s="19">
        <v>0.3</v>
      </c>
      <c r="G7797" s="20">
        <f>+E7797*F7797</f>
        <v>540</v>
      </c>
      <c r="H7797" s="211" t="s">
        <v>254</v>
      </c>
    </row>
    <row r="7798" spans="1:8">
      <c r="A7798" s="211" t="s">
        <v>488</v>
      </c>
      <c r="B7798" s="216" t="str">
        <f ca="1">_xlfn.CONCAT(B7792,A7798)</f>
        <v>30ABD4DA3-E</v>
      </c>
      <c r="C7798" s="17" t="str">
        <f>_xlfn.XLOOKUP(H7798,'Materiales unitario'!$A$1:$A$2500,'Materiales unitario'!B$1:B$2500,,0,1)</f>
        <v>Termoencogible</v>
      </c>
      <c r="D7798" s="184" t="str">
        <f>_xlfn.XLOOKUP(H7798,'Materiales unitario'!A$1:A$2500,'Materiales unitario'!C$1:C$2500,,0,1)</f>
        <v>un</v>
      </c>
      <c r="E7798" s="197">
        <f>_xlfn.XLOOKUP(H7798,'Materiales unitario'!$A$1:$A$2500,'Materiales unitario'!D$1:D$2500,,0,1)</f>
        <v>5000</v>
      </c>
      <c r="F7798" s="19">
        <v>0.1</v>
      </c>
      <c r="G7798" s="20">
        <f>+E7798*F7798</f>
        <v>500</v>
      </c>
      <c r="H7798" s="211" t="s">
        <v>373</v>
      </c>
    </row>
    <row r="7799" spans="1:8">
      <c r="A7799" s="211" t="s">
        <v>489</v>
      </c>
      <c r="B7799" s="216" t="str">
        <f ca="1">_xlfn.CONCAT(B7792,A7799)</f>
        <v>30ABD4DA3-F</v>
      </c>
      <c r="C7799" s="17"/>
      <c r="D7799" s="184"/>
      <c r="E7799" s="197"/>
      <c r="F7799" s="19"/>
      <c r="G7799" s="20"/>
    </row>
    <row r="7800" spans="1:8">
      <c r="A7800" s="211" t="s">
        <v>490</v>
      </c>
      <c r="B7800" s="216" t="str">
        <f ca="1">_xlfn.CONCAT(B7792,A7800)</f>
        <v>30ABD4DA3-G</v>
      </c>
      <c r="C7800" s="17" t="str">
        <f>_xlfn.XLOOKUP(H7800,'Materiales unitario'!$A$1:$A$2500,'Materiales unitario'!B$1:B$2500,,0,1)</f>
        <v>Tubo metálico ø1" EMT</v>
      </c>
      <c r="D7800" s="184" t="str">
        <f>_xlfn.XLOOKUP(H7800,'Materiales unitario'!A$1:A$2500,'Materiales unitario'!C$1:C$2500,,0,1)</f>
        <v>ml</v>
      </c>
      <c r="E7800" s="197">
        <f>_xlfn.XLOOKUP(H7800,'Materiales unitario'!$A$1:$A$2500,'Materiales unitario'!D$1:D$2500,,0,1)</f>
        <v>15300</v>
      </c>
      <c r="F7800" s="19">
        <v>1.05</v>
      </c>
      <c r="G7800" s="20">
        <f>+E7800*F7800</f>
        <v>16065</v>
      </c>
      <c r="H7800" s="211" t="s">
        <v>815</v>
      </c>
    </row>
    <row r="7801" spans="1:8">
      <c r="A7801" s="211" t="s">
        <v>491</v>
      </c>
      <c r="B7801" s="216" t="str">
        <f ca="1">_xlfn.CONCAT(B7792,A7801)</f>
        <v>30ABD4DA3-H</v>
      </c>
      <c r="C7801" s="17" t="str">
        <f>_xlfn.XLOOKUP(H7801,'Materiales unitario'!$A$1:$A$2500,'Materiales unitario'!B$1:B$2500,,0,1)</f>
        <v>Unión metálica ø1" EMT</v>
      </c>
      <c r="D7801" s="184" t="str">
        <f>_xlfn.XLOOKUP(H7801,'Materiales unitario'!A$1:A$2500,'Materiales unitario'!C$1:C$2500,,0,1)</f>
        <v>un</v>
      </c>
      <c r="E7801" s="197">
        <f>_xlfn.XLOOKUP(H7801,'Materiales unitario'!$A$1:$A$2500,'Materiales unitario'!D$1:D$2500,,0,1)</f>
        <v>3500</v>
      </c>
      <c r="F7801" s="19">
        <v>0.35</v>
      </c>
      <c r="G7801" s="20">
        <f>+E7801*F7801</f>
        <v>1225</v>
      </c>
      <c r="H7801" s="211" t="s">
        <v>819</v>
      </c>
    </row>
    <row r="7802" spans="1:8">
      <c r="A7802" s="211" t="s">
        <v>492</v>
      </c>
      <c r="B7802" s="216" t="str">
        <f ca="1">_xlfn.CONCAT(B7792,A7802)</f>
        <v>30ABD4DA3-I</v>
      </c>
      <c r="C7802" s="17" t="str">
        <f>_xlfn.XLOOKUP(H7802,'Materiales unitario'!$A$1:$A$2500,'Materiales unitario'!B$1:B$2500,,0,1)</f>
        <v xml:space="preserve">Terminal metálico ø1" EMT </v>
      </c>
      <c r="D7802" s="184" t="str">
        <f>_xlfn.XLOOKUP(H7802,'Materiales unitario'!A$1:A$2500,'Materiales unitario'!C$1:C$2500,,0,1)</f>
        <v>un</v>
      </c>
      <c r="E7802" s="197">
        <f>_xlfn.XLOOKUP(H7802,'Materiales unitario'!$A$1:$A$2500,'Materiales unitario'!D$1:D$2500,,0,1)</f>
        <v>2800</v>
      </c>
      <c r="F7802" s="19">
        <v>0.1</v>
      </c>
      <c r="G7802" s="20">
        <f>+E7802*F7802</f>
        <v>280</v>
      </c>
      <c r="H7802" s="211" t="s">
        <v>820</v>
      </c>
    </row>
    <row r="7803" spans="1:8">
      <c r="A7803" s="211" t="s">
        <v>493</v>
      </c>
      <c r="B7803" s="216" t="str">
        <f ca="1">_xlfn.CONCAT(B7792,A7803)</f>
        <v>30ABD4DA3-J</v>
      </c>
      <c r="C7803" s="17" t="str">
        <f>_xlfn.XLOOKUP(H7803,'Materiales unitario'!$A$1:$A$2500,'Materiales unitario'!B$1:B$2500,,0,1)</f>
        <v>Curva metálica ø1" EMT</v>
      </c>
      <c r="D7803" s="184" t="str">
        <f>_xlfn.XLOOKUP(H7803,'Materiales unitario'!A$1:A$2500,'Materiales unitario'!C$1:C$2500,,0,1)</f>
        <v>un</v>
      </c>
      <c r="E7803" s="197">
        <f>_xlfn.XLOOKUP(H7803,'Materiales unitario'!$A$1:$A$2500,'Materiales unitario'!D$1:D$2500,,0,1)</f>
        <v>3890</v>
      </c>
      <c r="F7803" s="19">
        <v>0.1</v>
      </c>
      <c r="G7803" s="20">
        <f>+E7803*F7803</f>
        <v>389</v>
      </c>
      <c r="H7803" s="211" t="s">
        <v>821</v>
      </c>
    </row>
    <row r="7804" spans="1:8">
      <c r="A7804" s="211" t="s">
        <v>494</v>
      </c>
      <c r="B7804" s="216" t="str">
        <f ca="1">_xlfn.CONCAT(B7792,A7804)</f>
        <v>30ABD4DA3-K</v>
      </c>
      <c r="C7804" s="17" t="str">
        <f>_xlfn.XLOOKUP(H7804,'Materiales unitario'!$A$1:$A$2500,'Materiales unitario'!B$1:B$2500,,0,1)</f>
        <v xml:space="preserve">Soporte Metálico Uniestruc Tubería ø1" </v>
      </c>
      <c r="D7804" s="184" t="str">
        <f>_xlfn.XLOOKUP(H7804,'Materiales unitario'!A$1:A$2500,'Materiales unitario'!C$1:C$2500,,0,1)</f>
        <v>un</v>
      </c>
      <c r="E7804" s="197">
        <f>_xlfn.XLOOKUP(H7804,'Materiales unitario'!$A$1:$A$2500,'Materiales unitario'!D$1:D$2500,,0,1)</f>
        <v>1300</v>
      </c>
      <c r="F7804" s="19">
        <v>0.75</v>
      </c>
      <c r="G7804" s="20">
        <f>+E7804*F7804</f>
        <v>975</v>
      </c>
      <c r="H7804" s="211" t="s">
        <v>579</v>
      </c>
    </row>
    <row r="7805" spans="1:8">
      <c r="A7805" s="211" t="s">
        <v>495</v>
      </c>
      <c r="B7805" s="216" t="str">
        <f ca="1">_xlfn.CONCAT(B7792,A7805)</f>
        <v>30ABD4DA3-L</v>
      </c>
      <c r="C7805" s="17"/>
      <c r="D7805" s="184"/>
      <c r="E7805" s="197"/>
      <c r="F7805" s="19"/>
      <c r="G7805" s="20"/>
    </row>
    <row r="7806" spans="1:8">
      <c r="A7806" s="211" t="s">
        <v>496</v>
      </c>
      <c r="B7806" s="216" t="str">
        <f ca="1">_xlfn.CONCAT(B7792,A7806)</f>
        <v>30ABD4DA3-M</v>
      </c>
      <c r="C7806" s="17"/>
      <c r="D7806" s="184"/>
      <c r="E7806" s="197"/>
      <c r="F7806" s="19"/>
      <c r="G7806" s="20"/>
    </row>
    <row r="7807" spans="1:8">
      <c r="A7807" s="211" t="s">
        <v>497</v>
      </c>
      <c r="B7807" s="216" t="str">
        <f ca="1">_xlfn.CONCAT(B7792,A7807)</f>
        <v>30ABD4DA3-N</v>
      </c>
      <c r="C7807" s="17"/>
      <c r="D7807" s="184"/>
      <c r="E7807" s="197"/>
      <c r="F7807" s="19"/>
      <c r="G7807" s="20"/>
    </row>
    <row r="7808" spans="1:8">
      <c r="A7808" s="211" t="s">
        <v>498</v>
      </c>
      <c r="B7808" s="216" t="str">
        <f ca="1">_xlfn.CONCAT(B7792,A7808)</f>
        <v>30ABD4DA3-O</v>
      </c>
      <c r="C7808" s="17"/>
      <c r="D7808" s="184"/>
      <c r="E7808" s="197"/>
      <c r="F7808" s="19"/>
      <c r="G7808" s="20"/>
    </row>
    <row r="7809" spans="1:8">
      <c r="A7809" s="211" t="s">
        <v>499</v>
      </c>
      <c r="B7809" s="216" t="str">
        <f ca="1">_xlfn.CONCAT(B7792,A7809)</f>
        <v>30ABD4DA3-P</v>
      </c>
      <c r="C7809" s="17"/>
      <c r="D7809" s="184"/>
      <c r="E7809" s="197"/>
      <c r="F7809" s="19"/>
      <c r="G7809" s="20"/>
    </row>
    <row r="7810" spans="1:8">
      <c r="A7810" s="211" t="s">
        <v>500</v>
      </c>
      <c r="B7810" s="216" t="str">
        <f ca="1">_xlfn.CONCAT(B7792,A7810)</f>
        <v>30ABD4DA3-Q</v>
      </c>
      <c r="C7810" s="17"/>
      <c r="D7810" s="184"/>
      <c r="E7810" s="197"/>
      <c r="F7810" s="19"/>
      <c r="G7810" s="20"/>
    </row>
    <row r="7811" spans="1:8">
      <c r="A7811" s="211" t="s">
        <v>501</v>
      </c>
      <c r="B7811" s="216" t="str">
        <f ca="1">_xlfn.CONCAT(B7792,A7811)</f>
        <v>30ABD4DA3-R</v>
      </c>
      <c r="C7811" s="17"/>
      <c r="D7811" s="184"/>
      <c r="E7811" s="197"/>
      <c r="F7811" s="19"/>
      <c r="G7811" s="20"/>
    </row>
    <row r="7812" spans="1:8">
      <c r="A7812" s="211" t="s">
        <v>502</v>
      </c>
      <c r="B7812" s="216" t="str">
        <f ca="1">_xlfn.CONCAT(B7792,A7812)</f>
        <v>30ABD4DA3-S</v>
      </c>
      <c r="C7812" s="17"/>
      <c r="D7812" s="184"/>
      <c r="E7812" s="197"/>
      <c r="F7812" s="19"/>
      <c r="G7812" s="20"/>
    </row>
    <row r="7813" spans="1:8">
      <c r="A7813" s="211" t="s">
        <v>503</v>
      </c>
      <c r="B7813" s="216" t="str">
        <f ca="1">_xlfn.CONCAT(B7792,A7813)</f>
        <v>30ABD4DA3-T</v>
      </c>
      <c r="C7813" s="17"/>
      <c r="D7813" s="184"/>
      <c r="E7813" s="197"/>
      <c r="F7813" s="19"/>
      <c r="G7813" s="20"/>
    </row>
    <row r="7814" spans="1:8" ht="14.25" thickBot="1">
      <c r="A7814" s="211" t="s">
        <v>504</v>
      </c>
      <c r="B7814" s="216" t="str">
        <f ca="1">_xlfn.CONCAT(B7792,A7814)</f>
        <v>30ABD4DA3-U</v>
      </c>
      <c r="C7814" s="17"/>
      <c r="D7814" s="184"/>
      <c r="E7814" s="197"/>
      <c r="F7814" s="19"/>
      <c r="G7814" s="20"/>
    </row>
    <row r="7815" spans="1:8" ht="14.25" thickBot="1">
      <c r="A7815" s="211" t="s">
        <v>505</v>
      </c>
      <c r="B7815" s="216" t="str">
        <f ca="1">_xlfn.CONCAT(B7792,A7815)</f>
        <v>30ABD4DA3-V</v>
      </c>
      <c r="C7815" s="17" t="s">
        <v>17</v>
      </c>
      <c r="D7815" s="192" t="s">
        <v>17</v>
      </c>
      <c r="E7815" s="18"/>
      <c r="F7815" s="22" t="s">
        <v>18</v>
      </c>
      <c r="G7815" s="23">
        <f>SUM(G7794:G7814)</f>
        <v>58269</v>
      </c>
    </row>
    <row r="7816" spans="1:8" ht="15.75" thickBot="1">
      <c r="A7816" s="211" t="s">
        <v>506</v>
      </c>
      <c r="B7816" s="216" t="str">
        <f ca="1">_xlfn.CONCAT(B7792,A7816)</f>
        <v>30ABD4DA3-W</v>
      </c>
      <c r="C7816" s="10" t="s">
        <v>19</v>
      </c>
      <c r="D7816" s="190"/>
      <c r="E7816" s="11"/>
      <c r="F7816" s="12"/>
      <c r="G7816" s="13"/>
    </row>
    <row r="7817" spans="1:8" ht="14.25" thickBot="1">
      <c r="A7817" s="211" t="s">
        <v>507</v>
      </c>
      <c r="B7817" s="216" t="str">
        <f ca="1">_xlfn.CONCAT(B7792,A7817)</f>
        <v>30ABD4DA3-X</v>
      </c>
      <c r="C7817" s="14" t="s">
        <v>1</v>
      </c>
      <c r="D7817" s="15"/>
      <c r="E7817" s="15" t="s">
        <v>20</v>
      </c>
      <c r="F7817" s="16" t="s">
        <v>21</v>
      </c>
      <c r="G7817" s="15" t="s">
        <v>5</v>
      </c>
    </row>
    <row r="7818" spans="1:8">
      <c r="A7818" s="211" t="s">
        <v>508</v>
      </c>
      <c r="B7818" s="216" t="str">
        <f ca="1">_xlfn.CONCAT(B7792,A7818)</f>
        <v>30ABD4DA3-Y</v>
      </c>
      <c r="C7818" s="24" t="s">
        <v>22</v>
      </c>
      <c r="D7818" s="184"/>
      <c r="E7818" s="25">
        <f>_xlfn.XLOOKUP(C7818,'H-MO'!B$7:B$30,'H-MO'!D$7:D$30,,0,1)</f>
        <v>2436.5624999999995</v>
      </c>
      <c r="F7818" s="19">
        <v>0.5</v>
      </c>
      <c r="G7818" s="33">
        <f t="shared" ref="G7818:G7823" si="223">+E7818*F7818</f>
        <v>1218.2812499999998</v>
      </c>
      <c r="H7818" s="234"/>
    </row>
    <row r="7819" spans="1:8">
      <c r="A7819" s="211" t="s">
        <v>509</v>
      </c>
      <c r="B7819" s="216" t="str">
        <f ca="1">_xlfn.CONCAT(B7792,A7819)</f>
        <v>30ABD4DA3-Z</v>
      </c>
      <c r="C7819" s="24" t="s">
        <v>23</v>
      </c>
      <c r="D7819" s="184"/>
      <c r="E7819" s="25">
        <f>_xlfn.XLOOKUP(C7819,'H-MO'!B$7:B$30,'H-MO'!D$7:D$30,,0,1)</f>
        <v>1461.9374999999998</v>
      </c>
      <c r="F7819" s="19">
        <v>0.04</v>
      </c>
      <c r="G7819" s="33">
        <f t="shared" si="223"/>
        <v>58.477499999999992</v>
      </c>
      <c r="H7819" s="234"/>
    </row>
    <row r="7820" spans="1:8">
      <c r="A7820" s="211" t="s">
        <v>510</v>
      </c>
      <c r="B7820" s="216" t="str">
        <f ca="1">_xlfn.CONCAT(B7792,A7820)</f>
        <v>30ABD4DA3-aa</v>
      </c>
      <c r="C7820" s="24" t="s">
        <v>24</v>
      </c>
      <c r="D7820" s="185"/>
      <c r="E7820" s="25">
        <f>_xlfn.XLOOKUP(C7820,'H-MO'!B$7:B$30,'H-MO'!D$7:D$30,,0,1)</f>
        <v>29238.749999999996</v>
      </c>
      <c r="F7820" s="28">
        <v>0.1</v>
      </c>
      <c r="G7820" s="33">
        <f t="shared" si="223"/>
        <v>2923.875</v>
      </c>
      <c r="H7820" s="234"/>
    </row>
    <row r="7821" spans="1:8">
      <c r="A7821" s="211" t="s">
        <v>511</v>
      </c>
      <c r="B7821" s="216" t="str">
        <f ca="1">_xlfn.CONCAT(B7792,A7821)</f>
        <v>30ABD4DA3-ab</v>
      </c>
      <c r="C7821" s="24" t="s">
        <v>25</v>
      </c>
      <c r="D7821" s="185"/>
      <c r="E7821" s="25">
        <f>_xlfn.XLOOKUP(C7821,'H-MO'!B$7:B$30,'H-MO'!D$7:D$30,,0,1)</f>
        <v>2761.4374999999995</v>
      </c>
      <c r="F7821" s="28">
        <v>0.5</v>
      </c>
      <c r="G7821" s="33">
        <f t="shared" si="223"/>
        <v>1380.7187499999998</v>
      </c>
      <c r="H7821" s="234"/>
    </row>
    <row r="7822" spans="1:8">
      <c r="A7822" s="211" t="s">
        <v>512</v>
      </c>
      <c r="B7822" s="216" t="str">
        <f ca="1">_xlfn.CONCAT(B7792,A7822)</f>
        <v>30ABD4DA3-ac</v>
      </c>
      <c r="C7822" s="24"/>
      <c r="D7822" s="185"/>
      <c r="E7822" s="29"/>
      <c r="F7822" s="28"/>
      <c r="G7822" s="33">
        <f t="shared" si="223"/>
        <v>0</v>
      </c>
      <c r="H7822" s="234"/>
    </row>
    <row r="7823" spans="1:8" ht="14.25" thickBot="1">
      <c r="A7823" s="211" t="s">
        <v>513</v>
      </c>
      <c r="B7823" s="216" t="str">
        <f ca="1">_xlfn.CONCAT(B7792,A7823)</f>
        <v>30ABD4DA3-ad</v>
      </c>
      <c r="C7823" s="24"/>
      <c r="D7823" s="185"/>
      <c r="E7823" s="29"/>
      <c r="F7823" s="28"/>
      <c r="G7823" s="33">
        <f t="shared" si="223"/>
        <v>0</v>
      </c>
      <c r="H7823" s="234"/>
    </row>
    <row r="7824" spans="1:8" ht="14.25" thickBot="1">
      <c r="A7824" s="211" t="s">
        <v>514</v>
      </c>
      <c r="B7824" s="216" t="str">
        <f ca="1">_xlfn.CONCAT(B7792,A7824)</f>
        <v>30ABD4DA3-ae</v>
      </c>
      <c r="C7824" s="17"/>
      <c r="D7824" s="192"/>
      <c r="E7824" s="18"/>
      <c r="F7824" s="22" t="s">
        <v>26</v>
      </c>
      <c r="G7824" s="23">
        <f>SUM(G7818:G7823)</f>
        <v>5581.3525</v>
      </c>
      <c r="H7824" s="234"/>
    </row>
    <row r="7825" spans="1:8" ht="15.75" thickBot="1">
      <c r="A7825" s="211" t="s">
        <v>515</v>
      </c>
      <c r="B7825" s="216" t="str">
        <f ca="1">_xlfn.CONCAT(B7792,A7825)</f>
        <v>30ABD4DA3-af</v>
      </c>
      <c r="C7825" s="10" t="s">
        <v>27</v>
      </c>
      <c r="D7825" s="190"/>
      <c r="E7825" s="11"/>
      <c r="F7825" s="12"/>
      <c r="G7825" s="13"/>
      <c r="H7825" s="234"/>
    </row>
    <row r="7826" spans="1:8" ht="14.25" thickBot="1">
      <c r="A7826" s="211" t="s">
        <v>516</v>
      </c>
      <c r="B7826" s="216" t="str">
        <f ca="1">_xlfn.CONCAT(B7792,A7826)</f>
        <v>30ABD4DA3-ag</v>
      </c>
      <c r="C7826" s="14" t="s">
        <v>1</v>
      </c>
      <c r="D7826" s="15" t="s">
        <v>28</v>
      </c>
      <c r="E7826" s="15" t="s">
        <v>20</v>
      </c>
      <c r="F7826" s="16" t="s">
        <v>21</v>
      </c>
      <c r="G7826" s="15" t="s">
        <v>5</v>
      </c>
      <c r="H7826" s="234"/>
    </row>
    <row r="7827" spans="1:8">
      <c r="A7827" s="211" t="s">
        <v>517</v>
      </c>
      <c r="B7827" s="216" t="str">
        <f ca="1">_xlfn.CONCAT(B7792,A7827)</f>
        <v>30ABD4DA3-ah</v>
      </c>
      <c r="C7827" s="30" t="s">
        <v>29</v>
      </c>
      <c r="D7827" s="186">
        <f>'H-MO'!$N$77</f>
        <v>725918.52892505517</v>
      </c>
      <c r="E7827" s="31">
        <f>+D7827/8</f>
        <v>90739.816115631897</v>
      </c>
      <c r="F7827" s="32">
        <v>0.41</v>
      </c>
      <c r="G7827" s="33">
        <f>+E7827*F7827</f>
        <v>37203.324607409078</v>
      </c>
      <c r="H7827" s="234"/>
    </row>
    <row r="7828" spans="1:8">
      <c r="A7828" s="211" t="s">
        <v>518</v>
      </c>
      <c r="B7828" s="216" t="str">
        <f ca="1">_xlfn.CONCAT(B7792,A7828)</f>
        <v>30ABD4DA3-ai</v>
      </c>
      <c r="C7828" s="34" t="s">
        <v>30</v>
      </c>
      <c r="D7828" s="187">
        <f>'H-MO'!$N$86</f>
        <v>685561.39085756091</v>
      </c>
      <c r="E7828" s="29">
        <f>+D7828/8</f>
        <v>85695.173857195114</v>
      </c>
      <c r="F7828" s="28">
        <v>0</v>
      </c>
      <c r="G7828" s="33">
        <f>+E7828*F7828</f>
        <v>0</v>
      </c>
      <c r="H7828" s="234"/>
    </row>
    <row r="7829" spans="1:8" ht="14.25" thickBot="1">
      <c r="A7829" s="211" t="s">
        <v>519</v>
      </c>
      <c r="B7829" s="216" t="str">
        <f ca="1">_xlfn.CONCAT(B7792,A7829)</f>
        <v>30ABD4DA3-aj</v>
      </c>
      <c r="C7829" s="34"/>
      <c r="D7829" s="187"/>
      <c r="E7829" s="29"/>
      <c r="F7829" s="28"/>
      <c r="G7829" s="33">
        <f>+E7829*F7829</f>
        <v>0</v>
      </c>
    </row>
    <row r="7830" spans="1:8" ht="14.25" thickBot="1">
      <c r="A7830" s="211" t="s">
        <v>520</v>
      </c>
      <c r="B7830" s="216" t="str">
        <f ca="1">_xlfn.CONCAT(B7792,A7830)</f>
        <v>30ABD4DA3-ak</v>
      </c>
      <c r="C7830" s="34"/>
      <c r="D7830" s="185"/>
      <c r="E7830" s="26"/>
      <c r="F7830" s="36" t="s">
        <v>31</v>
      </c>
      <c r="G7830" s="23">
        <f>SUM(G7827:G7829)</f>
        <v>37203.324607409078</v>
      </c>
    </row>
    <row r="7831" spans="1:8" ht="14.25" thickBot="1">
      <c r="A7831" s="211" t="s">
        <v>521</v>
      </c>
      <c r="B7831" s="216" t="str">
        <f ca="1">_xlfn.CONCAT(B7792,A7831)</f>
        <v>30ABD4DA3-al</v>
      </c>
      <c r="C7831" s="37"/>
      <c r="E7831" s="38"/>
      <c r="F7831" s="22"/>
      <c r="G7831" s="39"/>
    </row>
    <row r="7832" spans="1:8" ht="16.5" thickBot="1">
      <c r="A7832" s="211" t="s">
        <v>522</v>
      </c>
      <c r="B7832" s="216" t="str">
        <f ca="1">_xlfn.CONCAT(B7792,A7832)</f>
        <v>30ABD4DA3-am</v>
      </c>
      <c r="C7832" s="40"/>
      <c r="D7832" s="193"/>
      <c r="E7832" s="41"/>
      <c r="F7832" s="42"/>
      <c r="G7832" s="43">
        <f>+G7815+G7824+G7830</f>
        <v>101053.67710740908</v>
      </c>
    </row>
    <row r="7833" spans="1:8" ht="21.75" thickBot="1">
      <c r="B7833" s="212" t="s">
        <v>550</v>
      </c>
      <c r="C7833" s="2"/>
      <c r="D7833" s="183"/>
      <c r="F7833" s="4"/>
      <c r="G7833" s="5"/>
    </row>
    <row r="7834" spans="1:8" ht="18.75">
      <c r="A7834" s="213"/>
      <c r="B7834" s="214">
        <v>178</v>
      </c>
      <c r="C7834" s="242" t="str">
        <f ca="1">_xlfn.XLOOKUP(B7834,Cantidades!$A$10:$A$314,Cantidades!$C$10:$C$314,,0,1)</f>
        <v>Suministro e instalacion de acometida en cobre 3x8 +1x8 +1x10T en tubo EMT 1 1/2"</v>
      </c>
      <c r="D7834" s="243"/>
      <c r="E7834" s="243"/>
      <c r="F7834" s="243"/>
      <c r="G7834" s="244"/>
    </row>
    <row r="7835" spans="1:8" ht="19.5" thickBot="1">
      <c r="A7835" s="215"/>
      <c r="B7835" s="216" t="s">
        <v>550</v>
      </c>
      <c r="C7835" s="177"/>
      <c r="D7835" s="189"/>
      <c r="E7835" s="178"/>
      <c r="F7835" s="179" t="s">
        <v>636</v>
      </c>
      <c r="G7835" s="209" t="str">
        <f ca="1">B7836</f>
        <v>30ABD4DB4-</v>
      </c>
    </row>
    <row r="7836" spans="1:8" ht="15.75" thickBot="1">
      <c r="B7836" s="212" t="str">
        <f ca="1">_xlfn.XLOOKUP(C7834,Cantidades!$C$1:$C$314,Cantidades!$B$1:$B$314,"",0,1)</f>
        <v>30ABD4DB4-</v>
      </c>
      <c r="C7836" s="10" t="s">
        <v>0</v>
      </c>
      <c r="D7836" s="190"/>
      <c r="E7836" s="11"/>
      <c r="F7836" s="12"/>
      <c r="G7836" s="13"/>
    </row>
    <row r="7837" spans="1:8" ht="14.25" thickBot="1">
      <c r="A7837" s="215"/>
      <c r="B7837" s="216" t="s">
        <v>550</v>
      </c>
      <c r="C7837" s="14" t="s">
        <v>1</v>
      </c>
      <c r="D7837" s="15" t="s">
        <v>2</v>
      </c>
      <c r="E7837" s="15" t="s">
        <v>3</v>
      </c>
      <c r="F7837" s="16" t="s">
        <v>4</v>
      </c>
      <c r="G7837" s="15" t="s">
        <v>5</v>
      </c>
    </row>
    <row r="7838" spans="1:8">
      <c r="A7838" s="211" t="s">
        <v>484</v>
      </c>
      <c r="B7838" s="216" t="str">
        <f ca="1">_xlfn.CONCAT(B7836,A7838)</f>
        <v>30ABD4DB4-A</v>
      </c>
      <c r="C7838" s="17" t="str">
        <f>_xlfn.XLOOKUP(H7838,'Materiales unitario'!$A$1:$A$2500,'Materiales unitario'!B$1:B$2500,,0,1)</f>
        <v>Cable de cobre aislado #8 AWG-THHN/THWN Color negro</v>
      </c>
      <c r="D7838" s="184" t="str">
        <f>_xlfn.XLOOKUP(H7838,'Materiales unitario'!A$1:A$2500,'Materiales unitario'!C$1:C$2500,,0,1)</f>
        <v>ml</v>
      </c>
      <c r="E7838" s="197">
        <f>_xlfn.XLOOKUP(H7838,'Materiales unitario'!$A$1:$A$2500,'Materiales unitario'!D$1:D$2500,,0,1)</f>
        <v>6400</v>
      </c>
      <c r="F7838" s="19">
        <v>4.2</v>
      </c>
      <c r="G7838" s="20">
        <f t="shared" ref="G7838:G7846" si="224">+E7838*F7838</f>
        <v>26880</v>
      </c>
      <c r="H7838" s="211" t="s">
        <v>274</v>
      </c>
    </row>
    <row r="7839" spans="1:8">
      <c r="A7839" s="211" t="s">
        <v>485</v>
      </c>
      <c r="B7839" s="216" t="str">
        <f ca="1">_xlfn.CONCAT(B7836,A7839)</f>
        <v>30ABD4DB4-B</v>
      </c>
      <c r="C7839" s="17" t="str">
        <f>_xlfn.XLOOKUP(H7839,'Materiales unitario'!$A$1:$A$2500,'Materiales unitario'!B$1:B$2500,,0,1)</f>
        <v>Cable de cobre aislado #10 AWG-THHN/THWN Color negro</v>
      </c>
      <c r="D7839" s="184" t="str">
        <f>_xlfn.XLOOKUP(H7839,'Materiales unitario'!A$1:A$2500,'Materiales unitario'!C$1:C$2500,,0,1)</f>
        <v>ml</v>
      </c>
      <c r="E7839" s="197">
        <f>_xlfn.XLOOKUP(H7839,'Materiales unitario'!$A$1:$A$2500,'Materiales unitario'!D$1:D$2500,,0,1)</f>
        <v>5215</v>
      </c>
      <c r="F7839" s="19">
        <v>1.1000000000000001</v>
      </c>
      <c r="G7839" s="20">
        <f t="shared" si="224"/>
        <v>5736.5000000000009</v>
      </c>
      <c r="H7839" s="211" t="s">
        <v>265</v>
      </c>
    </row>
    <row r="7840" spans="1:8">
      <c r="A7840" s="211" t="s">
        <v>486</v>
      </c>
      <c r="B7840" s="216" t="str">
        <f ca="1">_xlfn.CONCAT(B7836,A7840)</f>
        <v>30ABD4DB4-C</v>
      </c>
      <c r="C7840" s="17" t="str">
        <f>_xlfn.XLOOKUP(H7840,'Materiales unitario'!$A$1:$A$2500,'Materiales unitario'!B$1:B$2500,,0,1)</f>
        <v>Borna terminal estañada de ojo tipo pala #8 AWG</v>
      </c>
      <c r="D7840" s="184" t="str">
        <f>_xlfn.XLOOKUP(H7840,'Materiales unitario'!A$1:A$2500,'Materiales unitario'!C$1:C$2500,,0,1)</f>
        <v>un</v>
      </c>
      <c r="E7840" s="197">
        <f>_xlfn.XLOOKUP(H7840,'Materiales unitario'!$A$1:$A$2500,'Materiales unitario'!D$1:D$2500,,0,1)</f>
        <v>1200</v>
      </c>
      <c r="F7840" s="19">
        <v>0.6</v>
      </c>
      <c r="G7840" s="20">
        <f t="shared" si="224"/>
        <v>720</v>
      </c>
      <c r="H7840" s="211" t="s">
        <v>255</v>
      </c>
    </row>
    <row r="7841" spans="1:8">
      <c r="A7841" s="211" t="s">
        <v>487</v>
      </c>
      <c r="B7841" s="216" t="str">
        <f ca="1">_xlfn.CONCAT(B7836,A7841)</f>
        <v>30ABD4DB4-D</v>
      </c>
      <c r="C7841" s="17" t="str">
        <f>_xlfn.XLOOKUP(H7841,'Materiales unitario'!$A$1:$A$2500,'Materiales unitario'!B$1:B$2500,,0,1)</f>
        <v>Termoencogible</v>
      </c>
      <c r="D7841" s="184" t="str">
        <f>_xlfn.XLOOKUP(H7841,'Materiales unitario'!A$1:A$2500,'Materiales unitario'!C$1:C$2500,,0,1)</f>
        <v>un</v>
      </c>
      <c r="E7841" s="197">
        <f>_xlfn.XLOOKUP(H7841,'Materiales unitario'!$A$1:$A$2500,'Materiales unitario'!D$1:D$2500,,0,1)</f>
        <v>5000</v>
      </c>
      <c r="F7841" s="19">
        <v>0.1</v>
      </c>
      <c r="G7841" s="20">
        <f t="shared" si="224"/>
        <v>500</v>
      </c>
      <c r="H7841" s="211" t="s">
        <v>373</v>
      </c>
    </row>
    <row r="7842" spans="1:8">
      <c r="A7842" s="211" t="s">
        <v>488</v>
      </c>
      <c r="B7842" s="216" t="str">
        <f ca="1">_xlfn.CONCAT(B7836,A7842)</f>
        <v>30ABD4DB4-E</v>
      </c>
      <c r="C7842" s="17" t="str">
        <f>_xlfn.XLOOKUP(H7842,'Materiales unitario'!$A$1:$A$2500,'Materiales unitario'!B$1:B$2500,,0,1)</f>
        <v>Tubo metálico ø1 1/2" EMT</v>
      </c>
      <c r="D7842" s="184" t="str">
        <f>_xlfn.XLOOKUP(H7842,'Materiales unitario'!A$1:A$2500,'Materiales unitario'!C$1:C$2500,,0,1)</f>
        <v>ml</v>
      </c>
      <c r="E7842" s="197">
        <f>_xlfn.XLOOKUP(H7842,'Materiales unitario'!$A$1:$A$2500,'Materiales unitario'!D$1:D$2500,,0,1)</f>
        <v>25100</v>
      </c>
      <c r="F7842" s="19">
        <v>1.05</v>
      </c>
      <c r="G7842" s="20">
        <f t="shared" si="224"/>
        <v>26355</v>
      </c>
      <c r="H7842" s="211" t="s">
        <v>1442</v>
      </c>
    </row>
    <row r="7843" spans="1:8">
      <c r="A7843" s="211" t="s">
        <v>489</v>
      </c>
      <c r="B7843" s="216" t="str">
        <f ca="1">_xlfn.CONCAT(B7836,A7843)</f>
        <v>30ABD4DB4-F</v>
      </c>
      <c r="C7843" s="17" t="str">
        <f>_xlfn.XLOOKUP(H7843,'Materiales unitario'!$A$1:$A$2500,'Materiales unitario'!B$1:B$2500,,0,1)</f>
        <v>Unión metálica ø1 1/2" EMT</v>
      </c>
      <c r="D7843" s="184" t="str">
        <f>_xlfn.XLOOKUP(H7843,'Materiales unitario'!A$1:A$2500,'Materiales unitario'!C$1:C$2500,,0,1)</f>
        <v>un</v>
      </c>
      <c r="E7843" s="197">
        <f>_xlfn.XLOOKUP(H7843,'Materiales unitario'!$A$1:$A$2500,'Materiales unitario'!D$1:D$2500,,0,1)</f>
        <v>4850</v>
      </c>
      <c r="F7843" s="19">
        <v>0.35</v>
      </c>
      <c r="G7843" s="20">
        <f t="shared" si="224"/>
        <v>1697.5</v>
      </c>
      <c r="H7843" s="211" t="s">
        <v>1443</v>
      </c>
    </row>
    <row r="7844" spans="1:8">
      <c r="A7844" s="211" t="s">
        <v>490</v>
      </c>
      <c r="B7844" s="216" t="str">
        <f ca="1">_xlfn.CONCAT(B7836,A7844)</f>
        <v>30ABD4DB4-G</v>
      </c>
      <c r="C7844" s="17" t="str">
        <f>_xlfn.XLOOKUP(H7844,'Materiales unitario'!$A$1:$A$2500,'Materiales unitario'!B$1:B$2500,,0,1)</f>
        <v xml:space="preserve">Terminal metálico ø1 1/2" EMT </v>
      </c>
      <c r="D7844" s="184" t="str">
        <f>_xlfn.XLOOKUP(H7844,'Materiales unitario'!A$1:A$2500,'Materiales unitario'!C$1:C$2500,,0,1)</f>
        <v>un</v>
      </c>
      <c r="E7844" s="197">
        <f>_xlfn.XLOOKUP(H7844,'Materiales unitario'!$A$1:$A$2500,'Materiales unitario'!D$1:D$2500,,0,1)</f>
        <v>5860</v>
      </c>
      <c r="F7844" s="19">
        <v>0.1</v>
      </c>
      <c r="G7844" s="20">
        <f t="shared" si="224"/>
        <v>586</v>
      </c>
      <c r="H7844" s="211" t="s">
        <v>1444</v>
      </c>
    </row>
    <row r="7845" spans="1:8">
      <c r="A7845" s="211" t="s">
        <v>491</v>
      </c>
      <c r="B7845" s="216" t="str">
        <f ca="1">_xlfn.CONCAT(B7836,A7845)</f>
        <v>30ABD4DB4-H</v>
      </c>
      <c r="C7845" s="17" t="str">
        <f>_xlfn.XLOOKUP(H7845,'Materiales unitario'!$A$1:$A$2500,'Materiales unitario'!B$1:B$2500,,0,1)</f>
        <v>Curva metálica ø1 1/2" EMT</v>
      </c>
      <c r="D7845" s="184" t="str">
        <f>_xlfn.XLOOKUP(H7845,'Materiales unitario'!A$1:A$2500,'Materiales unitario'!C$1:C$2500,,0,1)</f>
        <v>un</v>
      </c>
      <c r="E7845" s="197">
        <f>_xlfn.XLOOKUP(H7845,'Materiales unitario'!$A$1:$A$2500,'Materiales unitario'!D$1:D$2500,,0,1)</f>
        <v>11470</v>
      </c>
      <c r="F7845" s="19">
        <v>0.1</v>
      </c>
      <c r="G7845" s="20">
        <f t="shared" si="224"/>
        <v>1147</v>
      </c>
      <c r="H7845" s="211" t="s">
        <v>1445</v>
      </c>
    </row>
    <row r="7846" spans="1:8">
      <c r="A7846" s="211" t="s">
        <v>492</v>
      </c>
      <c r="B7846" s="216" t="str">
        <f ca="1">_xlfn.CONCAT(B7836,A7846)</f>
        <v>30ABD4DB4-I</v>
      </c>
      <c r="C7846" s="17" t="str">
        <f>_xlfn.XLOOKUP(H7846,'Materiales unitario'!$A$1:$A$2500,'Materiales unitario'!B$1:B$2500,,0,1)</f>
        <v>Soporte metalico 1 1/2"</v>
      </c>
      <c r="D7846" s="184" t="str">
        <f>_xlfn.XLOOKUP(H7846,'Materiales unitario'!A$1:A$2500,'Materiales unitario'!C$1:C$2500,,0,1)</f>
        <v>un</v>
      </c>
      <c r="E7846" s="197">
        <f>_xlfn.XLOOKUP(H7846,'Materiales unitario'!$A$1:$A$2500,'Materiales unitario'!D$1:D$2500,,0,1)</f>
        <v>2860</v>
      </c>
      <c r="F7846" s="19">
        <v>0.75</v>
      </c>
      <c r="G7846" s="20">
        <f t="shared" si="224"/>
        <v>2145</v>
      </c>
      <c r="H7846" s="211" t="s">
        <v>1446</v>
      </c>
    </row>
    <row r="7847" spans="1:8">
      <c r="A7847" s="211" t="s">
        <v>493</v>
      </c>
      <c r="B7847" s="216" t="str">
        <f ca="1">_xlfn.CONCAT(B7836,A7847)</f>
        <v>30ABD4DB4-J</v>
      </c>
      <c r="C7847" s="17"/>
      <c r="D7847" s="184"/>
      <c r="E7847" s="197"/>
      <c r="F7847" s="19"/>
      <c r="G7847" s="20"/>
    </row>
    <row r="7848" spans="1:8">
      <c r="A7848" s="211" t="s">
        <v>494</v>
      </c>
      <c r="B7848" s="216" t="str">
        <f ca="1">_xlfn.CONCAT(B7836,A7848)</f>
        <v>30ABD4DB4-K</v>
      </c>
      <c r="C7848" s="17"/>
      <c r="D7848" s="184"/>
      <c r="E7848" s="197"/>
      <c r="F7848" s="19"/>
      <c r="G7848" s="20"/>
    </row>
    <row r="7849" spans="1:8">
      <c r="A7849" s="211" t="s">
        <v>495</v>
      </c>
      <c r="B7849" s="216" t="str">
        <f ca="1">_xlfn.CONCAT(B7836,A7849)</f>
        <v>30ABD4DB4-L</v>
      </c>
      <c r="C7849" s="17"/>
      <c r="D7849" s="184"/>
      <c r="E7849" s="197"/>
      <c r="F7849" s="19"/>
      <c r="G7849" s="20"/>
    </row>
    <row r="7850" spans="1:8">
      <c r="A7850" s="211" t="s">
        <v>496</v>
      </c>
      <c r="B7850" s="216" t="str">
        <f ca="1">_xlfn.CONCAT(B7836,A7850)</f>
        <v>30ABD4DB4-M</v>
      </c>
      <c r="C7850" s="17"/>
      <c r="D7850" s="184"/>
      <c r="E7850" s="197"/>
      <c r="F7850" s="19"/>
      <c r="G7850" s="20"/>
    </row>
    <row r="7851" spans="1:8">
      <c r="A7851" s="211" t="s">
        <v>497</v>
      </c>
      <c r="B7851" s="216" t="str">
        <f ca="1">_xlfn.CONCAT(B7836,A7851)</f>
        <v>30ABD4DB4-N</v>
      </c>
      <c r="C7851" s="17"/>
      <c r="D7851" s="184"/>
      <c r="E7851" s="197"/>
      <c r="F7851" s="19"/>
      <c r="G7851" s="20"/>
    </row>
    <row r="7852" spans="1:8">
      <c r="A7852" s="211" t="s">
        <v>498</v>
      </c>
      <c r="B7852" s="216" t="str">
        <f ca="1">_xlfn.CONCAT(B7836,A7852)</f>
        <v>30ABD4DB4-O</v>
      </c>
      <c r="C7852" s="17"/>
      <c r="D7852" s="184"/>
      <c r="E7852" s="197"/>
      <c r="F7852" s="19"/>
      <c r="G7852" s="20"/>
    </row>
    <row r="7853" spans="1:8">
      <c r="A7853" s="211" t="s">
        <v>499</v>
      </c>
      <c r="B7853" s="216" t="str">
        <f ca="1">_xlfn.CONCAT(B7836,A7853)</f>
        <v>30ABD4DB4-P</v>
      </c>
      <c r="C7853" s="17"/>
      <c r="D7853" s="184"/>
      <c r="E7853" s="197"/>
      <c r="F7853" s="19"/>
      <c r="G7853" s="20"/>
    </row>
    <row r="7854" spans="1:8">
      <c r="A7854" s="211" t="s">
        <v>500</v>
      </c>
      <c r="B7854" s="216" t="str">
        <f ca="1">_xlfn.CONCAT(B7836,A7854)</f>
        <v>30ABD4DB4-Q</v>
      </c>
      <c r="C7854" s="17"/>
      <c r="D7854" s="184"/>
      <c r="E7854" s="197"/>
      <c r="F7854" s="19"/>
      <c r="G7854" s="20"/>
    </row>
    <row r="7855" spans="1:8">
      <c r="A7855" s="211" t="s">
        <v>501</v>
      </c>
      <c r="B7855" s="216" t="str">
        <f ca="1">_xlfn.CONCAT(B7836,A7855)</f>
        <v>30ABD4DB4-R</v>
      </c>
      <c r="C7855" s="17"/>
      <c r="D7855" s="184"/>
      <c r="E7855" s="197"/>
      <c r="F7855" s="19"/>
      <c r="G7855" s="20"/>
    </row>
    <row r="7856" spans="1:8">
      <c r="A7856" s="211" t="s">
        <v>502</v>
      </c>
      <c r="B7856" s="216" t="str">
        <f ca="1">_xlfn.CONCAT(B7836,A7856)</f>
        <v>30ABD4DB4-S</v>
      </c>
      <c r="C7856" s="17"/>
      <c r="D7856" s="184"/>
      <c r="E7856" s="197"/>
      <c r="F7856" s="19"/>
      <c r="G7856" s="20"/>
    </row>
    <row r="7857" spans="1:9">
      <c r="A7857" s="211" t="s">
        <v>503</v>
      </c>
      <c r="B7857" s="216" t="str">
        <f ca="1">_xlfn.CONCAT(B7836,A7857)</f>
        <v>30ABD4DB4-T</v>
      </c>
      <c r="C7857" s="17"/>
      <c r="D7857" s="184"/>
      <c r="E7857" s="197"/>
      <c r="F7857" s="19"/>
      <c r="G7857" s="20"/>
    </row>
    <row r="7858" spans="1:9" ht="14.25" thickBot="1">
      <c r="A7858" s="211" t="s">
        <v>504</v>
      </c>
      <c r="B7858" s="216" t="str">
        <f ca="1">_xlfn.CONCAT(B7836,A7858)</f>
        <v>30ABD4DB4-U</v>
      </c>
      <c r="C7858" s="17"/>
      <c r="D7858" s="184"/>
      <c r="E7858" s="197"/>
      <c r="F7858" s="19"/>
      <c r="G7858" s="20"/>
    </row>
    <row r="7859" spans="1:9" ht="14.25" thickBot="1">
      <c r="A7859" s="211" t="s">
        <v>505</v>
      </c>
      <c r="B7859" s="216" t="str">
        <f ca="1">_xlfn.CONCAT(B7836,A7859)</f>
        <v>30ABD4DB4-V</v>
      </c>
      <c r="C7859" s="17" t="s">
        <v>17</v>
      </c>
      <c r="D7859" s="192" t="s">
        <v>17</v>
      </c>
      <c r="E7859" s="18"/>
      <c r="F7859" s="22" t="s">
        <v>18</v>
      </c>
      <c r="G7859" s="23">
        <f>SUM(G7838:G7858)</f>
        <v>65767</v>
      </c>
    </row>
    <row r="7860" spans="1:9" ht="15.75" thickBot="1">
      <c r="A7860" s="211" t="s">
        <v>506</v>
      </c>
      <c r="B7860" s="216" t="str">
        <f ca="1">_xlfn.CONCAT(B7836,A7860)</f>
        <v>30ABD4DB4-W</v>
      </c>
      <c r="C7860" s="10" t="s">
        <v>19</v>
      </c>
      <c r="D7860" s="190"/>
      <c r="E7860" s="11"/>
      <c r="F7860" s="12"/>
      <c r="G7860" s="13"/>
    </row>
    <row r="7861" spans="1:9" ht="14.25" thickBot="1">
      <c r="A7861" s="211" t="s">
        <v>507</v>
      </c>
      <c r="B7861" s="216" t="str">
        <f ca="1">_xlfn.CONCAT(B7836,A7861)</f>
        <v>30ABD4DB4-X</v>
      </c>
      <c r="C7861" s="14" t="s">
        <v>1</v>
      </c>
      <c r="D7861" s="15"/>
      <c r="E7861" s="15" t="s">
        <v>20</v>
      </c>
      <c r="F7861" s="16" t="s">
        <v>21</v>
      </c>
      <c r="G7861" s="15" t="s">
        <v>5</v>
      </c>
    </row>
    <row r="7862" spans="1:9">
      <c r="A7862" s="211" t="s">
        <v>508</v>
      </c>
      <c r="B7862" s="216" t="str">
        <f ca="1">_xlfn.CONCAT(B7836,A7862)</f>
        <v>30ABD4DB4-Y</v>
      </c>
      <c r="C7862" s="24" t="s">
        <v>22</v>
      </c>
      <c r="D7862" s="184"/>
      <c r="E7862" s="25">
        <f>_xlfn.XLOOKUP(C7862,'H-MO'!B$7:B$30,'H-MO'!D$7:D$30,,0,1)</f>
        <v>2436.5624999999995</v>
      </c>
      <c r="F7862" s="19">
        <v>0.4</v>
      </c>
      <c r="G7862" s="33">
        <f t="shared" ref="G7862:G7867" si="225">+E7862*F7862</f>
        <v>974.62499999999989</v>
      </c>
      <c r="H7862" s="234"/>
    </row>
    <row r="7863" spans="1:9">
      <c r="A7863" s="211" t="s">
        <v>509</v>
      </c>
      <c r="B7863" s="216" t="str">
        <f ca="1">_xlfn.CONCAT(B7836,A7863)</f>
        <v>30ABD4DB4-Z</v>
      </c>
      <c r="C7863" s="24" t="s">
        <v>23</v>
      </c>
      <c r="D7863" s="184"/>
      <c r="E7863" s="25">
        <f>_xlfn.XLOOKUP(C7863,'H-MO'!B$7:B$30,'H-MO'!D$7:D$30,,0,1)</f>
        <v>1461.9374999999998</v>
      </c>
      <c r="F7863" s="19">
        <v>0.01</v>
      </c>
      <c r="G7863" s="33">
        <f t="shared" si="225"/>
        <v>14.619374999999998</v>
      </c>
      <c r="H7863" s="234"/>
    </row>
    <row r="7864" spans="1:9">
      <c r="A7864" s="211" t="s">
        <v>510</v>
      </c>
      <c r="B7864" s="216" t="str">
        <f ca="1">_xlfn.CONCAT(B7836,A7864)</f>
        <v>30ABD4DB4-aa</v>
      </c>
      <c r="C7864" s="24" t="s">
        <v>24</v>
      </c>
      <c r="D7864" s="185"/>
      <c r="E7864" s="25">
        <f>_xlfn.XLOOKUP(C7864,'H-MO'!B$7:B$30,'H-MO'!D$7:D$30,,0,1)</f>
        <v>29238.749999999996</v>
      </c>
      <c r="F7864" s="28">
        <v>0.01</v>
      </c>
      <c r="G7864" s="33">
        <f t="shared" si="225"/>
        <v>292.38749999999999</v>
      </c>
      <c r="H7864" s="234"/>
    </row>
    <row r="7865" spans="1:9">
      <c r="A7865" s="211" t="s">
        <v>511</v>
      </c>
      <c r="B7865" s="216" t="str">
        <f ca="1">_xlfn.CONCAT(B7836,A7865)</f>
        <v>30ABD4DB4-ab</v>
      </c>
      <c r="C7865" s="24" t="s">
        <v>25</v>
      </c>
      <c r="D7865" s="185"/>
      <c r="E7865" s="25">
        <f>_xlfn.XLOOKUP(C7865,'H-MO'!B$7:B$30,'H-MO'!D$7:D$30,,0,1)</f>
        <v>2761.4374999999995</v>
      </c>
      <c r="F7865" s="28">
        <v>0.3</v>
      </c>
      <c r="G7865" s="33">
        <f t="shared" si="225"/>
        <v>828.43124999999986</v>
      </c>
      <c r="H7865" s="234"/>
    </row>
    <row r="7866" spans="1:9">
      <c r="A7866" s="211" t="s">
        <v>512</v>
      </c>
      <c r="B7866" s="216" t="str">
        <f ca="1">_xlfn.CONCAT(B7836,A7866)</f>
        <v>30ABD4DB4-ac</v>
      </c>
      <c r="C7866" s="24"/>
      <c r="D7866" s="185"/>
      <c r="E7866" s="29"/>
      <c r="F7866" s="28"/>
      <c r="G7866" s="33">
        <f t="shared" si="225"/>
        <v>0</v>
      </c>
    </row>
    <row r="7867" spans="1:9" ht="14.25" thickBot="1">
      <c r="A7867" s="211" t="s">
        <v>513</v>
      </c>
      <c r="B7867" s="216" t="str">
        <f ca="1">_xlfn.CONCAT(B7836,A7867)</f>
        <v>30ABD4DB4-ad</v>
      </c>
      <c r="C7867" s="24"/>
      <c r="D7867" s="185"/>
      <c r="E7867" s="29"/>
      <c r="F7867" s="28"/>
      <c r="G7867" s="33">
        <f t="shared" si="225"/>
        <v>0</v>
      </c>
      <c r="I7867" s="229"/>
    </row>
    <row r="7868" spans="1:9" ht="14.25" thickBot="1">
      <c r="A7868" s="211" t="s">
        <v>514</v>
      </c>
      <c r="B7868" s="216" t="str">
        <f ca="1">_xlfn.CONCAT(B7836,A7868)</f>
        <v>30ABD4DB4-ae</v>
      </c>
      <c r="C7868" s="17"/>
      <c r="D7868" s="192"/>
      <c r="E7868" s="18"/>
      <c r="F7868" s="22" t="s">
        <v>26</v>
      </c>
      <c r="G7868" s="23">
        <f>SUM(G7862:G7867)</f>
        <v>2110.0631249999997</v>
      </c>
    </row>
    <row r="7869" spans="1:9" ht="15.75" thickBot="1">
      <c r="A7869" s="211" t="s">
        <v>515</v>
      </c>
      <c r="B7869" s="216" t="str">
        <f ca="1">_xlfn.CONCAT(B7836,A7869)</f>
        <v>30ABD4DB4-af</v>
      </c>
      <c r="C7869" s="10" t="s">
        <v>27</v>
      </c>
      <c r="D7869" s="190"/>
      <c r="E7869" s="11"/>
      <c r="F7869" s="12"/>
      <c r="G7869" s="13"/>
    </row>
    <row r="7870" spans="1:9" ht="14.25" thickBot="1">
      <c r="A7870" s="211" t="s">
        <v>516</v>
      </c>
      <c r="B7870" s="216" t="str">
        <f ca="1">_xlfn.CONCAT(B7836,A7870)</f>
        <v>30ABD4DB4-ag</v>
      </c>
      <c r="C7870" s="14" t="s">
        <v>1</v>
      </c>
      <c r="D7870" s="15" t="s">
        <v>28</v>
      </c>
      <c r="E7870" s="15" t="s">
        <v>20</v>
      </c>
      <c r="F7870" s="16" t="s">
        <v>21</v>
      </c>
      <c r="G7870" s="15" t="s">
        <v>5</v>
      </c>
    </row>
    <row r="7871" spans="1:9">
      <c r="A7871" s="211" t="s">
        <v>517</v>
      </c>
      <c r="B7871" s="216" t="str">
        <f ca="1">_xlfn.CONCAT(B7836,A7871)</f>
        <v>30ABD4DB4-ah</v>
      </c>
      <c r="C7871" s="30" t="s">
        <v>29</v>
      </c>
      <c r="D7871" s="186">
        <f>'H-MO'!$N$77</f>
        <v>725918.52892505517</v>
      </c>
      <c r="E7871" s="31">
        <f>+D7871/8</f>
        <v>90739.816115631897</v>
      </c>
      <c r="F7871" s="32">
        <v>0.55000000000000004</v>
      </c>
      <c r="G7871" s="33">
        <f>+E7871*F7871</f>
        <v>49906.898863597547</v>
      </c>
      <c r="H7871" s="234"/>
    </row>
    <row r="7872" spans="1:9">
      <c r="A7872" s="211" t="s">
        <v>518</v>
      </c>
      <c r="B7872" s="216" t="str">
        <f ca="1">_xlfn.CONCAT(B7836,A7872)</f>
        <v>30ABD4DB4-ai</v>
      </c>
      <c r="C7872" s="34" t="s">
        <v>30</v>
      </c>
      <c r="D7872" s="187">
        <f>'H-MO'!$N$86</f>
        <v>685561.39085756091</v>
      </c>
      <c r="E7872" s="29">
        <f>+D7872/8</f>
        <v>85695.173857195114</v>
      </c>
      <c r="F7872" s="28"/>
      <c r="G7872" s="33">
        <f>+E7872*F7872</f>
        <v>0</v>
      </c>
      <c r="H7872" s="234"/>
    </row>
    <row r="7873" spans="1:8" ht="14.25" thickBot="1">
      <c r="A7873" s="211" t="s">
        <v>519</v>
      </c>
      <c r="B7873" s="216" t="str">
        <f ca="1">_xlfn.CONCAT(B7836,A7873)</f>
        <v>30ABD4DB4-aj</v>
      </c>
      <c r="C7873" s="34"/>
      <c r="D7873" s="187"/>
      <c r="E7873" s="29"/>
      <c r="F7873" s="28"/>
      <c r="G7873" s="33">
        <f>+E7873*F7873</f>
        <v>0</v>
      </c>
    </row>
    <row r="7874" spans="1:8" ht="14.25" thickBot="1">
      <c r="A7874" s="211" t="s">
        <v>520</v>
      </c>
      <c r="B7874" s="216" t="str">
        <f ca="1">_xlfn.CONCAT(B7836,A7874)</f>
        <v>30ABD4DB4-ak</v>
      </c>
      <c r="C7874" s="34"/>
      <c r="D7874" s="185"/>
      <c r="E7874" s="26"/>
      <c r="F7874" s="36" t="s">
        <v>31</v>
      </c>
      <c r="G7874" s="23">
        <f>SUM(G7871:G7873)</f>
        <v>49906.898863597547</v>
      </c>
    </row>
    <row r="7875" spans="1:8" ht="14.25" thickBot="1">
      <c r="A7875" s="211" t="s">
        <v>521</v>
      </c>
      <c r="B7875" s="216" t="str">
        <f ca="1">_xlfn.CONCAT(B7836,A7875)</f>
        <v>30ABD4DB4-al</v>
      </c>
      <c r="C7875" s="37"/>
      <c r="E7875" s="38"/>
      <c r="F7875" s="22"/>
      <c r="G7875" s="39"/>
    </row>
    <row r="7876" spans="1:8" ht="16.5" thickBot="1">
      <c r="A7876" s="211" t="s">
        <v>522</v>
      </c>
      <c r="B7876" s="216" t="str">
        <f ca="1">_xlfn.CONCAT(B7836,A7876)</f>
        <v>30ABD4DB4-am</v>
      </c>
      <c r="C7876" s="40"/>
      <c r="D7876" s="193"/>
      <c r="E7876" s="41"/>
      <c r="F7876" s="42"/>
      <c r="G7876" s="43">
        <f>+G7859+G7868+G7874</f>
        <v>117783.96198859756</v>
      </c>
    </row>
    <row r="7877" spans="1:8" ht="21.75" thickBot="1">
      <c r="B7877" s="212" t="s">
        <v>550</v>
      </c>
      <c r="C7877" s="2"/>
      <c r="D7877" s="183"/>
      <c r="F7877" s="4"/>
      <c r="G7877" s="5"/>
    </row>
    <row r="7878" spans="1:8" ht="18.75">
      <c r="A7878" s="213"/>
      <c r="B7878" s="214">
        <v>179</v>
      </c>
      <c r="C7878" s="242" t="str">
        <f ca="1">_xlfn.XLOOKUP(B7878,Cantidades!$A$10:$A$314,Cantidades!$C$10:$C$314,,0,1)</f>
        <v>Suministro e instalacion de alimentador en cobre 2x10 +1x10 +1x12T en tubo EMT 3/4"</v>
      </c>
      <c r="D7878" s="243"/>
      <c r="E7878" s="243"/>
      <c r="F7878" s="243"/>
      <c r="G7878" s="244"/>
      <c r="H7878" s="213"/>
    </row>
    <row r="7879" spans="1:8" ht="19.5" thickBot="1">
      <c r="A7879" s="215"/>
      <c r="B7879" s="216" t="s">
        <v>550</v>
      </c>
      <c r="C7879" s="177"/>
      <c r="D7879" s="189"/>
      <c r="E7879" s="178"/>
      <c r="F7879" s="179" t="s">
        <v>636</v>
      </c>
      <c r="G7879" s="209" t="str">
        <f ca="1">B7880</f>
        <v>1506F925-</v>
      </c>
      <c r="H7879" s="215"/>
    </row>
    <row r="7880" spans="1:8" ht="15.75" thickBot="1">
      <c r="B7880" s="212" t="str">
        <f ca="1">_xlfn.XLOOKUP(C7878,Cantidades!$C$1:$C$314,Cantidades!$B$1:$B$314,"",0,1)</f>
        <v>1506F925-</v>
      </c>
      <c r="C7880" s="10" t="s">
        <v>0</v>
      </c>
      <c r="D7880" s="190"/>
      <c r="E7880" s="11"/>
      <c r="F7880" s="12"/>
      <c r="G7880" s="13"/>
    </row>
    <row r="7881" spans="1:8" ht="14.25" thickBot="1">
      <c r="A7881" s="215"/>
      <c r="B7881" s="216" t="s">
        <v>550</v>
      </c>
      <c r="C7881" s="14" t="s">
        <v>1</v>
      </c>
      <c r="D7881" s="15" t="s">
        <v>2</v>
      </c>
      <c r="E7881" s="15" t="s">
        <v>3</v>
      </c>
      <c r="F7881" s="16" t="s">
        <v>4</v>
      </c>
      <c r="G7881" s="15" t="s">
        <v>5</v>
      </c>
      <c r="H7881" s="215"/>
    </row>
    <row r="7882" spans="1:8" ht="15">
      <c r="A7882" s="211" t="s">
        <v>484</v>
      </c>
      <c r="B7882" s="216" t="str">
        <f ca="1">_xlfn.CONCAT(B7880,A7882)</f>
        <v>1506F925-A</v>
      </c>
      <c r="C7882" s="17" t="str">
        <f>_xlfn.XLOOKUP(H7882,'Materiales unitario'!$A$1:$A$2500,'Materiales unitario'!B$1:B$2500,,0,1)</f>
        <v>Cable de cobre aislado #12 AWG-THHN/THWN Color negro</v>
      </c>
      <c r="D7882" s="184" t="str">
        <f>_xlfn.XLOOKUP(H7882,'Materiales unitario'!A$1:A$2500,'Materiales unitario'!C$1:C$2500,,0,1)</f>
        <v>ml</v>
      </c>
      <c r="E7882" s="197">
        <f>_xlfn.XLOOKUP(H7882,'Materiales unitario'!$A$1:$A$2500,'Materiales unitario'!D$1:D$2500,,0,1)</f>
        <v>3020</v>
      </c>
      <c r="F7882" s="19">
        <v>1.1000000000000001</v>
      </c>
      <c r="G7882" s="20">
        <f>+E7882*F7882</f>
        <v>3322.0000000000005</v>
      </c>
      <c r="H7882" s="217" t="s">
        <v>267</v>
      </c>
    </row>
    <row r="7883" spans="1:8" ht="15">
      <c r="A7883" s="211" t="s">
        <v>485</v>
      </c>
      <c r="B7883" s="216" t="str">
        <f ca="1">_xlfn.CONCAT(B7880,A7883)</f>
        <v>1506F925-B</v>
      </c>
      <c r="C7883" s="17" t="str">
        <f>_xlfn.XLOOKUP(H7883,'Materiales unitario'!$A$1:$A$2500,'Materiales unitario'!B$1:B$2500,,0,1)</f>
        <v>Cable de cobre aislado #10 AWG-THHN/THWN Color negro</v>
      </c>
      <c r="D7883" s="184" t="str">
        <f>_xlfn.XLOOKUP(H7883,'Materiales unitario'!A$1:A$2500,'Materiales unitario'!C$1:C$2500,,0,1)</f>
        <v>ml</v>
      </c>
      <c r="E7883" s="197">
        <f>_xlfn.XLOOKUP(H7883,'Materiales unitario'!$A$1:$A$2500,'Materiales unitario'!D$1:D$2500,,0,1)</f>
        <v>5215</v>
      </c>
      <c r="F7883" s="19">
        <v>3.2</v>
      </c>
      <c r="G7883" s="20">
        <f>+E7883*F7883</f>
        <v>16688</v>
      </c>
      <c r="H7883" s="217" t="s">
        <v>265</v>
      </c>
    </row>
    <row r="7884" spans="1:8" ht="15">
      <c r="A7884" s="211" t="s">
        <v>486</v>
      </c>
      <c r="B7884" s="216" t="str">
        <f ca="1">_xlfn.CONCAT(B7880,A7884)</f>
        <v>1506F925-C</v>
      </c>
      <c r="C7884" s="17" t="str">
        <f>_xlfn.XLOOKUP(H7884,'Materiales unitario'!$A$1:$A$2500,'Materiales unitario'!B$1:B$2500,,0,1)</f>
        <v>Termoencogible</v>
      </c>
      <c r="D7884" s="184" t="str">
        <f>_xlfn.XLOOKUP(H7884,'Materiales unitario'!A$1:A$2500,'Materiales unitario'!C$1:C$2500,,0,1)</f>
        <v>un</v>
      </c>
      <c r="E7884" s="197">
        <f>_xlfn.XLOOKUP(H7884,'Materiales unitario'!$A$1:$A$2500,'Materiales unitario'!D$1:D$2500,,0,1)</f>
        <v>5000</v>
      </c>
      <c r="F7884" s="19">
        <v>0.1</v>
      </c>
      <c r="G7884" s="20">
        <f>+E7884*F7884</f>
        <v>500</v>
      </c>
      <c r="H7884" s="217" t="s">
        <v>373</v>
      </c>
    </row>
    <row r="7885" spans="1:8" ht="15">
      <c r="A7885" s="211" t="s">
        <v>487</v>
      </c>
      <c r="B7885" s="216" t="str">
        <f ca="1">_xlfn.CONCAT(B7880,A7885)</f>
        <v>1506F925-D</v>
      </c>
      <c r="C7885" s="17"/>
      <c r="D7885" s="184"/>
      <c r="E7885" s="197"/>
      <c r="F7885" s="19"/>
      <c r="G7885" s="20"/>
      <c r="H7885" s="217"/>
    </row>
    <row r="7886" spans="1:8" ht="15">
      <c r="A7886" s="211" t="s">
        <v>488</v>
      </c>
      <c r="B7886" s="216" t="str">
        <f ca="1">_xlfn.CONCAT(B7880,A7886)</f>
        <v>1506F925-E</v>
      </c>
      <c r="C7886" s="17" t="str">
        <f>_xlfn.XLOOKUP(H7886,'Materiales unitario'!$A$1:$A$2500,'Materiales unitario'!B$1:B$2500,,0,1)</f>
        <v>Tubo metálico ø3/4" EMT</v>
      </c>
      <c r="D7886" s="184" t="str">
        <f>_xlfn.XLOOKUP(H7886,'Materiales unitario'!A$1:A$2500,'Materiales unitario'!C$1:C$2500,,0,1)</f>
        <v>ml</v>
      </c>
      <c r="E7886" s="197">
        <f>_xlfn.XLOOKUP(H7886,'Materiales unitario'!$A$1:$A$2500,'Materiales unitario'!D$1:D$2500,,0,1)</f>
        <v>11733</v>
      </c>
      <c r="F7886" s="19">
        <v>1.05</v>
      </c>
      <c r="G7886" s="20">
        <f>+E7886*F7886</f>
        <v>12319.65</v>
      </c>
      <c r="H7886" s="217" t="s">
        <v>388</v>
      </c>
    </row>
    <row r="7887" spans="1:8" ht="15">
      <c r="A7887" s="211" t="s">
        <v>489</v>
      </c>
      <c r="B7887" s="216" t="str">
        <f ca="1">_xlfn.CONCAT(B7880,A7887)</f>
        <v>1506F925-F</v>
      </c>
      <c r="C7887" s="17" t="str">
        <f>_xlfn.XLOOKUP(H7887,'Materiales unitario'!$A$1:$A$2500,'Materiales unitario'!B$1:B$2500,,0,1)</f>
        <v>Unión metálica ø3/4" EMT</v>
      </c>
      <c r="D7887" s="184" t="str">
        <f>_xlfn.XLOOKUP(H7887,'Materiales unitario'!A$1:A$2500,'Materiales unitario'!C$1:C$2500,,0,1)</f>
        <v>un</v>
      </c>
      <c r="E7887" s="197">
        <f>_xlfn.XLOOKUP(H7887,'Materiales unitario'!$A$1:$A$2500,'Materiales unitario'!D$1:D$2500,,0,1)</f>
        <v>1800</v>
      </c>
      <c r="F7887" s="19">
        <v>0.4</v>
      </c>
      <c r="G7887" s="20">
        <f>+E7887*F7887</f>
        <v>720</v>
      </c>
      <c r="H7887" s="217" t="s">
        <v>392</v>
      </c>
    </row>
    <row r="7888" spans="1:8" ht="15">
      <c r="A7888" s="211" t="s">
        <v>490</v>
      </c>
      <c r="B7888" s="216" t="str">
        <f ca="1">_xlfn.CONCAT(B7880,A7888)</f>
        <v>1506F925-G</v>
      </c>
      <c r="C7888" s="17" t="str">
        <f>_xlfn.XLOOKUP(H7888,'Materiales unitario'!$A$1:$A$2500,'Materiales unitario'!B$1:B$2500,,0,1)</f>
        <v xml:space="preserve">Terminal metálico ø3/4" EMT </v>
      </c>
      <c r="D7888" s="184" t="str">
        <f>_xlfn.XLOOKUP(H7888,'Materiales unitario'!A$1:A$2500,'Materiales unitario'!C$1:C$2500,,0,1)</f>
        <v>un</v>
      </c>
      <c r="E7888" s="197">
        <f>_xlfn.XLOOKUP(H7888,'Materiales unitario'!$A$1:$A$2500,'Materiales unitario'!D$1:D$2500,,0,1)</f>
        <v>2200</v>
      </c>
      <c r="F7888" s="19">
        <v>0.1</v>
      </c>
      <c r="G7888" s="20">
        <f>+E7888*F7888</f>
        <v>220</v>
      </c>
      <c r="H7888" s="217" t="s">
        <v>371</v>
      </c>
    </row>
    <row r="7889" spans="1:8" ht="15">
      <c r="A7889" s="211" t="s">
        <v>491</v>
      </c>
      <c r="B7889" s="216" t="str">
        <f ca="1">_xlfn.CONCAT(B7880,A7889)</f>
        <v>1506F925-H</v>
      </c>
      <c r="C7889" s="17" t="str">
        <f>_xlfn.XLOOKUP(H7889,'Materiales unitario'!$A$1:$A$2500,'Materiales unitario'!B$1:B$2500,,0,1)</f>
        <v>Accesorios de anclaje y fijacion.</v>
      </c>
      <c r="D7889" s="184" t="str">
        <f>_xlfn.XLOOKUP(H7889,'Materiales unitario'!A$1:A$2500,'Materiales unitario'!C$1:C$2500,,0,1)</f>
        <v>un</v>
      </c>
      <c r="E7889" s="197">
        <f>_xlfn.XLOOKUP(H7889,'Materiales unitario'!$A$1:$A$2500,'Materiales unitario'!D$1:D$2500,,0,1)</f>
        <v>10000</v>
      </c>
      <c r="F7889" s="19">
        <v>0.25</v>
      </c>
      <c r="G7889" s="20">
        <f>+E7889*F7889</f>
        <v>2500</v>
      </c>
      <c r="H7889" s="217" t="s">
        <v>222</v>
      </c>
    </row>
    <row r="7890" spans="1:8">
      <c r="A7890" s="211" t="s">
        <v>492</v>
      </c>
      <c r="B7890" s="216" t="str">
        <f ca="1">_xlfn.CONCAT(B7880,A7890)</f>
        <v>1506F925-I</v>
      </c>
      <c r="C7890" s="17"/>
      <c r="D7890" s="184"/>
      <c r="E7890" s="197"/>
      <c r="F7890" s="19"/>
      <c r="G7890" s="20"/>
    </row>
    <row r="7891" spans="1:8">
      <c r="A7891" s="211" t="s">
        <v>493</v>
      </c>
      <c r="B7891" s="216" t="str">
        <f ca="1">_xlfn.CONCAT(B7880,A7891)</f>
        <v>1506F925-J</v>
      </c>
      <c r="C7891" s="17"/>
      <c r="D7891" s="184"/>
      <c r="E7891" s="197"/>
      <c r="F7891" s="19"/>
      <c r="G7891" s="20"/>
    </row>
    <row r="7892" spans="1:8">
      <c r="A7892" s="211" t="s">
        <v>494</v>
      </c>
      <c r="B7892" s="216" t="str">
        <f ca="1">_xlfn.CONCAT(B7880,A7892)</f>
        <v>1506F925-K</v>
      </c>
      <c r="C7892" s="17"/>
      <c r="D7892" s="184"/>
      <c r="E7892" s="197"/>
      <c r="F7892" s="19"/>
      <c r="G7892" s="20"/>
    </row>
    <row r="7893" spans="1:8">
      <c r="A7893" s="211" t="s">
        <v>495</v>
      </c>
      <c r="B7893" s="216" t="str">
        <f ca="1">_xlfn.CONCAT(B7880,A7893)</f>
        <v>1506F925-L</v>
      </c>
      <c r="C7893" s="17"/>
      <c r="D7893" s="184"/>
      <c r="E7893" s="197"/>
      <c r="F7893" s="19"/>
      <c r="G7893" s="20"/>
    </row>
    <row r="7894" spans="1:8">
      <c r="A7894" s="211" t="s">
        <v>496</v>
      </c>
      <c r="B7894" s="216" t="str">
        <f ca="1">_xlfn.CONCAT(B7880,A7894)</f>
        <v>1506F925-M</v>
      </c>
      <c r="C7894" s="17"/>
      <c r="D7894" s="184"/>
      <c r="E7894" s="197"/>
      <c r="F7894" s="19"/>
      <c r="G7894" s="20"/>
    </row>
    <row r="7895" spans="1:8">
      <c r="A7895" s="211" t="s">
        <v>497</v>
      </c>
      <c r="B7895" s="216" t="str">
        <f ca="1">_xlfn.CONCAT(B7880,A7895)</f>
        <v>1506F925-N</v>
      </c>
      <c r="C7895" s="17"/>
      <c r="D7895" s="184"/>
      <c r="E7895" s="197"/>
      <c r="F7895" s="19"/>
      <c r="G7895" s="20"/>
    </row>
    <row r="7896" spans="1:8">
      <c r="A7896" s="211" t="s">
        <v>498</v>
      </c>
      <c r="B7896" s="216" t="str">
        <f ca="1">_xlfn.CONCAT(B7880,A7896)</f>
        <v>1506F925-O</v>
      </c>
      <c r="C7896" s="17"/>
      <c r="D7896" s="184"/>
      <c r="E7896" s="197"/>
      <c r="F7896" s="19"/>
      <c r="G7896" s="20"/>
    </row>
    <row r="7897" spans="1:8">
      <c r="A7897" s="211" t="s">
        <v>499</v>
      </c>
      <c r="B7897" s="216" t="str">
        <f ca="1">_xlfn.CONCAT(B7880,A7897)</f>
        <v>1506F925-P</v>
      </c>
      <c r="C7897" s="17"/>
      <c r="D7897" s="184"/>
      <c r="E7897" s="197"/>
      <c r="F7897" s="19"/>
      <c r="G7897" s="20"/>
    </row>
    <row r="7898" spans="1:8">
      <c r="A7898" s="211" t="s">
        <v>500</v>
      </c>
      <c r="B7898" s="216" t="str">
        <f ca="1">_xlfn.CONCAT(B7880,A7898)</f>
        <v>1506F925-Q</v>
      </c>
      <c r="C7898" s="17"/>
      <c r="D7898" s="184"/>
      <c r="E7898" s="197"/>
      <c r="F7898" s="19"/>
      <c r="G7898" s="20"/>
    </row>
    <row r="7899" spans="1:8">
      <c r="A7899" s="211" t="s">
        <v>501</v>
      </c>
      <c r="B7899" s="216" t="str">
        <f ca="1">_xlfn.CONCAT(B7880,A7899)</f>
        <v>1506F925-R</v>
      </c>
      <c r="C7899" s="17"/>
      <c r="D7899" s="184"/>
      <c r="E7899" s="197"/>
      <c r="F7899" s="19"/>
      <c r="G7899" s="20"/>
    </row>
    <row r="7900" spans="1:8">
      <c r="A7900" s="211" t="s">
        <v>502</v>
      </c>
      <c r="B7900" s="216" t="str">
        <f ca="1">_xlfn.CONCAT(B7880,A7900)</f>
        <v>1506F925-S</v>
      </c>
      <c r="C7900" s="17"/>
      <c r="D7900" s="184"/>
      <c r="E7900" s="197"/>
      <c r="F7900" s="19"/>
      <c r="G7900" s="20"/>
    </row>
    <row r="7901" spans="1:8">
      <c r="A7901" s="211" t="s">
        <v>503</v>
      </c>
      <c r="B7901" s="216" t="str">
        <f ca="1">_xlfn.CONCAT(B7880,A7901)</f>
        <v>1506F925-T</v>
      </c>
      <c r="C7901" s="17"/>
      <c r="D7901" s="184"/>
      <c r="E7901" s="197"/>
      <c r="F7901" s="19"/>
      <c r="G7901" s="20"/>
    </row>
    <row r="7902" spans="1:8" ht="14.25" thickBot="1">
      <c r="A7902" s="211" t="s">
        <v>504</v>
      </c>
      <c r="B7902" s="216" t="str">
        <f ca="1">_xlfn.CONCAT(B7880,A7902)</f>
        <v>1506F925-U</v>
      </c>
      <c r="C7902" s="17"/>
      <c r="D7902" s="184"/>
      <c r="E7902" s="197"/>
      <c r="F7902" s="19"/>
      <c r="G7902" s="20"/>
    </row>
    <row r="7903" spans="1:8" ht="14.25" thickBot="1">
      <c r="A7903" s="211" t="s">
        <v>505</v>
      </c>
      <c r="B7903" s="216" t="str">
        <f ca="1">_xlfn.CONCAT(B7880,A7903)</f>
        <v>1506F925-V</v>
      </c>
      <c r="C7903" s="17" t="s">
        <v>17</v>
      </c>
      <c r="D7903" s="192" t="s">
        <v>17</v>
      </c>
      <c r="E7903" s="18"/>
      <c r="F7903" s="22" t="s">
        <v>18</v>
      </c>
      <c r="G7903" s="23">
        <f>SUM(G7882:G7902)</f>
        <v>36269.65</v>
      </c>
    </row>
    <row r="7904" spans="1:8" ht="15.75" thickBot="1">
      <c r="A7904" s="211" t="s">
        <v>506</v>
      </c>
      <c r="B7904" s="216" t="str">
        <f ca="1">_xlfn.CONCAT(B7880,A7904)</f>
        <v>1506F925-W</v>
      </c>
      <c r="C7904" s="10" t="s">
        <v>19</v>
      </c>
      <c r="D7904" s="190"/>
      <c r="E7904" s="11"/>
      <c r="F7904" s="12"/>
      <c r="G7904" s="13"/>
    </row>
    <row r="7905" spans="1:9" ht="14.25" thickBot="1">
      <c r="A7905" s="211" t="s">
        <v>507</v>
      </c>
      <c r="B7905" s="216" t="str">
        <f ca="1">_xlfn.CONCAT(B7880,A7905)</f>
        <v>1506F925-X</v>
      </c>
      <c r="C7905" s="14" t="s">
        <v>1</v>
      </c>
      <c r="D7905" s="15"/>
      <c r="E7905" s="15" t="s">
        <v>20</v>
      </c>
      <c r="F7905" s="16" t="s">
        <v>21</v>
      </c>
      <c r="G7905" s="15" t="s">
        <v>5</v>
      </c>
      <c r="H7905" s="215"/>
    </row>
    <row r="7906" spans="1:9">
      <c r="A7906" s="211" t="s">
        <v>508</v>
      </c>
      <c r="B7906" s="216" t="str">
        <f ca="1">_xlfn.CONCAT(B7880,A7906)</f>
        <v>1506F925-Y</v>
      </c>
      <c r="C7906" s="24" t="s">
        <v>22</v>
      </c>
      <c r="D7906" s="184"/>
      <c r="E7906" s="25">
        <f>_xlfn.XLOOKUP(C7906,'H-MO'!B$7:B$30,'H-MO'!D$7:D$30,,0,1)</f>
        <v>2436.5624999999995</v>
      </c>
      <c r="F7906" s="19">
        <v>0.2</v>
      </c>
      <c r="G7906" s="33">
        <f t="shared" ref="G7906:G7911" si="226">+E7906*F7906</f>
        <v>487.31249999999994</v>
      </c>
    </row>
    <row r="7907" spans="1:9">
      <c r="A7907" s="211" t="s">
        <v>509</v>
      </c>
      <c r="B7907" s="216" t="str">
        <f ca="1">_xlfn.CONCAT(B7880,A7907)</f>
        <v>1506F925-Z</v>
      </c>
      <c r="C7907" s="24" t="s">
        <v>23</v>
      </c>
      <c r="D7907" s="184"/>
      <c r="E7907" s="25">
        <f>_xlfn.XLOOKUP(C7907,'H-MO'!B$7:B$30,'H-MO'!D$7:D$30,,0,1)</f>
        <v>1461.9374999999998</v>
      </c>
      <c r="F7907" s="19">
        <v>0.05</v>
      </c>
      <c r="G7907" s="33">
        <f t="shared" si="226"/>
        <v>73.096874999999997</v>
      </c>
    </row>
    <row r="7908" spans="1:9">
      <c r="A7908" s="211" t="s">
        <v>510</v>
      </c>
      <c r="B7908" s="216" t="str">
        <f ca="1">_xlfn.CONCAT(B7880,A7908)</f>
        <v>1506F925-aa</v>
      </c>
      <c r="C7908" s="24" t="s">
        <v>24</v>
      </c>
      <c r="D7908" s="185"/>
      <c r="E7908" s="25">
        <f>_xlfn.XLOOKUP(C7908,'H-MO'!B$7:B$30,'H-MO'!D$7:D$30,,0,1)</f>
        <v>29238.749999999996</v>
      </c>
      <c r="F7908" s="28">
        <v>0.01</v>
      </c>
      <c r="G7908" s="33">
        <f t="shared" si="226"/>
        <v>292.38749999999999</v>
      </c>
    </row>
    <row r="7909" spans="1:9">
      <c r="A7909" s="211" t="s">
        <v>511</v>
      </c>
      <c r="B7909" s="216" t="str">
        <f ca="1">_xlfn.CONCAT(B7880,A7909)</f>
        <v>1506F925-ab</v>
      </c>
      <c r="C7909" s="24" t="s">
        <v>25</v>
      </c>
      <c r="D7909" s="185"/>
      <c r="E7909" s="25">
        <f>_xlfn.XLOOKUP(C7909,'H-MO'!B$7:B$30,'H-MO'!D$7:D$30,,0,1)</f>
        <v>2761.4374999999995</v>
      </c>
      <c r="F7909" s="28">
        <v>0.08</v>
      </c>
      <c r="G7909" s="33">
        <f t="shared" si="226"/>
        <v>220.91499999999996</v>
      </c>
    </row>
    <row r="7910" spans="1:9">
      <c r="A7910" s="211" t="s">
        <v>512</v>
      </c>
      <c r="B7910" s="216" t="str">
        <f ca="1">_xlfn.CONCAT(B7880,A7910)</f>
        <v>1506F925-ac</v>
      </c>
      <c r="C7910" s="24"/>
      <c r="D7910" s="185"/>
      <c r="E7910" s="29"/>
      <c r="F7910" s="28"/>
      <c r="G7910" s="33">
        <f t="shared" si="226"/>
        <v>0</v>
      </c>
    </row>
    <row r="7911" spans="1:9" ht="14.25" thickBot="1">
      <c r="A7911" s="211" t="s">
        <v>513</v>
      </c>
      <c r="B7911" s="216" t="str">
        <f ca="1">_xlfn.CONCAT(B7880,A7911)</f>
        <v>1506F925-ad</v>
      </c>
      <c r="C7911" s="24"/>
      <c r="D7911" s="185"/>
      <c r="E7911" s="29"/>
      <c r="F7911" s="28"/>
      <c r="G7911" s="33">
        <f t="shared" si="226"/>
        <v>0</v>
      </c>
    </row>
    <row r="7912" spans="1:9" ht="14.25" thickBot="1">
      <c r="A7912" s="211" t="s">
        <v>514</v>
      </c>
      <c r="B7912" s="216" t="str">
        <f ca="1">_xlfn.CONCAT(B7880,A7912)</f>
        <v>1506F925-ae</v>
      </c>
      <c r="C7912" s="17"/>
      <c r="D7912" s="192"/>
      <c r="E7912" s="18"/>
      <c r="F7912" s="22" t="s">
        <v>26</v>
      </c>
      <c r="G7912" s="23">
        <f>SUM(G7906:G7911)</f>
        <v>1073.711875</v>
      </c>
      <c r="I7912" s="229"/>
    </row>
    <row r="7913" spans="1:9" ht="15.75" thickBot="1">
      <c r="A7913" s="211" t="s">
        <v>515</v>
      </c>
      <c r="B7913" s="216" t="str">
        <f ca="1">_xlfn.CONCAT(B7880,A7913)</f>
        <v>1506F925-af</v>
      </c>
      <c r="C7913" s="10" t="s">
        <v>27</v>
      </c>
      <c r="D7913" s="190"/>
      <c r="E7913" s="11"/>
      <c r="F7913" s="12"/>
      <c r="G7913" s="13"/>
    </row>
    <row r="7914" spans="1:9" ht="14.25" thickBot="1">
      <c r="A7914" s="211" t="s">
        <v>516</v>
      </c>
      <c r="B7914" s="216" t="str">
        <f ca="1">_xlfn.CONCAT(B7880,A7914)</f>
        <v>1506F925-ag</v>
      </c>
      <c r="C7914" s="14" t="s">
        <v>1</v>
      </c>
      <c r="D7914" s="15" t="s">
        <v>28</v>
      </c>
      <c r="E7914" s="15" t="s">
        <v>20</v>
      </c>
      <c r="F7914" s="16" t="s">
        <v>21</v>
      </c>
      <c r="G7914" s="15" t="s">
        <v>5</v>
      </c>
      <c r="H7914" s="215"/>
    </row>
    <row r="7915" spans="1:9">
      <c r="A7915" s="211" t="s">
        <v>517</v>
      </c>
      <c r="B7915" s="216" t="str">
        <f ca="1">_xlfn.CONCAT(B7880,A7915)</f>
        <v>1506F925-ah</v>
      </c>
      <c r="C7915" s="30" t="s">
        <v>29</v>
      </c>
      <c r="D7915" s="186">
        <f>'H-MO'!$N$77</f>
        <v>725918.52892505517</v>
      </c>
      <c r="E7915" s="31">
        <f>+D7915/8</f>
        <v>90739.816115631897</v>
      </c>
      <c r="F7915" s="32">
        <v>0.25</v>
      </c>
      <c r="G7915" s="33">
        <f>+E7915*F7915</f>
        <v>22684.954028907974</v>
      </c>
    </row>
    <row r="7916" spans="1:9">
      <c r="A7916" s="211" t="s">
        <v>518</v>
      </c>
      <c r="B7916" s="216" t="str">
        <f ca="1">_xlfn.CONCAT(B7880,A7916)</f>
        <v>1506F925-ai</v>
      </c>
      <c r="C7916" s="34" t="s">
        <v>30</v>
      </c>
      <c r="D7916" s="187">
        <f>'H-MO'!$N$86</f>
        <v>685561.39085756091</v>
      </c>
      <c r="E7916" s="29">
        <f>+D7916/8</f>
        <v>85695.173857195114</v>
      </c>
      <c r="F7916" s="28">
        <v>0</v>
      </c>
      <c r="G7916" s="33">
        <f>+E7916*F7916</f>
        <v>0</v>
      </c>
    </row>
    <row r="7917" spans="1:9" ht="14.25" thickBot="1">
      <c r="A7917" s="211" t="s">
        <v>519</v>
      </c>
      <c r="B7917" s="216" t="str">
        <f ca="1">_xlfn.CONCAT(B7880,A7917)</f>
        <v>1506F925-aj</v>
      </c>
      <c r="C7917" s="34"/>
      <c r="D7917" s="187"/>
      <c r="E7917" s="29"/>
      <c r="F7917" s="28"/>
      <c r="G7917" s="33">
        <f>+E7917*F7917</f>
        <v>0</v>
      </c>
    </row>
    <row r="7918" spans="1:9" ht="14.25" thickBot="1">
      <c r="A7918" s="211" t="s">
        <v>520</v>
      </c>
      <c r="B7918" s="216" t="str">
        <f ca="1">_xlfn.CONCAT(B7880,A7918)</f>
        <v>1506F925-ak</v>
      </c>
      <c r="C7918" s="34"/>
      <c r="D7918" s="185"/>
      <c r="E7918" s="26"/>
      <c r="F7918" s="36" t="s">
        <v>31</v>
      </c>
      <c r="G7918" s="23">
        <f>SUM(G7915:G7917)</f>
        <v>22684.954028907974</v>
      </c>
    </row>
    <row r="7919" spans="1:9" ht="14.25" thickBot="1">
      <c r="A7919" s="211" t="s">
        <v>521</v>
      </c>
      <c r="B7919" s="216" t="str">
        <f ca="1">_xlfn.CONCAT(B7880,A7919)</f>
        <v>1506F925-al</v>
      </c>
      <c r="C7919" s="37"/>
      <c r="E7919" s="38"/>
      <c r="F7919" s="22"/>
      <c r="G7919" s="39"/>
    </row>
    <row r="7920" spans="1:9" ht="16.5" thickBot="1">
      <c r="A7920" s="211" t="s">
        <v>522</v>
      </c>
      <c r="B7920" s="216" t="str">
        <f ca="1">_xlfn.CONCAT(B7880,A7920)</f>
        <v>1506F925-am</v>
      </c>
      <c r="C7920" s="40"/>
      <c r="D7920" s="193"/>
      <c r="E7920" s="41"/>
      <c r="F7920" s="42"/>
      <c r="G7920" s="43">
        <f>+G7903+G7912+G7918</f>
        <v>60028.315903907976</v>
      </c>
    </row>
    <row r="7921" spans="1:8" ht="21.75" thickBot="1">
      <c r="B7921" s="212" t="s">
        <v>550</v>
      </c>
      <c r="C7921" s="2"/>
      <c r="D7921" s="183"/>
      <c r="F7921" s="4"/>
      <c r="G7921" s="5"/>
    </row>
    <row r="7922" spans="1:8" ht="18.75">
      <c r="A7922" s="213"/>
      <c r="B7922" s="214">
        <v>180</v>
      </c>
      <c r="C7922" s="242" t="str">
        <f ca="1">_xlfn.XLOOKUP(B7922,Cantidades!$A$10:$A$314,Cantidades!$C$10:$C$314,,0,1)</f>
        <v>Suministro e instalacion de alimentador en cobre 3x10 +1x8 +1x10T en tubo EMT 3/4"</v>
      </c>
      <c r="D7922" s="243"/>
      <c r="E7922" s="243"/>
      <c r="F7922" s="243"/>
      <c r="G7922" s="244"/>
      <c r="H7922" s="213"/>
    </row>
    <row r="7923" spans="1:8" ht="19.5" thickBot="1">
      <c r="A7923" s="215"/>
      <c r="B7923" s="216" t="s">
        <v>550</v>
      </c>
      <c r="C7923" s="177"/>
      <c r="D7923" s="189"/>
      <c r="E7923" s="178"/>
      <c r="F7923" s="179" t="s">
        <v>636</v>
      </c>
      <c r="G7923" s="209" t="str">
        <f ca="1">B7924</f>
        <v>1506F926-</v>
      </c>
      <c r="H7923" s="215"/>
    </row>
    <row r="7924" spans="1:8" ht="15.75" thickBot="1">
      <c r="B7924" s="212" t="str">
        <f ca="1">_xlfn.XLOOKUP(C7922,Cantidades!$C$1:$C$314,Cantidades!$B$1:$B$314,"",0,1)</f>
        <v>1506F926-</v>
      </c>
      <c r="C7924" s="10" t="s">
        <v>0</v>
      </c>
      <c r="D7924" s="190"/>
      <c r="E7924" s="11"/>
      <c r="F7924" s="12"/>
      <c r="G7924" s="13"/>
    </row>
    <row r="7925" spans="1:8" ht="14.25" thickBot="1">
      <c r="A7925" s="215"/>
      <c r="B7925" s="216" t="s">
        <v>550</v>
      </c>
      <c r="C7925" s="14" t="s">
        <v>1</v>
      </c>
      <c r="D7925" s="15" t="s">
        <v>2</v>
      </c>
      <c r="E7925" s="15" t="s">
        <v>3</v>
      </c>
      <c r="F7925" s="16" t="s">
        <v>4</v>
      </c>
      <c r="G7925" s="15" t="s">
        <v>5</v>
      </c>
      <c r="H7925" s="215"/>
    </row>
    <row r="7926" spans="1:8" ht="15">
      <c r="A7926" s="211" t="s">
        <v>484</v>
      </c>
      <c r="B7926" s="216" t="str">
        <f ca="1">_xlfn.CONCAT(B7924,A7926)</f>
        <v>1506F926-A</v>
      </c>
      <c r="C7926" s="17" t="str">
        <f>_xlfn.XLOOKUP(H7926,'Materiales unitario'!$A$1:$A$2500,'Materiales unitario'!B$1:B$2500,,0,1)</f>
        <v>Cable de cobre aislado #8 AWG-THHN/THWN Color negro</v>
      </c>
      <c r="D7926" s="184" t="str">
        <f>_xlfn.XLOOKUP(H7926,'Materiales unitario'!A$1:A$2500,'Materiales unitario'!C$1:C$2500,,0,1)</f>
        <v>ml</v>
      </c>
      <c r="E7926" s="197">
        <f>_xlfn.XLOOKUP(H7926,'Materiales unitario'!$A$1:$A$2500,'Materiales unitario'!D$1:D$2500,,0,1)</f>
        <v>6400</v>
      </c>
      <c r="F7926" s="19">
        <v>1.1000000000000001</v>
      </c>
      <c r="G7926" s="20">
        <f>+E7926*F7926</f>
        <v>7040.0000000000009</v>
      </c>
      <c r="H7926" s="217" t="s">
        <v>274</v>
      </c>
    </row>
    <row r="7927" spans="1:8" ht="15">
      <c r="A7927" s="211" t="s">
        <v>485</v>
      </c>
      <c r="B7927" s="216" t="str">
        <f ca="1">_xlfn.CONCAT(B7924,A7927)</f>
        <v>1506F926-B</v>
      </c>
      <c r="C7927" s="17" t="str">
        <f>_xlfn.XLOOKUP(H7927,'Materiales unitario'!$A$1:$A$2500,'Materiales unitario'!B$1:B$2500,,0,1)</f>
        <v>Cable de cobre aislado #10 AWG-THHN/THWN Color negro</v>
      </c>
      <c r="D7927" s="184" t="str">
        <f>_xlfn.XLOOKUP(H7927,'Materiales unitario'!A$1:A$2500,'Materiales unitario'!C$1:C$2500,,0,1)</f>
        <v>ml</v>
      </c>
      <c r="E7927" s="197">
        <f>_xlfn.XLOOKUP(H7927,'Materiales unitario'!$A$1:$A$2500,'Materiales unitario'!D$1:D$2500,,0,1)</f>
        <v>5215</v>
      </c>
      <c r="F7927" s="19">
        <v>4.2</v>
      </c>
      <c r="G7927" s="20">
        <f>+E7927*F7927</f>
        <v>21903</v>
      </c>
      <c r="H7927" s="217" t="s">
        <v>265</v>
      </c>
    </row>
    <row r="7928" spans="1:8" ht="15">
      <c r="A7928" s="211" t="s">
        <v>486</v>
      </c>
      <c r="B7928" s="216" t="str">
        <f ca="1">_xlfn.CONCAT(B7924,A7928)</f>
        <v>1506F926-C</v>
      </c>
      <c r="C7928" s="17" t="str">
        <f>_xlfn.XLOOKUP(H7928,'Materiales unitario'!$A$1:$A$2500,'Materiales unitario'!B$1:B$2500,,0,1)</f>
        <v>Termoencogible</v>
      </c>
      <c r="D7928" s="184" t="str">
        <f>_xlfn.XLOOKUP(H7928,'Materiales unitario'!A$1:A$2500,'Materiales unitario'!C$1:C$2500,,0,1)</f>
        <v>un</v>
      </c>
      <c r="E7928" s="197">
        <f>_xlfn.XLOOKUP(H7928,'Materiales unitario'!$A$1:$A$2500,'Materiales unitario'!D$1:D$2500,,0,1)</f>
        <v>5000</v>
      </c>
      <c r="F7928" s="19">
        <v>0.1</v>
      </c>
      <c r="G7928" s="20">
        <f>+E7928*F7928</f>
        <v>500</v>
      </c>
      <c r="H7928" s="217" t="s">
        <v>373</v>
      </c>
    </row>
    <row r="7929" spans="1:8" ht="15">
      <c r="A7929" s="211" t="s">
        <v>487</v>
      </c>
      <c r="B7929" s="216" t="str">
        <f ca="1">_xlfn.CONCAT(B7924,A7929)</f>
        <v>1506F926-D</v>
      </c>
      <c r="C7929" s="17"/>
      <c r="D7929" s="184"/>
      <c r="E7929" s="197"/>
      <c r="F7929" s="19"/>
      <c r="G7929" s="20"/>
      <c r="H7929" s="217"/>
    </row>
    <row r="7930" spans="1:8" ht="15">
      <c r="A7930" s="211" t="s">
        <v>488</v>
      </c>
      <c r="B7930" s="216" t="str">
        <f ca="1">_xlfn.CONCAT(B7924,A7930)</f>
        <v>1506F926-E</v>
      </c>
      <c r="C7930" s="17" t="str">
        <f>_xlfn.XLOOKUP(H7930,'Materiales unitario'!$A$1:$A$2500,'Materiales unitario'!B$1:B$2500,,0,1)</f>
        <v>Tubo metálico ø3/4" EMT</v>
      </c>
      <c r="D7930" s="184" t="str">
        <f>_xlfn.XLOOKUP(H7930,'Materiales unitario'!A$1:A$2500,'Materiales unitario'!C$1:C$2500,,0,1)</f>
        <v>ml</v>
      </c>
      <c r="E7930" s="197">
        <f>_xlfn.XLOOKUP(H7930,'Materiales unitario'!$A$1:$A$2500,'Materiales unitario'!D$1:D$2500,,0,1)</f>
        <v>11733</v>
      </c>
      <c r="F7930" s="19">
        <v>1.05</v>
      </c>
      <c r="G7930" s="20">
        <f>+E7930*F7930</f>
        <v>12319.65</v>
      </c>
      <c r="H7930" s="217" t="s">
        <v>388</v>
      </c>
    </row>
    <row r="7931" spans="1:8" ht="15">
      <c r="A7931" s="211" t="s">
        <v>489</v>
      </c>
      <c r="B7931" s="216" t="str">
        <f ca="1">_xlfn.CONCAT(B7924,A7931)</f>
        <v>1506F926-F</v>
      </c>
      <c r="C7931" s="17" t="str">
        <f>_xlfn.XLOOKUP(H7931,'Materiales unitario'!$A$1:$A$2500,'Materiales unitario'!B$1:B$2500,,0,1)</f>
        <v>Unión metálica ø3/4" EMT</v>
      </c>
      <c r="D7931" s="184" t="str">
        <f>_xlfn.XLOOKUP(H7931,'Materiales unitario'!A$1:A$2500,'Materiales unitario'!C$1:C$2500,,0,1)</f>
        <v>un</v>
      </c>
      <c r="E7931" s="197">
        <f>_xlfn.XLOOKUP(H7931,'Materiales unitario'!$A$1:$A$2500,'Materiales unitario'!D$1:D$2500,,0,1)</f>
        <v>1800</v>
      </c>
      <c r="F7931" s="19">
        <v>0.4</v>
      </c>
      <c r="G7931" s="20">
        <f>+E7931*F7931</f>
        <v>720</v>
      </c>
      <c r="H7931" s="217" t="s">
        <v>392</v>
      </c>
    </row>
    <row r="7932" spans="1:8" ht="15">
      <c r="A7932" s="211" t="s">
        <v>490</v>
      </c>
      <c r="B7932" s="216" t="str">
        <f ca="1">_xlfn.CONCAT(B7924,A7932)</f>
        <v>1506F926-G</v>
      </c>
      <c r="C7932" s="17" t="str">
        <f>_xlfn.XLOOKUP(H7932,'Materiales unitario'!$A$1:$A$2500,'Materiales unitario'!B$1:B$2500,,0,1)</f>
        <v xml:space="preserve">Terminal metálico ø3/4" EMT </v>
      </c>
      <c r="D7932" s="184" t="str">
        <f>_xlfn.XLOOKUP(H7932,'Materiales unitario'!A$1:A$2500,'Materiales unitario'!C$1:C$2500,,0,1)</f>
        <v>un</v>
      </c>
      <c r="E7932" s="197">
        <f>_xlfn.XLOOKUP(H7932,'Materiales unitario'!$A$1:$A$2500,'Materiales unitario'!D$1:D$2500,,0,1)</f>
        <v>2200</v>
      </c>
      <c r="F7932" s="19">
        <v>0.1</v>
      </c>
      <c r="G7932" s="20">
        <f>+E7932*F7932</f>
        <v>220</v>
      </c>
      <c r="H7932" s="217" t="s">
        <v>371</v>
      </c>
    </row>
    <row r="7933" spans="1:8" ht="15">
      <c r="A7933" s="211" t="s">
        <v>491</v>
      </c>
      <c r="B7933" s="216" t="str">
        <f ca="1">_xlfn.CONCAT(B7924,A7933)</f>
        <v>1506F926-H</v>
      </c>
      <c r="C7933" s="17" t="str">
        <f>_xlfn.XLOOKUP(H7933,'Materiales unitario'!$A$1:$A$2500,'Materiales unitario'!B$1:B$2500,,0,1)</f>
        <v>Accesorios de anclaje y fijacion.</v>
      </c>
      <c r="D7933" s="184" t="str">
        <f>_xlfn.XLOOKUP(H7933,'Materiales unitario'!A$1:A$2500,'Materiales unitario'!C$1:C$2500,,0,1)</f>
        <v>un</v>
      </c>
      <c r="E7933" s="197">
        <f>_xlfn.XLOOKUP(H7933,'Materiales unitario'!$A$1:$A$2500,'Materiales unitario'!D$1:D$2500,,0,1)</f>
        <v>10000</v>
      </c>
      <c r="F7933" s="19">
        <v>0.25</v>
      </c>
      <c r="G7933" s="20">
        <f>+E7933*F7933</f>
        <v>2500</v>
      </c>
      <c r="H7933" s="217" t="s">
        <v>222</v>
      </c>
    </row>
    <row r="7934" spans="1:8">
      <c r="A7934" s="211" t="s">
        <v>492</v>
      </c>
      <c r="B7934" s="216" t="str">
        <f ca="1">_xlfn.CONCAT(B7924,A7934)</f>
        <v>1506F926-I</v>
      </c>
      <c r="C7934" s="17"/>
      <c r="D7934" s="184"/>
      <c r="E7934" s="197"/>
      <c r="F7934" s="19"/>
      <c r="G7934" s="20"/>
    </row>
    <row r="7935" spans="1:8">
      <c r="A7935" s="211" t="s">
        <v>493</v>
      </c>
      <c r="B7935" s="216" t="str">
        <f ca="1">_xlfn.CONCAT(B7924,A7935)</f>
        <v>1506F926-J</v>
      </c>
      <c r="C7935" s="17"/>
      <c r="D7935" s="184"/>
      <c r="E7935" s="197"/>
      <c r="F7935" s="19"/>
      <c r="G7935" s="20"/>
    </row>
    <row r="7936" spans="1:8">
      <c r="A7936" s="211" t="s">
        <v>494</v>
      </c>
      <c r="B7936" s="216" t="str">
        <f ca="1">_xlfn.CONCAT(B7924,A7936)</f>
        <v>1506F926-K</v>
      </c>
      <c r="C7936" s="17"/>
      <c r="D7936" s="184"/>
      <c r="E7936" s="197"/>
      <c r="F7936" s="19"/>
      <c r="G7936" s="20"/>
    </row>
    <row r="7937" spans="1:8">
      <c r="A7937" s="211" t="s">
        <v>495</v>
      </c>
      <c r="B7937" s="216" t="str">
        <f ca="1">_xlfn.CONCAT(B7924,A7937)</f>
        <v>1506F926-L</v>
      </c>
      <c r="C7937" s="17"/>
      <c r="D7937" s="184"/>
      <c r="E7937" s="197"/>
      <c r="F7937" s="19"/>
      <c r="G7937" s="20"/>
    </row>
    <row r="7938" spans="1:8">
      <c r="A7938" s="211" t="s">
        <v>496</v>
      </c>
      <c r="B7938" s="216" t="str">
        <f ca="1">_xlfn.CONCAT(B7924,A7938)</f>
        <v>1506F926-M</v>
      </c>
      <c r="C7938" s="17"/>
      <c r="D7938" s="184"/>
      <c r="E7938" s="197"/>
      <c r="F7938" s="19"/>
      <c r="G7938" s="20"/>
    </row>
    <row r="7939" spans="1:8">
      <c r="A7939" s="211" t="s">
        <v>497</v>
      </c>
      <c r="B7939" s="216" t="str">
        <f ca="1">_xlfn.CONCAT(B7924,A7939)</f>
        <v>1506F926-N</v>
      </c>
      <c r="C7939" s="17"/>
      <c r="D7939" s="184"/>
      <c r="E7939" s="197"/>
      <c r="F7939" s="19"/>
      <c r="G7939" s="20"/>
    </row>
    <row r="7940" spans="1:8">
      <c r="A7940" s="211" t="s">
        <v>498</v>
      </c>
      <c r="B7940" s="216" t="str">
        <f ca="1">_xlfn.CONCAT(B7924,A7940)</f>
        <v>1506F926-O</v>
      </c>
      <c r="C7940" s="17"/>
      <c r="D7940" s="184"/>
      <c r="E7940" s="197"/>
      <c r="F7940" s="19"/>
      <c r="G7940" s="20"/>
    </row>
    <row r="7941" spans="1:8">
      <c r="A7941" s="211" t="s">
        <v>499</v>
      </c>
      <c r="B7941" s="216" t="str">
        <f ca="1">_xlfn.CONCAT(B7924,A7941)</f>
        <v>1506F926-P</v>
      </c>
      <c r="C7941" s="17"/>
      <c r="D7941" s="184"/>
      <c r="E7941" s="197"/>
      <c r="F7941" s="19"/>
      <c r="G7941" s="20"/>
    </row>
    <row r="7942" spans="1:8">
      <c r="A7942" s="211" t="s">
        <v>500</v>
      </c>
      <c r="B7942" s="216" t="str">
        <f ca="1">_xlfn.CONCAT(B7924,A7942)</f>
        <v>1506F926-Q</v>
      </c>
      <c r="C7942" s="17"/>
      <c r="D7942" s="184"/>
      <c r="E7942" s="197"/>
      <c r="F7942" s="19"/>
      <c r="G7942" s="20"/>
    </row>
    <row r="7943" spans="1:8">
      <c r="A7943" s="211" t="s">
        <v>501</v>
      </c>
      <c r="B7943" s="216" t="str">
        <f ca="1">_xlfn.CONCAT(B7924,A7943)</f>
        <v>1506F926-R</v>
      </c>
      <c r="C7943" s="17"/>
      <c r="D7943" s="184"/>
      <c r="E7943" s="197"/>
      <c r="F7943" s="19"/>
      <c r="G7943" s="20"/>
    </row>
    <row r="7944" spans="1:8">
      <c r="A7944" s="211" t="s">
        <v>502</v>
      </c>
      <c r="B7944" s="216" t="str">
        <f ca="1">_xlfn.CONCAT(B7924,A7944)</f>
        <v>1506F926-S</v>
      </c>
      <c r="C7944" s="17"/>
      <c r="D7944" s="184"/>
      <c r="E7944" s="197"/>
      <c r="F7944" s="19"/>
      <c r="G7944" s="20"/>
    </row>
    <row r="7945" spans="1:8">
      <c r="A7945" s="211" t="s">
        <v>503</v>
      </c>
      <c r="B7945" s="216" t="str">
        <f ca="1">_xlfn.CONCAT(B7924,A7945)</f>
        <v>1506F926-T</v>
      </c>
      <c r="C7945" s="17"/>
      <c r="D7945" s="184"/>
      <c r="E7945" s="197"/>
      <c r="F7945" s="19"/>
      <c r="G7945" s="20"/>
    </row>
    <row r="7946" spans="1:8" ht="14.25" thickBot="1">
      <c r="A7946" s="211" t="s">
        <v>504</v>
      </c>
      <c r="B7946" s="216" t="str">
        <f ca="1">_xlfn.CONCAT(B7924,A7946)</f>
        <v>1506F926-U</v>
      </c>
      <c r="C7946" s="17"/>
      <c r="D7946" s="184"/>
      <c r="E7946" s="197"/>
      <c r="F7946" s="19"/>
      <c r="G7946" s="20"/>
    </row>
    <row r="7947" spans="1:8" ht="14.25" thickBot="1">
      <c r="A7947" s="211" t="s">
        <v>505</v>
      </c>
      <c r="B7947" s="216" t="str">
        <f ca="1">_xlfn.CONCAT(B7924,A7947)</f>
        <v>1506F926-V</v>
      </c>
      <c r="C7947" s="17" t="s">
        <v>17</v>
      </c>
      <c r="D7947" s="192" t="s">
        <v>17</v>
      </c>
      <c r="E7947" s="18"/>
      <c r="F7947" s="22" t="s">
        <v>18</v>
      </c>
      <c r="G7947" s="23">
        <f>SUM(G7926:G7946)</f>
        <v>45202.65</v>
      </c>
    </row>
    <row r="7948" spans="1:8" ht="15.75" thickBot="1">
      <c r="A7948" s="211" t="s">
        <v>506</v>
      </c>
      <c r="B7948" s="216" t="str">
        <f ca="1">_xlfn.CONCAT(B7924,A7948)</f>
        <v>1506F926-W</v>
      </c>
      <c r="C7948" s="10" t="s">
        <v>19</v>
      </c>
      <c r="D7948" s="190"/>
      <c r="E7948" s="11"/>
      <c r="F7948" s="12"/>
      <c r="G7948" s="13"/>
    </row>
    <row r="7949" spans="1:8" ht="14.25" thickBot="1">
      <c r="A7949" s="211" t="s">
        <v>507</v>
      </c>
      <c r="B7949" s="216" t="str">
        <f ca="1">_xlfn.CONCAT(B7924,A7949)</f>
        <v>1506F926-X</v>
      </c>
      <c r="C7949" s="14" t="s">
        <v>1</v>
      </c>
      <c r="D7949" s="15"/>
      <c r="E7949" s="15" t="s">
        <v>20</v>
      </c>
      <c r="F7949" s="16" t="s">
        <v>21</v>
      </c>
      <c r="G7949" s="15" t="s">
        <v>5</v>
      </c>
      <c r="H7949" s="215"/>
    </row>
    <row r="7950" spans="1:8">
      <c r="A7950" s="211" t="s">
        <v>508</v>
      </c>
      <c r="B7950" s="216" t="str">
        <f ca="1">_xlfn.CONCAT(B7924,A7950)</f>
        <v>1506F926-Y</v>
      </c>
      <c r="C7950" s="24" t="s">
        <v>22</v>
      </c>
      <c r="D7950" s="184"/>
      <c r="E7950" s="25">
        <f>_xlfn.XLOOKUP(C7950,'H-MO'!B$7:B$30,'H-MO'!D$7:D$30,,0,1)</f>
        <v>2436.5624999999995</v>
      </c>
      <c r="F7950" s="19">
        <v>0.3</v>
      </c>
      <c r="G7950" s="33">
        <f t="shared" ref="G7950:G7955" si="227">+E7950*F7950</f>
        <v>730.96874999999989</v>
      </c>
    </row>
    <row r="7951" spans="1:8">
      <c r="A7951" s="211" t="s">
        <v>509</v>
      </c>
      <c r="B7951" s="216" t="str">
        <f ca="1">_xlfn.CONCAT(B7924,A7951)</f>
        <v>1506F926-Z</v>
      </c>
      <c r="C7951" s="24" t="s">
        <v>23</v>
      </c>
      <c r="D7951" s="184"/>
      <c r="E7951" s="25">
        <f>_xlfn.XLOOKUP(C7951,'H-MO'!B$7:B$30,'H-MO'!D$7:D$30,,0,1)</f>
        <v>1461.9374999999998</v>
      </c>
      <c r="F7951" s="19">
        <v>0.05</v>
      </c>
      <c r="G7951" s="33">
        <f t="shared" si="227"/>
        <v>73.096874999999997</v>
      </c>
    </row>
    <row r="7952" spans="1:8">
      <c r="A7952" s="211" t="s">
        <v>510</v>
      </c>
      <c r="B7952" s="216" t="str">
        <f ca="1">_xlfn.CONCAT(B7924,A7952)</f>
        <v>1506F926-aa</v>
      </c>
      <c r="C7952" s="24" t="s">
        <v>24</v>
      </c>
      <c r="D7952" s="185"/>
      <c r="E7952" s="25">
        <f>_xlfn.XLOOKUP(C7952,'H-MO'!B$7:B$30,'H-MO'!D$7:D$30,,0,1)</f>
        <v>29238.749999999996</v>
      </c>
      <c r="F7952" s="28">
        <v>0.01</v>
      </c>
      <c r="G7952" s="33">
        <f t="shared" si="227"/>
        <v>292.38749999999999</v>
      </c>
    </row>
    <row r="7953" spans="1:8">
      <c r="A7953" s="211" t="s">
        <v>511</v>
      </c>
      <c r="B7953" s="216" t="str">
        <f ca="1">_xlfn.CONCAT(B7924,A7953)</f>
        <v>1506F926-ab</v>
      </c>
      <c r="C7953" s="24" t="s">
        <v>25</v>
      </c>
      <c r="D7953" s="185"/>
      <c r="E7953" s="25">
        <f>_xlfn.XLOOKUP(C7953,'H-MO'!B$7:B$30,'H-MO'!D$7:D$30,,0,1)</f>
        <v>2761.4374999999995</v>
      </c>
      <c r="F7953" s="28">
        <v>0.08</v>
      </c>
      <c r="G7953" s="33">
        <f t="shared" si="227"/>
        <v>220.91499999999996</v>
      </c>
    </row>
    <row r="7954" spans="1:8">
      <c r="A7954" s="211" t="s">
        <v>512</v>
      </c>
      <c r="B7954" s="216" t="str">
        <f ca="1">_xlfn.CONCAT(B7924,A7954)</f>
        <v>1506F926-ac</v>
      </c>
      <c r="C7954" s="24"/>
      <c r="D7954" s="185"/>
      <c r="E7954" s="29"/>
      <c r="F7954" s="28"/>
      <c r="G7954" s="33">
        <f t="shared" si="227"/>
        <v>0</v>
      </c>
    </row>
    <row r="7955" spans="1:8" ht="14.25" thickBot="1">
      <c r="A7955" s="211" t="s">
        <v>513</v>
      </c>
      <c r="B7955" s="216" t="str">
        <f ca="1">_xlfn.CONCAT(B7924,A7955)</f>
        <v>1506F926-ad</v>
      </c>
      <c r="C7955" s="24"/>
      <c r="D7955" s="185"/>
      <c r="E7955" s="29"/>
      <c r="F7955" s="28"/>
      <c r="G7955" s="33">
        <f t="shared" si="227"/>
        <v>0</v>
      </c>
    </row>
    <row r="7956" spans="1:8" ht="14.25" thickBot="1">
      <c r="A7956" s="211" t="s">
        <v>514</v>
      </c>
      <c r="B7956" s="216" t="str">
        <f ca="1">_xlfn.CONCAT(B7924,A7956)</f>
        <v>1506F926-ae</v>
      </c>
      <c r="C7956" s="17"/>
      <c r="D7956" s="192"/>
      <c r="E7956" s="18"/>
      <c r="F7956" s="22" t="s">
        <v>26</v>
      </c>
      <c r="G7956" s="23">
        <f>SUM(G7950:G7955)</f>
        <v>1317.3681249999997</v>
      </c>
    </row>
    <row r="7957" spans="1:8" ht="15.75" thickBot="1">
      <c r="A7957" s="211" t="s">
        <v>515</v>
      </c>
      <c r="B7957" s="216" t="str">
        <f ca="1">_xlfn.CONCAT(B7924,A7957)</f>
        <v>1506F926-af</v>
      </c>
      <c r="C7957" s="10" t="s">
        <v>27</v>
      </c>
      <c r="D7957" s="190"/>
      <c r="E7957" s="11"/>
      <c r="F7957" s="12"/>
      <c r="G7957" s="13"/>
    </row>
    <row r="7958" spans="1:8" ht="14.25" thickBot="1">
      <c r="A7958" s="211" t="s">
        <v>516</v>
      </c>
      <c r="B7958" s="216" t="str">
        <f ca="1">_xlfn.CONCAT(B7924,A7958)</f>
        <v>1506F926-ag</v>
      </c>
      <c r="C7958" s="14" t="s">
        <v>1</v>
      </c>
      <c r="D7958" s="15" t="s">
        <v>28</v>
      </c>
      <c r="E7958" s="15" t="s">
        <v>20</v>
      </c>
      <c r="F7958" s="16" t="s">
        <v>21</v>
      </c>
      <c r="G7958" s="15" t="s">
        <v>5</v>
      </c>
      <c r="H7958" s="215"/>
    </row>
    <row r="7959" spans="1:8">
      <c r="A7959" s="211" t="s">
        <v>517</v>
      </c>
      <c r="B7959" s="216" t="str">
        <f ca="1">_xlfn.CONCAT(B7924,A7959)</f>
        <v>1506F926-ah</v>
      </c>
      <c r="C7959" s="30" t="s">
        <v>29</v>
      </c>
      <c r="D7959" s="186">
        <f>'H-MO'!$N$77</f>
        <v>725918.52892505517</v>
      </c>
      <c r="E7959" s="31">
        <f>+D7959/8</f>
        <v>90739.816115631897</v>
      </c>
      <c r="F7959" s="32">
        <v>0.29499999999999998</v>
      </c>
      <c r="G7959" s="33">
        <f>+E7959*F7959</f>
        <v>26768.245754111409</v>
      </c>
      <c r="H7959" s="229"/>
    </row>
    <row r="7960" spans="1:8">
      <c r="A7960" s="211" t="s">
        <v>518</v>
      </c>
      <c r="B7960" s="216" t="str">
        <f ca="1">_xlfn.CONCAT(B7924,A7960)</f>
        <v>1506F926-ai</v>
      </c>
      <c r="C7960" s="34" t="s">
        <v>30</v>
      </c>
      <c r="D7960" s="187">
        <f>'H-MO'!$N$86</f>
        <v>685561.39085756091</v>
      </c>
      <c r="E7960" s="29">
        <f>+D7960/8</f>
        <v>85695.173857195114</v>
      </c>
      <c r="F7960" s="28">
        <v>0</v>
      </c>
      <c r="G7960" s="33">
        <f>+E7960*F7960</f>
        <v>0</v>
      </c>
    </row>
    <row r="7961" spans="1:8" ht="14.25" thickBot="1">
      <c r="A7961" s="211" t="s">
        <v>519</v>
      </c>
      <c r="B7961" s="216" t="str">
        <f ca="1">_xlfn.CONCAT(B7924,A7961)</f>
        <v>1506F926-aj</v>
      </c>
      <c r="C7961" s="34"/>
      <c r="D7961" s="187"/>
      <c r="E7961" s="29"/>
      <c r="F7961" s="28"/>
      <c r="G7961" s="33">
        <f>+E7961*F7961</f>
        <v>0</v>
      </c>
    </row>
    <row r="7962" spans="1:8" ht="14.25" thickBot="1">
      <c r="A7962" s="211" t="s">
        <v>520</v>
      </c>
      <c r="B7962" s="216" t="str">
        <f ca="1">_xlfn.CONCAT(B7924,A7962)</f>
        <v>1506F926-ak</v>
      </c>
      <c r="C7962" s="34"/>
      <c r="D7962" s="185"/>
      <c r="E7962" s="26"/>
      <c r="F7962" s="36" t="s">
        <v>31</v>
      </c>
      <c r="G7962" s="23">
        <f>SUM(G7959:G7961)</f>
        <v>26768.245754111409</v>
      </c>
    </row>
    <row r="7963" spans="1:8" ht="14.25" thickBot="1">
      <c r="A7963" s="211" t="s">
        <v>521</v>
      </c>
      <c r="B7963" s="216" t="str">
        <f ca="1">_xlfn.CONCAT(B7924,A7963)</f>
        <v>1506F926-al</v>
      </c>
      <c r="C7963" s="37"/>
      <c r="E7963" s="38"/>
      <c r="F7963" s="22"/>
      <c r="G7963" s="39"/>
    </row>
    <row r="7964" spans="1:8" ht="16.5" thickBot="1">
      <c r="A7964" s="211" t="s">
        <v>522</v>
      </c>
      <c r="B7964" s="216" t="str">
        <f ca="1">_xlfn.CONCAT(B7924,A7964)</f>
        <v>1506F926-am</v>
      </c>
      <c r="C7964" s="40"/>
      <c r="D7964" s="193"/>
      <c r="E7964" s="41"/>
      <c r="F7964" s="42"/>
      <c r="G7964" s="43">
        <f>+G7947+G7956+G7962</f>
        <v>73288.263879111415</v>
      </c>
    </row>
    <row r="7965" spans="1:8" ht="21.75" thickBot="1">
      <c r="B7965" s="212" t="s">
        <v>550</v>
      </c>
      <c r="C7965" s="2"/>
      <c r="D7965" s="183"/>
      <c r="F7965" s="4"/>
      <c r="G7965" s="5"/>
    </row>
    <row r="7966" spans="1:8" ht="18.75">
      <c r="A7966" s="213"/>
      <c r="B7966" s="214">
        <v>181</v>
      </c>
      <c r="C7966" s="242" t="str">
        <f ca="1">_xlfn.XLOOKUP(B7966,Cantidades!$A$10:$A$314,Cantidades!$C$10:$C$314,,0,1)</f>
        <v>Suministro e instalacion de acometida en cobre 3x6 +1x4 +1x8T en tubo EMT 1 1/4"</v>
      </c>
      <c r="D7966" s="243"/>
      <c r="E7966" s="243"/>
      <c r="F7966" s="243"/>
      <c r="G7966" s="244"/>
    </row>
    <row r="7967" spans="1:8" ht="19.5" thickBot="1">
      <c r="A7967" s="215"/>
      <c r="B7967" s="216" t="s">
        <v>550</v>
      </c>
      <c r="C7967" s="177"/>
      <c r="D7967" s="189"/>
      <c r="E7967" s="178"/>
      <c r="F7967" s="179" t="s">
        <v>636</v>
      </c>
      <c r="G7967" s="209" t="str">
        <f ca="1">B7968</f>
        <v>AAE5F07-</v>
      </c>
    </row>
    <row r="7968" spans="1:8" ht="15.75" thickBot="1">
      <c r="B7968" s="212" t="str">
        <f ca="1">_xlfn.XLOOKUP(C7966,Cantidades!$C$1:$C$314,Cantidades!$B$1:$B$314,"",0,1)</f>
        <v>AAE5F07-</v>
      </c>
      <c r="C7968" s="10" t="s">
        <v>0</v>
      </c>
      <c r="D7968" s="190"/>
      <c r="E7968" s="11"/>
      <c r="F7968" s="12"/>
      <c r="G7968" s="13"/>
    </row>
    <row r="7969" spans="1:8" ht="14.25" thickBot="1">
      <c r="A7969" s="215"/>
      <c r="B7969" s="216" t="s">
        <v>550</v>
      </c>
      <c r="C7969" s="14" t="s">
        <v>1</v>
      </c>
      <c r="D7969" s="15" t="s">
        <v>2</v>
      </c>
      <c r="E7969" s="15" t="s">
        <v>3</v>
      </c>
      <c r="F7969" s="16" t="s">
        <v>4</v>
      </c>
      <c r="G7969" s="15" t="s">
        <v>5</v>
      </c>
    </row>
    <row r="7970" spans="1:8">
      <c r="A7970" s="211" t="s">
        <v>484</v>
      </c>
      <c r="B7970" s="216" t="str">
        <f ca="1">_xlfn.CONCAT(B7968,A7970)</f>
        <v>AAE5F07-A</v>
      </c>
      <c r="C7970" s="17" t="str">
        <f>_xlfn.XLOOKUP(H7970,'Materiales unitario'!$A$1:$A$2500,'Materiales unitario'!B$1:B$2500,,0,1)</f>
        <v>Cable de cobre aislado #4 AWG-THHN/THWN Color negro</v>
      </c>
      <c r="D7970" s="184" t="str">
        <f>_xlfn.XLOOKUP(H7970,'Materiales unitario'!A$1:A$2500,'Materiales unitario'!C$1:C$2500,,0,1)</f>
        <v>ml</v>
      </c>
      <c r="E7970" s="197">
        <f>_xlfn.XLOOKUP(H7970,'Materiales unitario'!$A$1:$A$2500,'Materiales unitario'!D$1:D$2500,,0,1)</f>
        <v>16320</v>
      </c>
      <c r="F7970" s="19">
        <v>1.05</v>
      </c>
      <c r="G7970" s="20">
        <f t="shared" ref="G7970:G7976" si="228">+E7970*F7970</f>
        <v>17136</v>
      </c>
      <c r="H7970" s="211" t="s">
        <v>271</v>
      </c>
    </row>
    <row r="7971" spans="1:8">
      <c r="A7971" s="211" t="s">
        <v>485</v>
      </c>
      <c r="B7971" s="216" t="str">
        <f ca="1">_xlfn.CONCAT(B7968,A7971)</f>
        <v>AAE5F07-B</v>
      </c>
      <c r="C7971" s="17" t="str">
        <f>_xlfn.XLOOKUP(H7971,'Materiales unitario'!$A$1:$A$2500,'Materiales unitario'!B$1:B$2500,,0,1)</f>
        <v>Cable de cobre aislado #6 AWG-THHN/THWN Color negro</v>
      </c>
      <c r="D7971" s="184" t="str">
        <f>_xlfn.XLOOKUP(H7971,'Materiales unitario'!A$1:A$2500,'Materiales unitario'!C$1:C$2500,,0,1)</f>
        <v>ml</v>
      </c>
      <c r="E7971" s="197">
        <f>_xlfn.XLOOKUP(H7971,'Materiales unitario'!$A$1:$A$2500,'Materiales unitario'!D$1:D$2500,,0,1)</f>
        <v>10300</v>
      </c>
      <c r="F7971" s="19">
        <v>3.15</v>
      </c>
      <c r="G7971" s="20">
        <f t="shared" si="228"/>
        <v>32445</v>
      </c>
      <c r="H7971" s="211" t="s">
        <v>273</v>
      </c>
    </row>
    <row r="7972" spans="1:8">
      <c r="A7972" s="211" t="s">
        <v>486</v>
      </c>
      <c r="B7972" s="216" t="str">
        <f ca="1">_xlfn.CONCAT(B7968,A7972)</f>
        <v>AAE5F07-C</v>
      </c>
      <c r="C7972" s="17" t="str">
        <f>_xlfn.XLOOKUP(H7972,'Materiales unitario'!$A$1:$A$2500,'Materiales unitario'!B$1:B$2500,,0,1)</f>
        <v>Cable de cobre aislado #8 AWG-THHN/THWN Color negro</v>
      </c>
      <c r="D7972" s="184" t="str">
        <f>_xlfn.XLOOKUP(H7972,'Materiales unitario'!A$1:A$2500,'Materiales unitario'!C$1:C$2500,,0,1)</f>
        <v>ml</v>
      </c>
      <c r="E7972" s="197">
        <f>_xlfn.XLOOKUP(H7972,'Materiales unitario'!$A$1:$A$2500,'Materiales unitario'!D$1:D$2500,,0,1)</f>
        <v>6400</v>
      </c>
      <c r="F7972" s="19">
        <v>0.6</v>
      </c>
      <c r="G7972" s="20">
        <f t="shared" si="228"/>
        <v>3840</v>
      </c>
      <c r="H7972" s="211" t="s">
        <v>274</v>
      </c>
    </row>
    <row r="7973" spans="1:8">
      <c r="A7973" s="211" t="s">
        <v>487</v>
      </c>
      <c r="B7973" s="216" t="str">
        <f ca="1">_xlfn.CONCAT(B7968,A7973)</f>
        <v>AAE5F07-D</v>
      </c>
      <c r="C7973" s="17" t="str">
        <f>_xlfn.XLOOKUP(H7973,'Materiales unitario'!$A$1:$A$2500,'Materiales unitario'!B$1:B$2500,,0,1)</f>
        <v>Borna terminal estañada de ojo tipo pala #4 AWG</v>
      </c>
      <c r="D7973" s="184" t="str">
        <f>_xlfn.XLOOKUP(H7973,'Materiales unitario'!A$1:A$2500,'Materiales unitario'!C$1:C$2500,,0,1)</f>
        <v>un</v>
      </c>
      <c r="E7973" s="197">
        <f>_xlfn.XLOOKUP(H7973,'Materiales unitario'!$A$1:$A$2500,'Materiales unitario'!D$1:D$2500,,0,1)</f>
        <v>1860</v>
      </c>
      <c r="F7973" s="19">
        <v>0.2</v>
      </c>
      <c r="G7973" s="20">
        <f t="shared" si="228"/>
        <v>372</v>
      </c>
      <c r="H7973" s="211" t="s">
        <v>253</v>
      </c>
    </row>
    <row r="7974" spans="1:8">
      <c r="A7974" s="211" t="s">
        <v>488</v>
      </c>
      <c r="B7974" s="216" t="str">
        <f ca="1">_xlfn.CONCAT(B7968,A7974)</f>
        <v>AAE5F07-E</v>
      </c>
      <c r="C7974" s="17" t="str">
        <f>_xlfn.XLOOKUP(H7974,'Materiales unitario'!$A$1:$A$2500,'Materiales unitario'!B$1:B$2500,,0,1)</f>
        <v>Borna terminal estañada de ojo tipo pala #6 AWG</v>
      </c>
      <c r="D7974" s="184" t="str">
        <f>_xlfn.XLOOKUP(H7974,'Materiales unitario'!A$1:A$2500,'Materiales unitario'!C$1:C$2500,,0,1)</f>
        <v>un</v>
      </c>
      <c r="E7974" s="197">
        <f>_xlfn.XLOOKUP(H7974,'Materiales unitario'!$A$1:$A$2500,'Materiales unitario'!D$1:D$2500,,0,1)</f>
        <v>1800</v>
      </c>
      <c r="F7974" s="19">
        <v>0.6</v>
      </c>
      <c r="G7974" s="20">
        <f t="shared" si="228"/>
        <v>1080</v>
      </c>
      <c r="H7974" s="211" t="s">
        <v>254</v>
      </c>
    </row>
    <row r="7975" spans="1:8">
      <c r="A7975" s="211" t="s">
        <v>489</v>
      </c>
      <c r="B7975" s="216" t="str">
        <f ca="1">_xlfn.CONCAT(B7968,A7975)</f>
        <v>AAE5F07-F</v>
      </c>
      <c r="C7975" s="17" t="str">
        <f>_xlfn.XLOOKUP(H7975,'Materiales unitario'!$A$1:$A$2500,'Materiales unitario'!B$1:B$2500,,0,1)</f>
        <v>Borna terminal estañada de ojo tipo pala #8 AWG</v>
      </c>
      <c r="D7975" s="184" t="str">
        <f>_xlfn.XLOOKUP(H7975,'Materiales unitario'!A$1:A$2500,'Materiales unitario'!C$1:C$2500,,0,1)</f>
        <v>un</v>
      </c>
      <c r="E7975" s="197">
        <f>_xlfn.XLOOKUP(H7975,'Materiales unitario'!$A$1:$A$2500,'Materiales unitario'!D$1:D$2500,,0,1)</f>
        <v>1200</v>
      </c>
      <c r="F7975" s="19">
        <v>0.2</v>
      </c>
      <c r="G7975" s="20">
        <f t="shared" si="228"/>
        <v>240</v>
      </c>
      <c r="H7975" s="211" t="s">
        <v>255</v>
      </c>
    </row>
    <row r="7976" spans="1:8">
      <c r="A7976" s="211" t="s">
        <v>490</v>
      </c>
      <c r="B7976" s="216" t="str">
        <f ca="1">_xlfn.CONCAT(B7968,A7976)</f>
        <v>AAE5F07-G</v>
      </c>
      <c r="C7976" s="17" t="str">
        <f>_xlfn.XLOOKUP(H7976,'Materiales unitario'!$A$1:$A$2500,'Materiales unitario'!B$1:B$2500,,0,1)</f>
        <v>Termoencogible</v>
      </c>
      <c r="D7976" s="184" t="str">
        <f>_xlfn.XLOOKUP(H7976,'Materiales unitario'!A$1:A$2500,'Materiales unitario'!C$1:C$2500,,0,1)</f>
        <v>un</v>
      </c>
      <c r="E7976" s="197">
        <f>_xlfn.XLOOKUP(H7976,'Materiales unitario'!$A$1:$A$2500,'Materiales unitario'!D$1:D$2500,,0,1)</f>
        <v>5000</v>
      </c>
      <c r="F7976" s="19">
        <v>0.1</v>
      </c>
      <c r="G7976" s="20">
        <f t="shared" si="228"/>
        <v>500</v>
      </c>
      <c r="H7976" s="211" t="s">
        <v>373</v>
      </c>
    </row>
    <row r="7977" spans="1:8">
      <c r="A7977" s="211" t="s">
        <v>491</v>
      </c>
      <c r="B7977" s="216" t="str">
        <f ca="1">_xlfn.CONCAT(B7968,A7977)</f>
        <v>AAE5F07-H</v>
      </c>
      <c r="C7977" s="17"/>
      <c r="D7977" s="184"/>
      <c r="E7977" s="197"/>
      <c r="F7977" s="19"/>
      <c r="G7977" s="20"/>
    </row>
    <row r="7978" spans="1:8" ht="15">
      <c r="A7978" s="211" t="s">
        <v>492</v>
      </c>
      <c r="B7978" s="216" t="str">
        <f ca="1">_xlfn.CONCAT(B7968,A7978)</f>
        <v>AAE5F07-I</v>
      </c>
      <c r="C7978" s="17" t="str">
        <f>_xlfn.XLOOKUP(H7978,'Materiales unitario'!$A$1:$A$2500,'Materiales unitario'!B$1:B$2500,,0,1)</f>
        <v>Tubo metálico ø1 1/4" EMT</v>
      </c>
      <c r="D7978" s="184" t="str">
        <f>_xlfn.XLOOKUP(H7978,'Materiales unitario'!A$1:A$2500,'Materiales unitario'!C$1:C$2500,,0,1)</f>
        <v>ml</v>
      </c>
      <c r="E7978" s="197">
        <f>_xlfn.XLOOKUP(H7978,'Materiales unitario'!$A$1:$A$2500,'Materiales unitario'!D$1:D$2500,,0,1)</f>
        <v>28816.666666666668</v>
      </c>
      <c r="F7978" s="19">
        <v>1.05</v>
      </c>
      <c r="G7978" s="20">
        <f>+E7978*F7978</f>
        <v>30257.500000000004</v>
      </c>
      <c r="H7978" s="217" t="s">
        <v>838</v>
      </c>
    </row>
    <row r="7979" spans="1:8" ht="15">
      <c r="A7979" s="211" t="s">
        <v>493</v>
      </c>
      <c r="B7979" s="216" t="str">
        <f ca="1">_xlfn.CONCAT(B7968,A7979)</f>
        <v>AAE5F07-J</v>
      </c>
      <c r="C7979" s="17" t="str">
        <f>_xlfn.XLOOKUP(H7979,'Materiales unitario'!$A$1:$A$2500,'Materiales unitario'!B$1:B$2500,,0,1)</f>
        <v>Unión metálica ø1 1/4" EMT</v>
      </c>
      <c r="D7979" s="184" t="str">
        <f>_xlfn.XLOOKUP(H7979,'Materiales unitario'!A$1:A$2500,'Materiales unitario'!C$1:C$2500,,0,1)</f>
        <v>un</v>
      </c>
      <c r="E7979" s="197">
        <f>_xlfn.XLOOKUP(H7979,'Materiales unitario'!$A$1:$A$2500,'Materiales unitario'!D$1:D$2500,,0,1)</f>
        <v>4420</v>
      </c>
      <c r="F7979" s="19">
        <v>0.35</v>
      </c>
      <c r="G7979" s="20">
        <f>+E7979*F7979</f>
        <v>1547</v>
      </c>
      <c r="H7979" s="217" t="s">
        <v>839</v>
      </c>
    </row>
    <row r="7980" spans="1:8" ht="15">
      <c r="A7980" s="211" t="s">
        <v>494</v>
      </c>
      <c r="B7980" s="216" t="str">
        <f ca="1">_xlfn.CONCAT(B7968,A7980)</f>
        <v>AAE5F07-K</v>
      </c>
      <c r="C7980" s="17" t="str">
        <f>_xlfn.XLOOKUP(H7980,'Materiales unitario'!$A$1:$A$2500,'Materiales unitario'!B$1:B$2500,,0,1)</f>
        <v xml:space="preserve">Terminal metálico ø1 1/4" EMT </v>
      </c>
      <c r="D7980" s="184" t="str">
        <f>_xlfn.XLOOKUP(H7980,'Materiales unitario'!A$1:A$2500,'Materiales unitario'!C$1:C$2500,,0,1)</f>
        <v>un</v>
      </c>
      <c r="E7980" s="197">
        <f>_xlfn.XLOOKUP(H7980,'Materiales unitario'!$A$1:$A$2500,'Materiales unitario'!D$1:D$2500,,0,1)</f>
        <v>4612</v>
      </c>
      <c r="F7980" s="19">
        <v>0.1</v>
      </c>
      <c r="G7980" s="20">
        <f>+E7980*F7980</f>
        <v>461.20000000000005</v>
      </c>
      <c r="H7980" s="217" t="s">
        <v>840</v>
      </c>
    </row>
    <row r="7981" spans="1:8" ht="15">
      <c r="A7981" s="211" t="s">
        <v>495</v>
      </c>
      <c r="B7981" s="216" t="str">
        <f ca="1">_xlfn.CONCAT(B7968,A7981)</f>
        <v>AAE5F07-L</v>
      </c>
      <c r="C7981" s="17" t="str">
        <f>_xlfn.XLOOKUP(H7981,'Materiales unitario'!$A$1:$A$2500,'Materiales unitario'!B$1:B$2500,,0,1)</f>
        <v>Curva metálica ø1 1/4" EMT</v>
      </c>
      <c r="D7981" s="184" t="str">
        <f>_xlfn.XLOOKUP(H7981,'Materiales unitario'!A$1:A$2500,'Materiales unitario'!C$1:C$2500,,0,1)</f>
        <v>un</v>
      </c>
      <c r="E7981" s="197">
        <f>_xlfn.XLOOKUP(H7981,'Materiales unitario'!$A$1:$A$2500,'Materiales unitario'!D$1:D$2500,,0,1)</f>
        <v>7915</v>
      </c>
      <c r="F7981" s="19">
        <v>0.1</v>
      </c>
      <c r="G7981" s="20">
        <f>+E7981*F7981</f>
        <v>791.5</v>
      </c>
      <c r="H7981" s="217" t="s">
        <v>841</v>
      </c>
    </row>
    <row r="7982" spans="1:8" ht="15">
      <c r="A7982" s="211" t="s">
        <v>496</v>
      </c>
      <c r="B7982" s="216" t="str">
        <f ca="1">_xlfn.CONCAT(B7968,A7982)</f>
        <v>AAE5F07-M</v>
      </c>
      <c r="C7982" s="17" t="str">
        <f>_xlfn.XLOOKUP(H7982,'Materiales unitario'!$A$1:$A$2500,'Materiales unitario'!B$1:B$2500,,0,1)</f>
        <v>Soporte metalico 1 1/4"</v>
      </c>
      <c r="D7982" s="184" t="str">
        <f>_xlfn.XLOOKUP(H7982,'Materiales unitario'!A$1:A$2500,'Materiales unitario'!C$1:C$2500,,0,1)</f>
        <v>un</v>
      </c>
      <c r="E7982" s="197">
        <f>_xlfn.XLOOKUP(H7982,'Materiales unitario'!$A$1:$A$2500,'Materiales unitario'!D$1:D$2500,,0,1)</f>
        <v>3110</v>
      </c>
      <c r="F7982" s="19">
        <v>0.75</v>
      </c>
      <c r="G7982" s="20">
        <f>+E7982*F7982</f>
        <v>2332.5</v>
      </c>
      <c r="H7982" s="217" t="s">
        <v>769</v>
      </c>
    </row>
    <row r="7983" spans="1:8" ht="15">
      <c r="A7983" s="211" t="s">
        <v>497</v>
      </c>
      <c r="B7983" s="216" t="str">
        <f ca="1">_xlfn.CONCAT(B7968,A7983)</f>
        <v>AAE5F07-N</v>
      </c>
      <c r="C7983" s="17"/>
      <c r="D7983" s="184"/>
      <c r="E7983" s="197"/>
      <c r="F7983" s="19"/>
      <c r="G7983" s="20"/>
      <c r="H7983" s="217"/>
    </row>
    <row r="7984" spans="1:8">
      <c r="A7984" s="211" t="s">
        <v>498</v>
      </c>
      <c r="B7984" s="216" t="str">
        <f ca="1">_xlfn.CONCAT(B7968,A7984)</f>
        <v>AAE5F07-O</v>
      </c>
      <c r="C7984" s="17"/>
      <c r="D7984" s="184"/>
      <c r="E7984" s="197"/>
      <c r="F7984" s="19"/>
      <c r="G7984" s="20"/>
    </row>
    <row r="7985" spans="1:8">
      <c r="A7985" s="211" t="s">
        <v>499</v>
      </c>
      <c r="B7985" s="216" t="str">
        <f ca="1">_xlfn.CONCAT(B7968,A7985)</f>
        <v>AAE5F07-P</v>
      </c>
      <c r="C7985" s="17"/>
      <c r="D7985" s="184"/>
      <c r="E7985" s="197"/>
      <c r="F7985" s="19"/>
      <c r="G7985" s="20"/>
    </row>
    <row r="7986" spans="1:8">
      <c r="A7986" s="211" t="s">
        <v>500</v>
      </c>
      <c r="B7986" s="216" t="str">
        <f ca="1">_xlfn.CONCAT(B7968,A7986)</f>
        <v>AAE5F07-Q</v>
      </c>
      <c r="C7986" s="17"/>
      <c r="D7986" s="184"/>
      <c r="E7986" s="197"/>
      <c r="F7986" s="19"/>
      <c r="G7986" s="20"/>
    </row>
    <row r="7987" spans="1:8">
      <c r="A7987" s="211" t="s">
        <v>501</v>
      </c>
      <c r="B7987" s="216" t="str">
        <f ca="1">_xlfn.CONCAT(B7968,A7987)</f>
        <v>AAE5F07-R</v>
      </c>
      <c r="C7987" s="17"/>
      <c r="D7987" s="184"/>
      <c r="E7987" s="197"/>
      <c r="F7987" s="19"/>
      <c r="G7987" s="20"/>
    </row>
    <row r="7988" spans="1:8">
      <c r="A7988" s="211" t="s">
        <v>502</v>
      </c>
      <c r="B7988" s="216" t="str">
        <f ca="1">_xlfn.CONCAT(B7968,A7988)</f>
        <v>AAE5F07-S</v>
      </c>
      <c r="C7988" s="17"/>
      <c r="D7988" s="184"/>
      <c r="E7988" s="197"/>
      <c r="F7988" s="19"/>
      <c r="G7988" s="20"/>
    </row>
    <row r="7989" spans="1:8">
      <c r="A7989" s="211" t="s">
        <v>503</v>
      </c>
      <c r="B7989" s="216" t="str">
        <f ca="1">_xlfn.CONCAT(B7968,A7989)</f>
        <v>AAE5F07-T</v>
      </c>
      <c r="C7989" s="17"/>
      <c r="D7989" s="184"/>
      <c r="E7989" s="197"/>
      <c r="F7989" s="19"/>
      <c r="G7989" s="20"/>
    </row>
    <row r="7990" spans="1:8" ht="14.25" thickBot="1">
      <c r="A7990" s="211" t="s">
        <v>504</v>
      </c>
      <c r="B7990" s="216" t="str">
        <f ca="1">_xlfn.CONCAT(B7968,A7990)</f>
        <v>AAE5F07-U</v>
      </c>
      <c r="C7990" s="17"/>
      <c r="D7990" s="184"/>
      <c r="E7990" s="197"/>
      <c r="F7990" s="19"/>
      <c r="G7990" s="20"/>
    </row>
    <row r="7991" spans="1:8" ht="14.25" thickBot="1">
      <c r="A7991" s="211" t="s">
        <v>505</v>
      </c>
      <c r="B7991" s="216" t="str">
        <f ca="1">_xlfn.CONCAT(B7968,A7991)</f>
        <v>AAE5F07-V</v>
      </c>
      <c r="C7991" s="17" t="s">
        <v>17</v>
      </c>
      <c r="D7991" s="192" t="s">
        <v>17</v>
      </c>
      <c r="E7991" s="18"/>
      <c r="F7991" s="22" t="s">
        <v>18</v>
      </c>
      <c r="G7991" s="23">
        <f>SUM(G7970:G7990)</f>
        <v>91002.7</v>
      </c>
    </row>
    <row r="7992" spans="1:8" ht="15.75" thickBot="1">
      <c r="A7992" s="211" t="s">
        <v>506</v>
      </c>
      <c r="B7992" s="216" t="str">
        <f ca="1">_xlfn.CONCAT(B7968,A7992)</f>
        <v>AAE5F07-W</v>
      </c>
      <c r="C7992" s="10" t="s">
        <v>19</v>
      </c>
      <c r="D7992" s="190"/>
      <c r="E7992" s="11"/>
      <c r="F7992" s="12"/>
      <c r="G7992" s="13"/>
    </row>
    <row r="7993" spans="1:8" ht="14.25" thickBot="1">
      <c r="A7993" s="211" t="s">
        <v>507</v>
      </c>
      <c r="B7993" s="216" t="str">
        <f ca="1">_xlfn.CONCAT(B7968,A7993)</f>
        <v>AAE5F07-X</v>
      </c>
      <c r="C7993" s="14" t="s">
        <v>1</v>
      </c>
      <c r="D7993" s="15"/>
      <c r="E7993" s="15" t="s">
        <v>20</v>
      </c>
      <c r="F7993" s="16" t="s">
        <v>21</v>
      </c>
      <c r="G7993" s="15" t="s">
        <v>5</v>
      </c>
    </row>
    <row r="7994" spans="1:8">
      <c r="A7994" s="211" t="s">
        <v>508</v>
      </c>
      <c r="B7994" s="216" t="str">
        <f ca="1">_xlfn.CONCAT(B7968,A7994)</f>
        <v>AAE5F07-Y</v>
      </c>
      <c r="C7994" s="24" t="s">
        <v>22</v>
      </c>
      <c r="D7994" s="184"/>
      <c r="E7994" s="25">
        <f>_xlfn.XLOOKUP(C7994,'H-MO'!B$7:B$30,'H-MO'!D$7:D$30,,0,1)</f>
        <v>2436.5624999999995</v>
      </c>
      <c r="F7994" s="19">
        <v>0.5</v>
      </c>
      <c r="G7994" s="33">
        <f t="shared" ref="G7994:G7999" si="229">+E7994*F7994</f>
        <v>1218.2812499999998</v>
      </c>
      <c r="H7994" s="234"/>
    </row>
    <row r="7995" spans="1:8">
      <c r="A7995" s="211" t="s">
        <v>509</v>
      </c>
      <c r="B7995" s="216" t="str">
        <f ca="1">_xlfn.CONCAT(B7968,A7995)</f>
        <v>AAE5F07-Z</v>
      </c>
      <c r="C7995" s="24" t="s">
        <v>23</v>
      </c>
      <c r="D7995" s="184"/>
      <c r="E7995" s="25">
        <f>_xlfn.XLOOKUP(C7995,'H-MO'!B$7:B$30,'H-MO'!D$7:D$30,,0,1)</f>
        <v>1461.9374999999998</v>
      </c>
      <c r="F7995" s="19">
        <v>0.04</v>
      </c>
      <c r="G7995" s="33">
        <f t="shared" si="229"/>
        <v>58.477499999999992</v>
      </c>
      <c r="H7995" s="234"/>
    </row>
    <row r="7996" spans="1:8">
      <c r="A7996" s="211" t="s">
        <v>510</v>
      </c>
      <c r="B7996" s="216" t="str">
        <f ca="1">_xlfn.CONCAT(B7968,A7996)</f>
        <v>AAE5F07-aa</v>
      </c>
      <c r="C7996" s="24" t="s">
        <v>24</v>
      </c>
      <c r="D7996" s="185"/>
      <c r="E7996" s="25">
        <f>_xlfn.XLOOKUP(C7996,'H-MO'!B$7:B$30,'H-MO'!D$7:D$30,,0,1)</f>
        <v>29238.749999999996</v>
      </c>
      <c r="F7996" s="28">
        <v>0.1</v>
      </c>
      <c r="G7996" s="33">
        <f t="shared" si="229"/>
        <v>2923.875</v>
      </c>
      <c r="H7996" s="234"/>
    </row>
    <row r="7997" spans="1:8">
      <c r="A7997" s="211" t="s">
        <v>511</v>
      </c>
      <c r="B7997" s="216" t="str">
        <f ca="1">_xlfn.CONCAT(B7968,A7997)</f>
        <v>AAE5F07-ab</v>
      </c>
      <c r="C7997" s="24" t="s">
        <v>25</v>
      </c>
      <c r="D7997" s="185"/>
      <c r="E7997" s="25">
        <f>_xlfn.XLOOKUP(C7997,'H-MO'!B$7:B$30,'H-MO'!D$7:D$30,,0,1)</f>
        <v>2761.4374999999995</v>
      </c>
      <c r="F7997" s="28">
        <v>0.5</v>
      </c>
      <c r="G7997" s="33">
        <f t="shared" si="229"/>
        <v>1380.7187499999998</v>
      </c>
      <c r="H7997" s="234"/>
    </row>
    <row r="7998" spans="1:8">
      <c r="A7998" s="211" t="s">
        <v>512</v>
      </c>
      <c r="B7998" s="216" t="str">
        <f ca="1">_xlfn.CONCAT(B7968,A7998)</f>
        <v>AAE5F07-ac</v>
      </c>
      <c r="C7998" s="24"/>
      <c r="D7998" s="185"/>
      <c r="E7998" s="29"/>
      <c r="F7998" s="28"/>
      <c r="G7998" s="33">
        <f t="shared" si="229"/>
        <v>0</v>
      </c>
      <c r="H7998" s="234"/>
    </row>
    <row r="7999" spans="1:8" ht="14.25" thickBot="1">
      <c r="A7999" s="211" t="s">
        <v>513</v>
      </c>
      <c r="B7999" s="216" t="str">
        <f ca="1">_xlfn.CONCAT(B7968,A7999)</f>
        <v>AAE5F07-ad</v>
      </c>
      <c r="C7999" s="24"/>
      <c r="D7999" s="185"/>
      <c r="E7999" s="29"/>
      <c r="F7999" s="28"/>
      <c r="G7999" s="33">
        <f t="shared" si="229"/>
        <v>0</v>
      </c>
      <c r="H7999" s="234"/>
    </row>
    <row r="8000" spans="1:8" ht="14.25" thickBot="1">
      <c r="A8000" s="211" t="s">
        <v>514</v>
      </c>
      <c r="B8000" s="216" t="str">
        <f ca="1">_xlfn.CONCAT(B7968,A8000)</f>
        <v>AAE5F07-ae</v>
      </c>
      <c r="C8000" s="17"/>
      <c r="D8000" s="192"/>
      <c r="E8000" s="18"/>
      <c r="F8000" s="22" t="s">
        <v>26</v>
      </c>
      <c r="G8000" s="23">
        <f>SUM(G7994:G7999)</f>
        <v>5581.3525</v>
      </c>
      <c r="H8000" s="234"/>
    </row>
    <row r="8001" spans="1:9" ht="15.75" thickBot="1">
      <c r="A8001" s="211" t="s">
        <v>515</v>
      </c>
      <c r="B8001" s="216" t="str">
        <f ca="1">_xlfn.CONCAT(B7968,A8001)</f>
        <v>AAE5F07-af</v>
      </c>
      <c r="C8001" s="10" t="s">
        <v>27</v>
      </c>
      <c r="D8001" s="190"/>
      <c r="E8001" s="11"/>
      <c r="F8001" s="12"/>
      <c r="G8001" s="13"/>
      <c r="H8001" s="234"/>
    </row>
    <row r="8002" spans="1:9" ht="14.25" thickBot="1">
      <c r="A8002" s="211" t="s">
        <v>516</v>
      </c>
      <c r="B8002" s="216" t="str">
        <f ca="1">_xlfn.CONCAT(B7968,A8002)</f>
        <v>AAE5F07-ag</v>
      </c>
      <c r="C8002" s="14" t="s">
        <v>1</v>
      </c>
      <c r="D8002" s="15" t="s">
        <v>28</v>
      </c>
      <c r="E8002" s="15" t="s">
        <v>20</v>
      </c>
      <c r="F8002" s="16" t="s">
        <v>21</v>
      </c>
      <c r="G8002" s="15" t="s">
        <v>5</v>
      </c>
      <c r="H8002" s="234"/>
    </row>
    <row r="8003" spans="1:9">
      <c r="A8003" s="211" t="s">
        <v>517</v>
      </c>
      <c r="B8003" s="216" t="str">
        <f ca="1">_xlfn.CONCAT(B7968,A8003)</f>
        <v>AAE5F07-ah</v>
      </c>
      <c r="C8003" s="30" t="s">
        <v>29</v>
      </c>
      <c r="D8003" s="186">
        <f>'H-MO'!$N$77</f>
        <v>725918.52892505517</v>
      </c>
      <c r="E8003" s="31">
        <f>+D8003/8</f>
        <v>90739.816115631897</v>
      </c>
      <c r="F8003" s="32">
        <v>0.7</v>
      </c>
      <c r="G8003" s="33">
        <f>+E8003*F8003</f>
        <v>63517.871280942323</v>
      </c>
      <c r="H8003" s="234"/>
      <c r="I8003" s="235"/>
    </row>
    <row r="8004" spans="1:9">
      <c r="A8004" s="211" t="s">
        <v>518</v>
      </c>
      <c r="B8004" s="216" t="str">
        <f ca="1">_xlfn.CONCAT(B7968,A8004)</f>
        <v>AAE5F07-ai</v>
      </c>
      <c r="C8004" s="34" t="s">
        <v>30</v>
      </c>
      <c r="D8004" s="187">
        <f>'H-MO'!$N$86</f>
        <v>685561.39085756091</v>
      </c>
      <c r="E8004" s="29">
        <f>+D8004/8</f>
        <v>85695.173857195114</v>
      </c>
      <c r="F8004" s="28">
        <v>0</v>
      </c>
      <c r="G8004" s="33">
        <f>+E8004*F8004</f>
        <v>0</v>
      </c>
      <c r="H8004" s="234"/>
    </row>
    <row r="8005" spans="1:9" ht="14.25" thickBot="1">
      <c r="A8005" s="211" t="s">
        <v>519</v>
      </c>
      <c r="B8005" s="216" t="str">
        <f ca="1">_xlfn.CONCAT(B7968,A8005)</f>
        <v>AAE5F07-aj</v>
      </c>
      <c r="C8005" s="34"/>
      <c r="D8005" s="187"/>
      <c r="E8005" s="29"/>
      <c r="F8005" s="28"/>
      <c r="G8005" s="33">
        <f>+E8005*F8005</f>
        <v>0</v>
      </c>
    </row>
    <row r="8006" spans="1:9" ht="14.25" thickBot="1">
      <c r="A8006" s="211" t="s">
        <v>520</v>
      </c>
      <c r="B8006" s="216" t="str">
        <f ca="1">_xlfn.CONCAT(B7968,A8006)</f>
        <v>AAE5F07-ak</v>
      </c>
      <c r="C8006" s="34"/>
      <c r="D8006" s="185"/>
      <c r="E8006" s="26"/>
      <c r="F8006" s="36" t="s">
        <v>31</v>
      </c>
      <c r="G8006" s="23">
        <f>SUM(G8003:G8005)</f>
        <v>63517.871280942323</v>
      </c>
    </row>
    <row r="8007" spans="1:9" ht="14.25" thickBot="1">
      <c r="A8007" s="211" t="s">
        <v>521</v>
      </c>
      <c r="B8007" s="216" t="str">
        <f ca="1">_xlfn.CONCAT(B7968,A8007)</f>
        <v>AAE5F07-al</v>
      </c>
      <c r="C8007" s="37"/>
      <c r="E8007" s="38"/>
      <c r="F8007" s="22"/>
      <c r="G8007" s="39"/>
    </row>
    <row r="8008" spans="1:9" ht="16.5" thickBot="1">
      <c r="A8008" s="211" t="s">
        <v>522</v>
      </c>
      <c r="B8008" s="216" t="str">
        <f ca="1">_xlfn.CONCAT(B7968,A8008)</f>
        <v>AAE5F07-am</v>
      </c>
      <c r="C8008" s="40"/>
      <c r="D8008" s="193"/>
      <c r="E8008" s="41"/>
      <c r="F8008" s="42"/>
      <c r="G8008" s="43">
        <f>+G7991+G8000+G8006</f>
        <v>160101.92378094231</v>
      </c>
    </row>
    <row r="8009" spans="1:9" ht="21.75" thickBot="1">
      <c r="B8009" s="212" t="s">
        <v>550</v>
      </c>
      <c r="C8009" s="2"/>
      <c r="D8009" s="183"/>
      <c r="F8009" s="4"/>
      <c r="G8009" s="5"/>
    </row>
    <row r="8010" spans="1:9" ht="18.75">
      <c r="A8010" s="213"/>
      <c r="B8010" s="214">
        <v>182</v>
      </c>
      <c r="C8010" s="242" t="str">
        <f ca="1">_xlfn.XLOOKUP(B8010,Cantidades!$A$10:$A$314,Cantidades!$C$10:$C$314,,0,1)</f>
        <v>Suministro e instalacion de acometida en aluminio 3x1/0 +1x1/0 +1x4T</v>
      </c>
      <c r="D8010" s="243"/>
      <c r="E8010" s="243"/>
      <c r="F8010" s="243"/>
      <c r="G8010" s="244"/>
    </row>
    <row r="8011" spans="1:9" ht="19.5" thickBot="1">
      <c r="A8011" s="215"/>
      <c r="B8011" s="216" t="s">
        <v>550</v>
      </c>
      <c r="C8011" s="177"/>
      <c r="D8011" s="189"/>
      <c r="E8011" s="178"/>
      <c r="F8011" s="179" t="s">
        <v>636</v>
      </c>
      <c r="G8011" s="209" t="str">
        <f ca="1">B8012</f>
        <v>28BD4DA3-</v>
      </c>
    </row>
    <row r="8012" spans="1:9" ht="15.75" thickBot="1">
      <c r="B8012" s="212" t="str">
        <f ca="1">_xlfn.XLOOKUP(C8010,Cantidades!$C$1:$C$314,Cantidades!$B$1:$B$314,"",0,1)</f>
        <v>28BD4DA3-</v>
      </c>
      <c r="C8012" s="10" t="s">
        <v>0</v>
      </c>
      <c r="D8012" s="190"/>
      <c r="E8012" s="11"/>
      <c r="F8012" s="12"/>
      <c r="G8012" s="13"/>
    </row>
    <row r="8013" spans="1:9" ht="14.25" thickBot="1">
      <c r="A8013" s="215"/>
      <c r="B8013" s="216" t="s">
        <v>550</v>
      </c>
      <c r="C8013" s="14" t="s">
        <v>1</v>
      </c>
      <c r="D8013" s="15" t="s">
        <v>2</v>
      </c>
      <c r="E8013" s="15" t="s">
        <v>3</v>
      </c>
      <c r="F8013" s="16" t="s">
        <v>4</v>
      </c>
      <c r="G8013" s="15" t="s">
        <v>5</v>
      </c>
    </row>
    <row r="8014" spans="1:9">
      <c r="A8014" s="211" t="s">
        <v>484</v>
      </c>
      <c r="B8014" s="216" t="str">
        <f ca="1">_xlfn.CONCAT(B8012,A8014)</f>
        <v>28BD4DA3-A</v>
      </c>
      <c r="C8014" s="17" t="str">
        <f>_xlfn.XLOOKUP(H8014,'Materiales unitario'!$A$1:$A$2500,'Materiales unitario'!B$1:B$2500,,0,1)</f>
        <v>Cable de Aluminio aislado #1/0 AWG - THHN/THWN</v>
      </c>
      <c r="D8014" s="184" t="str">
        <f>_xlfn.XLOOKUP(H8014,'Materiales unitario'!A$1:A$2500,'Materiales unitario'!C$1:C$2500,,0,1)</f>
        <v>ml</v>
      </c>
      <c r="E8014" s="197">
        <f>_xlfn.XLOOKUP(H8014,'Materiales unitario'!$A$1:$A$2500,'Materiales unitario'!D$1:D$2500,,0,1)</f>
        <v>9758</v>
      </c>
      <c r="F8014" s="19">
        <v>4.2</v>
      </c>
      <c r="G8014" s="20">
        <f>+E8014*F8014</f>
        <v>40983.599999999999</v>
      </c>
      <c r="H8014" s="211" t="s">
        <v>257</v>
      </c>
    </row>
    <row r="8015" spans="1:9">
      <c r="A8015" s="211" t="s">
        <v>485</v>
      </c>
      <c r="B8015" s="216" t="str">
        <f ca="1">_xlfn.CONCAT(B8012,A8015)</f>
        <v>28BD4DA3-B</v>
      </c>
      <c r="C8015" s="17" t="str">
        <f>_xlfn.XLOOKUP(H8015,'Materiales unitario'!$A$1:$A$2500,'Materiales unitario'!B$1:B$2500,,0,1)</f>
        <v>Cable de Aluminio aislado #4 AWG - THHN/THWN</v>
      </c>
      <c r="D8015" s="184" t="str">
        <f>_xlfn.XLOOKUP(H8015,'Materiales unitario'!A$1:A$2500,'Materiales unitario'!C$1:C$2500,,0,1)</f>
        <v>ml</v>
      </c>
      <c r="E8015" s="197">
        <f>_xlfn.XLOOKUP(H8015,'Materiales unitario'!$A$1:$A$2500,'Materiales unitario'!D$1:D$2500,,0,1)</f>
        <v>3870</v>
      </c>
      <c r="F8015" s="19">
        <v>1.05</v>
      </c>
      <c r="G8015" s="20">
        <f>+E8015*F8015</f>
        <v>4063.5</v>
      </c>
      <c r="H8015" s="211" t="s">
        <v>260</v>
      </c>
    </row>
    <row r="8016" spans="1:9">
      <c r="A8016" s="211" t="s">
        <v>486</v>
      </c>
      <c r="B8016" s="216" t="str">
        <f ca="1">_xlfn.CONCAT(B8012,A8016)</f>
        <v>28BD4DA3-C</v>
      </c>
      <c r="C8016" s="17" t="str">
        <f>_xlfn.XLOOKUP(H8016,'Materiales unitario'!$A$1:$A$2500,'Materiales unitario'!B$1:B$2500,,0,1)</f>
        <v>Borna bimetálica de ojo tipo pala #1/0 AWG</v>
      </c>
      <c r="D8016" s="184" t="str">
        <f>_xlfn.XLOOKUP(H8016,'Materiales unitario'!A$1:A$2500,'Materiales unitario'!C$1:C$2500,,0,1)</f>
        <v>un</v>
      </c>
      <c r="E8016" s="197">
        <f>_xlfn.XLOOKUP(H8016,'Materiales unitario'!$A$1:$A$2500,'Materiales unitario'!D$1:D$2500,,0,1)</f>
        <v>8925</v>
      </c>
      <c r="F8016" s="19">
        <v>0.6</v>
      </c>
      <c r="G8016" s="20">
        <f>+E8016*F8016</f>
        <v>5355</v>
      </c>
      <c r="H8016" s="211" t="s">
        <v>242</v>
      </c>
    </row>
    <row r="8017" spans="1:8">
      <c r="A8017" s="211" t="s">
        <v>487</v>
      </c>
      <c r="B8017" s="216" t="str">
        <f ca="1">_xlfn.CONCAT(B8012,A8017)</f>
        <v>28BD4DA3-D</v>
      </c>
      <c r="C8017" s="17" t="str">
        <f>_xlfn.XLOOKUP(H8017,'Materiales unitario'!$A$1:$A$2500,'Materiales unitario'!B$1:B$2500,,0,1)</f>
        <v>Borna bimetálica de ojo tipo pala #4 AWG</v>
      </c>
      <c r="D8017" s="184" t="str">
        <f>_xlfn.XLOOKUP(H8017,'Materiales unitario'!A$1:A$2500,'Materiales unitario'!C$1:C$2500,,0,1)</f>
        <v>un</v>
      </c>
      <c r="E8017" s="197">
        <f>_xlfn.XLOOKUP(H8017,'Materiales unitario'!$A$1:$A$2500,'Materiales unitario'!D$1:D$2500,,0,1)</f>
        <v>3460</v>
      </c>
      <c r="F8017" s="19">
        <v>0.1</v>
      </c>
      <c r="G8017" s="20">
        <f>+E8017*F8017</f>
        <v>346</v>
      </c>
      <c r="H8017" s="211" t="s">
        <v>245</v>
      </c>
    </row>
    <row r="8018" spans="1:8">
      <c r="A8018" s="211" t="s">
        <v>488</v>
      </c>
      <c r="B8018" s="216" t="str">
        <f ca="1">_xlfn.CONCAT(B8012,A8018)</f>
        <v>28BD4DA3-E</v>
      </c>
      <c r="C8018" s="17" t="str">
        <f>_xlfn.XLOOKUP(H8018,'Materiales unitario'!$A$1:$A$2500,'Materiales unitario'!B$1:B$2500,,0,1)</f>
        <v>Termoencogible</v>
      </c>
      <c r="D8018" s="184" t="str">
        <f>_xlfn.XLOOKUP(H8018,'Materiales unitario'!A$1:A$2500,'Materiales unitario'!C$1:C$2500,,0,1)</f>
        <v>un</v>
      </c>
      <c r="E8018" s="197">
        <f>_xlfn.XLOOKUP(H8018,'Materiales unitario'!$A$1:$A$2500,'Materiales unitario'!D$1:D$2500,,0,1)</f>
        <v>5000</v>
      </c>
      <c r="F8018" s="19">
        <v>0.1</v>
      </c>
      <c r="G8018" s="20">
        <f>+E8018*F8018</f>
        <v>500</v>
      </c>
      <c r="H8018" s="211" t="s">
        <v>373</v>
      </c>
    </row>
    <row r="8019" spans="1:8">
      <c r="A8019" s="211" t="s">
        <v>489</v>
      </c>
      <c r="B8019" s="216" t="str">
        <f ca="1">_xlfn.CONCAT(B8012,A8019)</f>
        <v>28BD4DA3-F</v>
      </c>
      <c r="C8019" s="17"/>
      <c r="D8019" s="184"/>
      <c r="E8019" s="197"/>
      <c r="F8019" s="19"/>
      <c r="G8019" s="20"/>
    </row>
    <row r="8020" spans="1:8">
      <c r="A8020" s="211" t="s">
        <v>490</v>
      </c>
      <c r="B8020" s="216" t="str">
        <f ca="1">_xlfn.CONCAT(B8012,A8020)</f>
        <v>28BD4DA3-G</v>
      </c>
      <c r="C8020" s="17"/>
      <c r="D8020" s="184"/>
      <c r="E8020" s="197"/>
      <c r="F8020" s="19"/>
      <c r="G8020" s="20"/>
    </row>
    <row r="8021" spans="1:8">
      <c r="A8021" s="211" t="s">
        <v>491</v>
      </c>
      <c r="B8021" s="216" t="str">
        <f ca="1">_xlfn.CONCAT(B8012,A8021)</f>
        <v>28BD4DA3-H</v>
      </c>
      <c r="C8021" s="17"/>
      <c r="D8021" s="184"/>
      <c r="E8021" s="197"/>
      <c r="F8021" s="19"/>
      <c r="G8021" s="20"/>
    </row>
    <row r="8022" spans="1:8">
      <c r="A8022" s="211" t="s">
        <v>492</v>
      </c>
      <c r="B8022" s="216" t="str">
        <f ca="1">_xlfn.CONCAT(B8012,A8022)</f>
        <v>28BD4DA3-I</v>
      </c>
      <c r="C8022" s="17"/>
      <c r="D8022" s="184"/>
      <c r="E8022" s="197"/>
      <c r="F8022" s="19"/>
      <c r="G8022" s="20"/>
    </row>
    <row r="8023" spans="1:8">
      <c r="A8023" s="211" t="s">
        <v>493</v>
      </c>
      <c r="B8023" s="216" t="str">
        <f ca="1">_xlfn.CONCAT(B8012,A8023)</f>
        <v>28BD4DA3-J</v>
      </c>
      <c r="C8023" s="17"/>
      <c r="D8023" s="184"/>
      <c r="E8023" s="197"/>
      <c r="F8023" s="19"/>
      <c r="G8023" s="20"/>
    </row>
    <row r="8024" spans="1:8">
      <c r="A8024" s="211" t="s">
        <v>494</v>
      </c>
      <c r="B8024" s="216" t="str">
        <f ca="1">_xlfn.CONCAT(B8012,A8024)</f>
        <v>28BD4DA3-K</v>
      </c>
      <c r="C8024" s="17"/>
      <c r="D8024" s="184"/>
      <c r="E8024" s="197"/>
      <c r="F8024" s="19"/>
      <c r="G8024" s="20"/>
    </row>
    <row r="8025" spans="1:8">
      <c r="A8025" s="211" t="s">
        <v>495</v>
      </c>
      <c r="B8025" s="216" t="str">
        <f ca="1">_xlfn.CONCAT(B8012,A8025)</f>
        <v>28BD4DA3-L</v>
      </c>
      <c r="C8025" s="17"/>
      <c r="D8025" s="184"/>
      <c r="E8025" s="197"/>
      <c r="F8025" s="19"/>
      <c r="G8025" s="20"/>
    </row>
    <row r="8026" spans="1:8">
      <c r="A8026" s="211" t="s">
        <v>496</v>
      </c>
      <c r="B8026" s="216" t="str">
        <f ca="1">_xlfn.CONCAT(B8012,A8026)</f>
        <v>28BD4DA3-M</v>
      </c>
      <c r="C8026" s="17"/>
      <c r="D8026" s="184"/>
      <c r="E8026" s="197"/>
      <c r="F8026" s="19"/>
      <c r="G8026" s="20"/>
    </row>
    <row r="8027" spans="1:8">
      <c r="A8027" s="211" t="s">
        <v>497</v>
      </c>
      <c r="B8027" s="216" t="str">
        <f ca="1">_xlfn.CONCAT(B8012,A8027)</f>
        <v>28BD4DA3-N</v>
      </c>
      <c r="C8027" s="17"/>
      <c r="D8027" s="184"/>
      <c r="E8027" s="197"/>
      <c r="F8027" s="19"/>
      <c r="G8027" s="20"/>
    </row>
    <row r="8028" spans="1:8">
      <c r="A8028" s="211" t="s">
        <v>498</v>
      </c>
      <c r="B8028" s="216" t="str">
        <f ca="1">_xlfn.CONCAT(B8012,A8028)</f>
        <v>28BD4DA3-O</v>
      </c>
      <c r="C8028" s="17"/>
      <c r="D8028" s="184"/>
      <c r="E8028" s="197"/>
      <c r="F8028" s="19"/>
      <c r="G8028" s="20"/>
    </row>
    <row r="8029" spans="1:8">
      <c r="A8029" s="211" t="s">
        <v>499</v>
      </c>
      <c r="B8029" s="216" t="str">
        <f ca="1">_xlfn.CONCAT(B8012,A8029)</f>
        <v>28BD4DA3-P</v>
      </c>
      <c r="C8029" s="17"/>
      <c r="D8029" s="184"/>
      <c r="E8029" s="197"/>
      <c r="F8029" s="19"/>
      <c r="G8029" s="20"/>
    </row>
    <row r="8030" spans="1:8">
      <c r="A8030" s="211" t="s">
        <v>500</v>
      </c>
      <c r="B8030" s="216" t="str">
        <f ca="1">_xlfn.CONCAT(B8012,A8030)</f>
        <v>28BD4DA3-Q</v>
      </c>
      <c r="C8030" s="17"/>
      <c r="D8030" s="184"/>
      <c r="E8030" s="197"/>
      <c r="F8030" s="19"/>
      <c r="G8030" s="20"/>
    </row>
    <row r="8031" spans="1:8">
      <c r="A8031" s="211" t="s">
        <v>501</v>
      </c>
      <c r="B8031" s="216" t="str">
        <f ca="1">_xlfn.CONCAT(B8012,A8031)</f>
        <v>28BD4DA3-R</v>
      </c>
      <c r="C8031" s="17"/>
      <c r="D8031" s="184"/>
      <c r="E8031" s="197"/>
      <c r="F8031" s="19"/>
      <c r="G8031" s="20"/>
    </row>
    <row r="8032" spans="1:8">
      <c r="A8032" s="211" t="s">
        <v>502</v>
      </c>
      <c r="B8032" s="216" t="str">
        <f ca="1">_xlfn.CONCAT(B8012,A8032)</f>
        <v>28BD4DA3-S</v>
      </c>
      <c r="C8032" s="17"/>
      <c r="D8032" s="184"/>
      <c r="E8032" s="197"/>
      <c r="F8032" s="19"/>
      <c r="G8032" s="20"/>
    </row>
    <row r="8033" spans="1:8">
      <c r="A8033" s="211" t="s">
        <v>503</v>
      </c>
      <c r="B8033" s="216" t="str">
        <f ca="1">_xlfn.CONCAT(B8012,A8033)</f>
        <v>28BD4DA3-T</v>
      </c>
      <c r="C8033" s="17"/>
      <c r="D8033" s="184"/>
      <c r="E8033" s="197"/>
      <c r="F8033" s="19"/>
      <c r="G8033" s="20"/>
    </row>
    <row r="8034" spans="1:8" ht="14.25" thickBot="1">
      <c r="A8034" s="211" t="s">
        <v>504</v>
      </c>
      <c r="B8034" s="216" t="str">
        <f ca="1">_xlfn.CONCAT(B8012,A8034)</f>
        <v>28BD4DA3-U</v>
      </c>
      <c r="C8034" s="17"/>
      <c r="D8034" s="184"/>
      <c r="E8034" s="197"/>
      <c r="F8034" s="19"/>
      <c r="G8034" s="20"/>
    </row>
    <row r="8035" spans="1:8" ht="14.25" thickBot="1">
      <c r="A8035" s="211" t="s">
        <v>505</v>
      </c>
      <c r="B8035" s="216" t="str">
        <f ca="1">_xlfn.CONCAT(B8012,A8035)</f>
        <v>28BD4DA3-V</v>
      </c>
      <c r="C8035" s="17" t="s">
        <v>17</v>
      </c>
      <c r="D8035" s="192" t="s">
        <v>17</v>
      </c>
      <c r="E8035" s="18"/>
      <c r="F8035" s="22" t="s">
        <v>18</v>
      </c>
      <c r="G8035" s="23">
        <f>SUM(G8014:G8034)</f>
        <v>51248.1</v>
      </c>
    </row>
    <row r="8036" spans="1:8" ht="15.75" thickBot="1">
      <c r="A8036" s="211" t="s">
        <v>506</v>
      </c>
      <c r="B8036" s="216" t="str">
        <f ca="1">_xlfn.CONCAT(B8012,A8036)</f>
        <v>28BD4DA3-W</v>
      </c>
      <c r="C8036" s="10" t="s">
        <v>19</v>
      </c>
      <c r="D8036" s="190"/>
      <c r="E8036" s="11"/>
      <c r="F8036" s="12"/>
      <c r="G8036" s="13"/>
    </row>
    <row r="8037" spans="1:8" ht="14.25" thickBot="1">
      <c r="A8037" s="211" t="s">
        <v>507</v>
      </c>
      <c r="B8037" s="216" t="str">
        <f ca="1">_xlfn.CONCAT(B8012,A8037)</f>
        <v>28BD4DA3-X</v>
      </c>
      <c r="C8037" s="14" t="s">
        <v>1</v>
      </c>
      <c r="D8037" s="15"/>
      <c r="E8037" s="15" t="s">
        <v>20</v>
      </c>
      <c r="F8037" s="16" t="s">
        <v>21</v>
      </c>
      <c r="G8037" s="15" t="s">
        <v>5</v>
      </c>
    </row>
    <row r="8038" spans="1:8">
      <c r="A8038" s="211" t="s">
        <v>508</v>
      </c>
      <c r="B8038" s="216" t="str">
        <f ca="1">_xlfn.CONCAT(B8012,A8038)</f>
        <v>28BD4DA3-Y</v>
      </c>
      <c r="C8038" s="24" t="s">
        <v>22</v>
      </c>
      <c r="D8038" s="184"/>
      <c r="E8038" s="25">
        <f>_xlfn.XLOOKUP(C8038,'H-MO'!B$7:B$30,'H-MO'!D$7:D$30,,0,1)</f>
        <v>2436.5624999999995</v>
      </c>
      <c r="F8038" s="19">
        <v>0.5</v>
      </c>
      <c r="G8038" s="33">
        <f t="shared" ref="G8038:G8043" si="230">+E8038*F8038</f>
        <v>1218.2812499999998</v>
      </c>
      <c r="H8038" s="234"/>
    </row>
    <row r="8039" spans="1:8">
      <c r="A8039" s="211" t="s">
        <v>509</v>
      </c>
      <c r="B8039" s="216" t="str">
        <f ca="1">_xlfn.CONCAT(B8012,A8039)</f>
        <v>28BD4DA3-Z</v>
      </c>
      <c r="C8039" s="24" t="s">
        <v>23</v>
      </c>
      <c r="D8039" s="184"/>
      <c r="E8039" s="25">
        <f>_xlfn.XLOOKUP(C8039,'H-MO'!B$7:B$30,'H-MO'!D$7:D$30,,0,1)</f>
        <v>1461.9374999999998</v>
      </c>
      <c r="F8039" s="19">
        <v>0.05</v>
      </c>
      <c r="G8039" s="33">
        <f t="shared" si="230"/>
        <v>73.096874999999997</v>
      </c>
      <c r="H8039" s="234"/>
    </row>
    <row r="8040" spans="1:8">
      <c r="A8040" s="211" t="s">
        <v>510</v>
      </c>
      <c r="B8040" s="216" t="str">
        <f ca="1">_xlfn.CONCAT(B8012,A8040)</f>
        <v>28BD4DA3-aa</v>
      </c>
      <c r="C8040" s="24" t="s">
        <v>24</v>
      </c>
      <c r="D8040" s="185"/>
      <c r="E8040" s="25">
        <f>_xlfn.XLOOKUP(C8040,'H-MO'!B$7:B$30,'H-MO'!D$7:D$30,,0,1)</f>
        <v>29238.749999999996</v>
      </c>
      <c r="F8040" s="28">
        <v>7.0000000000000007E-2</v>
      </c>
      <c r="G8040" s="33">
        <f t="shared" si="230"/>
        <v>2046.7124999999999</v>
      </c>
      <c r="H8040" s="234"/>
    </row>
    <row r="8041" spans="1:8">
      <c r="A8041" s="211" t="s">
        <v>511</v>
      </c>
      <c r="B8041" s="216" t="str">
        <f ca="1">_xlfn.CONCAT(B8012,A8041)</f>
        <v>28BD4DA3-ab</v>
      </c>
      <c r="C8041" s="24" t="s">
        <v>25</v>
      </c>
      <c r="D8041" s="185"/>
      <c r="E8041" s="25">
        <f>_xlfn.XLOOKUP(C8041,'H-MO'!B$7:B$30,'H-MO'!D$7:D$30,,0,1)</f>
        <v>2761.4374999999995</v>
      </c>
      <c r="F8041" s="28">
        <v>0.4</v>
      </c>
      <c r="G8041" s="33">
        <f t="shared" si="230"/>
        <v>1104.5749999999998</v>
      </c>
      <c r="H8041" s="234"/>
    </row>
    <row r="8042" spans="1:8">
      <c r="A8042" s="211" t="s">
        <v>512</v>
      </c>
      <c r="B8042" s="216" t="str">
        <f ca="1">_xlfn.CONCAT(B8012,A8042)</f>
        <v>28BD4DA3-ac</v>
      </c>
      <c r="C8042" s="24"/>
      <c r="D8042" s="185"/>
      <c r="E8042" s="29"/>
      <c r="F8042" s="28"/>
      <c r="G8042" s="33">
        <f t="shared" si="230"/>
        <v>0</v>
      </c>
      <c r="H8042" s="234"/>
    </row>
    <row r="8043" spans="1:8" ht="14.25" thickBot="1">
      <c r="A8043" s="211" t="s">
        <v>513</v>
      </c>
      <c r="B8043" s="216" t="str">
        <f ca="1">_xlfn.CONCAT(B8012,A8043)</f>
        <v>28BD4DA3-ad</v>
      </c>
      <c r="C8043" s="24"/>
      <c r="D8043" s="185"/>
      <c r="E8043" s="29"/>
      <c r="F8043" s="28"/>
      <c r="G8043" s="33">
        <f t="shared" si="230"/>
        <v>0</v>
      </c>
      <c r="H8043" s="234"/>
    </row>
    <row r="8044" spans="1:8" ht="14.25" thickBot="1">
      <c r="A8044" s="211" t="s">
        <v>514</v>
      </c>
      <c r="B8044" s="216" t="str">
        <f ca="1">_xlfn.CONCAT(B8012,A8044)</f>
        <v>28BD4DA3-ae</v>
      </c>
      <c r="C8044" s="17"/>
      <c r="D8044" s="192"/>
      <c r="E8044" s="18"/>
      <c r="F8044" s="22" t="s">
        <v>26</v>
      </c>
      <c r="G8044" s="23">
        <f>SUM(G8038:G8043)</f>
        <v>4442.6656249999996</v>
      </c>
      <c r="H8044" s="234"/>
    </row>
    <row r="8045" spans="1:8" ht="15.75" thickBot="1">
      <c r="A8045" s="211" t="s">
        <v>515</v>
      </c>
      <c r="B8045" s="216" t="str">
        <f ca="1">_xlfn.CONCAT(B8012,A8045)</f>
        <v>28BD4DA3-af</v>
      </c>
      <c r="C8045" s="10" t="s">
        <v>27</v>
      </c>
      <c r="D8045" s="190"/>
      <c r="E8045" s="11"/>
      <c r="F8045" s="12"/>
      <c r="G8045" s="13"/>
      <c r="H8045" s="234"/>
    </row>
    <row r="8046" spans="1:8" ht="14.25" thickBot="1">
      <c r="A8046" s="211" t="s">
        <v>516</v>
      </c>
      <c r="B8046" s="216" t="str">
        <f ca="1">_xlfn.CONCAT(B8012,A8046)</f>
        <v>28BD4DA3-ag</v>
      </c>
      <c r="C8046" s="14" t="s">
        <v>1</v>
      </c>
      <c r="D8046" s="15" t="s">
        <v>28</v>
      </c>
      <c r="E8046" s="15" t="s">
        <v>20</v>
      </c>
      <c r="F8046" s="16" t="s">
        <v>21</v>
      </c>
      <c r="G8046" s="15" t="s">
        <v>5</v>
      </c>
      <c r="H8046" s="234"/>
    </row>
    <row r="8047" spans="1:8">
      <c r="A8047" s="211" t="s">
        <v>517</v>
      </c>
      <c r="B8047" s="216" t="str">
        <f ca="1">_xlfn.CONCAT(B8012,A8047)</f>
        <v>28BD4DA3-ah</v>
      </c>
      <c r="C8047" s="30" t="s">
        <v>29</v>
      </c>
      <c r="D8047" s="186">
        <f>'H-MO'!$N$77</f>
        <v>725918.52892505517</v>
      </c>
      <c r="E8047" s="31">
        <f>+D8047/8</f>
        <v>90739.816115631897</v>
      </c>
      <c r="F8047" s="32">
        <v>0.5</v>
      </c>
      <c r="G8047" s="33">
        <f>+E8047*F8047</f>
        <v>45369.908057815948</v>
      </c>
      <c r="H8047" s="234"/>
    </row>
    <row r="8048" spans="1:8">
      <c r="A8048" s="211" t="s">
        <v>518</v>
      </c>
      <c r="B8048" s="216" t="str">
        <f ca="1">_xlfn.CONCAT(B8012,A8048)</f>
        <v>28BD4DA3-ai</v>
      </c>
      <c r="C8048" s="34" t="s">
        <v>30</v>
      </c>
      <c r="D8048" s="187">
        <f>'H-MO'!$N$86</f>
        <v>685561.39085756091</v>
      </c>
      <c r="E8048" s="29">
        <f>+D8048/8</f>
        <v>85695.173857195114</v>
      </c>
      <c r="F8048" s="28">
        <v>0</v>
      </c>
      <c r="G8048" s="33">
        <f>+E8048*F8048</f>
        <v>0</v>
      </c>
      <c r="H8048" s="234"/>
    </row>
    <row r="8049" spans="1:8" ht="14.25" thickBot="1">
      <c r="A8049" s="211" t="s">
        <v>519</v>
      </c>
      <c r="B8049" s="216" t="str">
        <f ca="1">_xlfn.CONCAT(B8012,A8049)</f>
        <v>28BD4DA3-aj</v>
      </c>
      <c r="C8049" s="34"/>
      <c r="D8049" s="187"/>
      <c r="E8049" s="29"/>
      <c r="F8049" s="28"/>
      <c r="G8049" s="33">
        <f>+E8049*F8049</f>
        <v>0</v>
      </c>
    </row>
    <row r="8050" spans="1:8" ht="14.25" thickBot="1">
      <c r="A8050" s="211" t="s">
        <v>520</v>
      </c>
      <c r="B8050" s="216" t="str">
        <f ca="1">_xlfn.CONCAT(B8012,A8050)</f>
        <v>28BD4DA3-ak</v>
      </c>
      <c r="C8050" s="34"/>
      <c r="D8050" s="185"/>
      <c r="E8050" s="26"/>
      <c r="F8050" s="36" t="s">
        <v>31</v>
      </c>
      <c r="G8050" s="23">
        <f>SUM(G8047:G8049)</f>
        <v>45369.908057815948</v>
      </c>
    </row>
    <row r="8051" spans="1:8" ht="14.25" thickBot="1">
      <c r="A8051" s="211" t="s">
        <v>521</v>
      </c>
      <c r="B8051" s="216" t="str">
        <f ca="1">_xlfn.CONCAT(B8012,A8051)</f>
        <v>28BD4DA3-al</v>
      </c>
      <c r="C8051" s="37"/>
      <c r="E8051" s="38"/>
      <c r="F8051" s="22"/>
      <c r="G8051" s="39"/>
    </row>
    <row r="8052" spans="1:8" ht="16.5" thickBot="1">
      <c r="A8052" s="211" t="s">
        <v>522</v>
      </c>
      <c r="B8052" s="216" t="str">
        <f ca="1">_xlfn.CONCAT(B8012,A8052)</f>
        <v>28BD4DA3-am</v>
      </c>
      <c r="C8052" s="40"/>
      <c r="D8052" s="193"/>
      <c r="E8052" s="41"/>
      <c r="F8052" s="42"/>
      <c r="G8052" s="43">
        <f>+G8035+G8044+G8050</f>
        <v>101060.67368281595</v>
      </c>
    </row>
    <row r="8053" spans="1:8" ht="21.75" thickBot="1">
      <c r="B8053" s="212" t="s">
        <v>550</v>
      </c>
      <c r="C8053" s="2"/>
      <c r="D8053" s="183"/>
      <c r="F8053" s="4"/>
      <c r="G8053" s="5"/>
    </row>
    <row r="8054" spans="1:8" ht="18.75">
      <c r="A8054" s="213"/>
      <c r="B8054" s="214">
        <v>183</v>
      </c>
      <c r="C8054" s="242" t="str">
        <f ca="1">_xlfn.XLOOKUP(B8054,Cantidades!$A$10:$A$314,Cantidades!$C$10:$C$314,,0,1)</f>
        <v>Suministro e instalacion de acometida en cobre 3x6 +1x6 +1x8T en tubo EMT 1 1/4"</v>
      </c>
      <c r="D8054" s="243"/>
      <c r="E8054" s="243"/>
      <c r="F8054" s="243"/>
      <c r="G8054" s="244"/>
    </row>
    <row r="8055" spans="1:8" ht="19.5" thickBot="1">
      <c r="A8055" s="215"/>
      <c r="B8055" s="216" t="s">
        <v>550</v>
      </c>
      <c r="C8055" s="177"/>
      <c r="D8055" s="189"/>
      <c r="E8055" s="178"/>
      <c r="F8055" s="179" t="s">
        <v>636</v>
      </c>
      <c r="G8055" s="209" t="str">
        <f ca="1">B8056</f>
        <v>AAE5F08-</v>
      </c>
    </row>
    <row r="8056" spans="1:8" ht="15.75" thickBot="1">
      <c r="B8056" s="212" t="str">
        <f ca="1">_xlfn.XLOOKUP(C8054,Cantidades!$C$1:$C$314,Cantidades!$B$1:$B$314,"",0,1)</f>
        <v>AAE5F08-</v>
      </c>
      <c r="C8056" s="10" t="s">
        <v>0</v>
      </c>
      <c r="D8056" s="190"/>
      <c r="E8056" s="11"/>
      <c r="F8056" s="12"/>
      <c r="G8056" s="13"/>
    </row>
    <row r="8057" spans="1:8" ht="14.25" thickBot="1">
      <c r="A8057" s="215"/>
      <c r="B8057" s="216" t="s">
        <v>550</v>
      </c>
      <c r="C8057" s="14" t="s">
        <v>1</v>
      </c>
      <c r="D8057" s="15" t="s">
        <v>2</v>
      </c>
      <c r="E8057" s="15" t="s">
        <v>3</v>
      </c>
      <c r="F8057" s="16" t="s">
        <v>4</v>
      </c>
      <c r="G8057" s="15" t="s">
        <v>5</v>
      </c>
    </row>
    <row r="8058" spans="1:8">
      <c r="A8058" s="211" t="s">
        <v>484</v>
      </c>
      <c r="B8058" s="216" t="str">
        <f ca="1">_xlfn.CONCAT(B8056,A8058)</f>
        <v>AAE5F08-A</v>
      </c>
      <c r="C8058" s="17" t="str">
        <f>_xlfn.XLOOKUP(H8058,'Materiales unitario'!$A$1:$A$2500,'Materiales unitario'!B$1:B$2500,,0,1)</f>
        <v>Cable de cobre aislado #6 AWG-THHN/THWN Color negro</v>
      </c>
      <c r="D8058" s="184" t="str">
        <f>_xlfn.XLOOKUP(H8058,'Materiales unitario'!A$1:A$2500,'Materiales unitario'!C$1:C$2500,,0,1)</f>
        <v>ml</v>
      </c>
      <c r="E8058" s="197">
        <f>_xlfn.XLOOKUP(H8058,'Materiales unitario'!$A$1:$A$2500,'Materiales unitario'!D$1:D$2500,,0,1)</f>
        <v>10300</v>
      </c>
      <c r="F8058" s="19">
        <v>4.2</v>
      </c>
      <c r="G8058" s="20">
        <f>+E8058*F8058</f>
        <v>43260</v>
      </c>
      <c r="H8058" s="211" t="s">
        <v>273</v>
      </c>
    </row>
    <row r="8059" spans="1:8">
      <c r="A8059" s="211" t="s">
        <v>485</v>
      </c>
      <c r="B8059" s="216" t="str">
        <f ca="1">_xlfn.CONCAT(B8056,A8059)</f>
        <v>AAE5F08-B</v>
      </c>
      <c r="C8059" s="17" t="str">
        <f>_xlfn.XLOOKUP(H8059,'Materiales unitario'!$A$1:$A$2500,'Materiales unitario'!B$1:B$2500,,0,1)</f>
        <v>Cable de cobre aislado #8 AWG-THHN/THWN Color negro</v>
      </c>
      <c r="D8059" s="184" t="str">
        <f>_xlfn.XLOOKUP(H8059,'Materiales unitario'!A$1:A$2500,'Materiales unitario'!C$1:C$2500,,0,1)</f>
        <v>ml</v>
      </c>
      <c r="E8059" s="197">
        <f>_xlfn.XLOOKUP(H8059,'Materiales unitario'!$A$1:$A$2500,'Materiales unitario'!D$1:D$2500,,0,1)</f>
        <v>6400</v>
      </c>
      <c r="F8059" s="19">
        <v>1.1000000000000001</v>
      </c>
      <c r="G8059" s="20">
        <f>+E8059*F8059</f>
        <v>7040.0000000000009</v>
      </c>
      <c r="H8059" s="211" t="s">
        <v>274</v>
      </c>
    </row>
    <row r="8060" spans="1:8">
      <c r="A8060" s="211" t="s">
        <v>486</v>
      </c>
      <c r="B8060" s="216" t="str">
        <f ca="1">_xlfn.CONCAT(B8056,A8060)</f>
        <v>AAE5F08-C</v>
      </c>
      <c r="C8060" s="17" t="str">
        <f>_xlfn.XLOOKUP(H8060,'Materiales unitario'!$A$1:$A$2500,'Materiales unitario'!B$1:B$2500,,0,1)</f>
        <v>Borna terminal estañada de ojo tipo pala #6 AWG</v>
      </c>
      <c r="D8060" s="184" t="str">
        <f>_xlfn.XLOOKUP(H8060,'Materiales unitario'!A$1:A$2500,'Materiales unitario'!C$1:C$2500,,0,1)</f>
        <v>un</v>
      </c>
      <c r="E8060" s="197">
        <f>_xlfn.XLOOKUP(H8060,'Materiales unitario'!$A$1:$A$2500,'Materiales unitario'!D$1:D$2500,,0,1)</f>
        <v>1800</v>
      </c>
      <c r="F8060" s="19">
        <v>0.8</v>
      </c>
      <c r="G8060" s="20">
        <f>+E8060*F8060</f>
        <v>1440</v>
      </c>
      <c r="H8060" s="211" t="s">
        <v>254</v>
      </c>
    </row>
    <row r="8061" spans="1:8">
      <c r="A8061" s="211" t="s">
        <v>487</v>
      </c>
      <c r="B8061" s="216" t="str">
        <f ca="1">_xlfn.CONCAT(B8056,A8061)</f>
        <v>AAE5F08-D</v>
      </c>
      <c r="C8061" s="17" t="str">
        <f>_xlfn.XLOOKUP(H8061,'Materiales unitario'!$A$1:$A$2500,'Materiales unitario'!B$1:B$2500,,0,1)</f>
        <v>Borna terminal estañada de ojo tipo pala #8 AWG</v>
      </c>
      <c r="D8061" s="184" t="str">
        <f>_xlfn.XLOOKUP(H8061,'Materiales unitario'!A$1:A$2500,'Materiales unitario'!C$1:C$2500,,0,1)</f>
        <v>un</v>
      </c>
      <c r="E8061" s="197">
        <f>_xlfn.XLOOKUP(H8061,'Materiales unitario'!$A$1:$A$2500,'Materiales unitario'!D$1:D$2500,,0,1)</f>
        <v>1200</v>
      </c>
      <c r="F8061" s="19">
        <v>0.2</v>
      </c>
      <c r="G8061" s="20">
        <f>+E8061*F8061</f>
        <v>240</v>
      </c>
      <c r="H8061" s="211" t="s">
        <v>255</v>
      </c>
    </row>
    <row r="8062" spans="1:8">
      <c r="A8062" s="211" t="s">
        <v>488</v>
      </c>
      <c r="B8062" s="216" t="str">
        <f ca="1">_xlfn.CONCAT(B8056,A8062)</f>
        <v>AAE5F08-E</v>
      </c>
      <c r="C8062" s="17" t="str">
        <f>_xlfn.XLOOKUP(H8062,'Materiales unitario'!$A$1:$A$2500,'Materiales unitario'!B$1:B$2500,,0,1)</f>
        <v>Termoencogible</v>
      </c>
      <c r="D8062" s="184" t="str">
        <f>_xlfn.XLOOKUP(H8062,'Materiales unitario'!A$1:A$2500,'Materiales unitario'!C$1:C$2500,,0,1)</f>
        <v>un</v>
      </c>
      <c r="E8062" s="197">
        <f>_xlfn.XLOOKUP(H8062,'Materiales unitario'!$A$1:$A$2500,'Materiales unitario'!D$1:D$2500,,0,1)</f>
        <v>5000</v>
      </c>
      <c r="F8062" s="19">
        <v>0.1</v>
      </c>
      <c r="G8062" s="20">
        <f>+E8062*F8062</f>
        <v>500</v>
      </c>
      <c r="H8062" s="211" t="s">
        <v>373</v>
      </c>
    </row>
    <row r="8063" spans="1:8">
      <c r="A8063" s="211" t="s">
        <v>489</v>
      </c>
      <c r="B8063" s="216" t="str">
        <f ca="1">_xlfn.CONCAT(B8056,A8063)</f>
        <v>AAE5F08-F</v>
      </c>
      <c r="C8063" s="17"/>
      <c r="D8063" s="184"/>
      <c r="E8063" s="197"/>
      <c r="F8063" s="19"/>
      <c r="G8063" s="20"/>
    </row>
    <row r="8064" spans="1:8" ht="15">
      <c r="A8064" s="211" t="s">
        <v>490</v>
      </c>
      <c r="B8064" s="216" t="str">
        <f ca="1">_xlfn.CONCAT(B8056,A8064)</f>
        <v>AAE5F08-G</v>
      </c>
      <c r="C8064" s="17" t="str">
        <f>_xlfn.XLOOKUP(H8064,'Materiales unitario'!$A$1:$A$2500,'Materiales unitario'!B$1:B$2500,,0,1)</f>
        <v>Tubo metálico ø1 1/4" EMT</v>
      </c>
      <c r="D8064" s="184" t="str">
        <f>_xlfn.XLOOKUP(H8064,'Materiales unitario'!A$1:A$2500,'Materiales unitario'!C$1:C$2500,,0,1)</f>
        <v>ml</v>
      </c>
      <c r="E8064" s="197">
        <f>_xlfn.XLOOKUP(H8064,'Materiales unitario'!$A$1:$A$2500,'Materiales unitario'!D$1:D$2500,,0,1)</f>
        <v>28816.666666666668</v>
      </c>
      <c r="F8064" s="19">
        <v>1.05</v>
      </c>
      <c r="G8064" s="20">
        <f>+E8064*F8064</f>
        <v>30257.500000000004</v>
      </c>
      <c r="H8064" s="217" t="s">
        <v>838</v>
      </c>
    </row>
    <row r="8065" spans="1:8" ht="15">
      <c r="A8065" s="211" t="s">
        <v>491</v>
      </c>
      <c r="B8065" s="216" t="str">
        <f ca="1">_xlfn.CONCAT(B8056,A8065)</f>
        <v>AAE5F08-H</v>
      </c>
      <c r="C8065" s="17" t="str">
        <f>_xlfn.XLOOKUP(H8065,'Materiales unitario'!$A$1:$A$2500,'Materiales unitario'!B$1:B$2500,,0,1)</f>
        <v>Unión metálica ø1 1/4" EMT</v>
      </c>
      <c r="D8065" s="184" t="str">
        <f>_xlfn.XLOOKUP(H8065,'Materiales unitario'!A$1:A$2500,'Materiales unitario'!C$1:C$2500,,0,1)</f>
        <v>un</v>
      </c>
      <c r="E8065" s="197">
        <f>_xlfn.XLOOKUP(H8065,'Materiales unitario'!$A$1:$A$2500,'Materiales unitario'!D$1:D$2500,,0,1)</f>
        <v>4420</v>
      </c>
      <c r="F8065" s="19">
        <v>0.35</v>
      </c>
      <c r="G8065" s="20">
        <f>+E8065*F8065</f>
        <v>1547</v>
      </c>
      <c r="H8065" s="217" t="s">
        <v>839</v>
      </c>
    </row>
    <row r="8066" spans="1:8" ht="15">
      <c r="A8066" s="211" t="s">
        <v>492</v>
      </c>
      <c r="B8066" s="216" t="str">
        <f ca="1">_xlfn.CONCAT(B8056,A8066)</f>
        <v>AAE5F08-I</v>
      </c>
      <c r="C8066" s="17" t="str">
        <f>_xlfn.XLOOKUP(H8066,'Materiales unitario'!$A$1:$A$2500,'Materiales unitario'!B$1:B$2500,,0,1)</f>
        <v xml:space="preserve">Terminal metálico ø1 1/4" EMT </v>
      </c>
      <c r="D8066" s="184" t="str">
        <f>_xlfn.XLOOKUP(H8066,'Materiales unitario'!A$1:A$2500,'Materiales unitario'!C$1:C$2500,,0,1)</f>
        <v>un</v>
      </c>
      <c r="E8066" s="197">
        <f>_xlfn.XLOOKUP(H8066,'Materiales unitario'!$A$1:$A$2500,'Materiales unitario'!D$1:D$2500,,0,1)</f>
        <v>4612</v>
      </c>
      <c r="F8066" s="19">
        <v>0.1</v>
      </c>
      <c r="G8066" s="20">
        <f>+E8066*F8066</f>
        <v>461.20000000000005</v>
      </c>
      <c r="H8066" s="217" t="s">
        <v>840</v>
      </c>
    </row>
    <row r="8067" spans="1:8" ht="15">
      <c r="A8067" s="211" t="s">
        <v>493</v>
      </c>
      <c r="B8067" s="216" t="str">
        <f ca="1">_xlfn.CONCAT(B8056,A8067)</f>
        <v>AAE5F08-J</v>
      </c>
      <c r="C8067" s="17" t="str">
        <f>_xlfn.XLOOKUP(H8067,'Materiales unitario'!$A$1:$A$2500,'Materiales unitario'!B$1:B$2500,,0,1)</f>
        <v>Curva metálica ø1 1/4" EMT</v>
      </c>
      <c r="D8067" s="184" t="str">
        <f>_xlfn.XLOOKUP(H8067,'Materiales unitario'!A$1:A$2500,'Materiales unitario'!C$1:C$2500,,0,1)</f>
        <v>un</v>
      </c>
      <c r="E8067" s="197">
        <f>_xlfn.XLOOKUP(H8067,'Materiales unitario'!$A$1:$A$2500,'Materiales unitario'!D$1:D$2500,,0,1)</f>
        <v>7915</v>
      </c>
      <c r="F8067" s="19">
        <v>0.1</v>
      </c>
      <c r="G8067" s="20">
        <f>+E8067*F8067</f>
        <v>791.5</v>
      </c>
      <c r="H8067" s="217" t="s">
        <v>841</v>
      </c>
    </row>
    <row r="8068" spans="1:8" ht="15">
      <c r="A8068" s="211" t="s">
        <v>494</v>
      </c>
      <c r="B8068" s="216" t="str">
        <f ca="1">_xlfn.CONCAT(B8056,A8068)</f>
        <v>AAE5F08-K</v>
      </c>
      <c r="C8068" s="17" t="str">
        <f>_xlfn.XLOOKUP(H8068,'Materiales unitario'!$A$1:$A$2500,'Materiales unitario'!B$1:B$2500,,0,1)</f>
        <v>Soporte metalico 1 1/4"</v>
      </c>
      <c r="D8068" s="184" t="str">
        <f>_xlfn.XLOOKUP(H8068,'Materiales unitario'!A$1:A$2500,'Materiales unitario'!C$1:C$2500,,0,1)</f>
        <v>un</v>
      </c>
      <c r="E8068" s="197">
        <f>_xlfn.XLOOKUP(H8068,'Materiales unitario'!$A$1:$A$2500,'Materiales unitario'!D$1:D$2500,,0,1)</f>
        <v>3110</v>
      </c>
      <c r="F8068" s="19">
        <v>0.75</v>
      </c>
      <c r="G8068" s="20">
        <f>+E8068*F8068</f>
        <v>2332.5</v>
      </c>
      <c r="H8068" s="217" t="s">
        <v>769</v>
      </c>
    </row>
    <row r="8069" spans="1:8" ht="15">
      <c r="A8069" s="211" t="s">
        <v>495</v>
      </c>
      <c r="B8069" s="216" t="str">
        <f ca="1">_xlfn.CONCAT(B8056,A8069)</f>
        <v>AAE5F08-L</v>
      </c>
      <c r="C8069" s="17"/>
      <c r="D8069" s="184"/>
      <c r="E8069" s="197"/>
      <c r="F8069" s="19"/>
      <c r="G8069" s="20"/>
      <c r="H8069" s="217"/>
    </row>
    <row r="8070" spans="1:8" ht="15">
      <c r="A8070" s="211" t="s">
        <v>496</v>
      </c>
      <c r="B8070" s="216" t="str">
        <f ca="1">_xlfn.CONCAT(B8056,A8070)</f>
        <v>AAE5F08-M</v>
      </c>
      <c r="C8070" s="17"/>
      <c r="D8070" s="184"/>
      <c r="E8070" s="197"/>
      <c r="F8070" s="19"/>
      <c r="G8070" s="20"/>
      <c r="H8070" s="217"/>
    </row>
    <row r="8071" spans="1:8" ht="15">
      <c r="A8071" s="211" t="s">
        <v>497</v>
      </c>
      <c r="B8071" s="216" t="str">
        <f ca="1">_xlfn.CONCAT(B8056,A8071)</f>
        <v>AAE5F08-N</v>
      </c>
      <c r="C8071" s="17"/>
      <c r="D8071" s="184"/>
      <c r="E8071" s="197"/>
      <c r="F8071" s="19"/>
      <c r="G8071" s="20"/>
      <c r="H8071" s="217"/>
    </row>
    <row r="8072" spans="1:8">
      <c r="A8072" s="211" t="s">
        <v>498</v>
      </c>
      <c r="B8072" s="216" t="str">
        <f ca="1">_xlfn.CONCAT(B8056,A8072)</f>
        <v>AAE5F08-O</v>
      </c>
      <c r="C8072" s="17"/>
      <c r="D8072" s="184"/>
      <c r="E8072" s="197"/>
      <c r="F8072" s="19"/>
      <c r="G8072" s="20"/>
    </row>
    <row r="8073" spans="1:8">
      <c r="A8073" s="211" t="s">
        <v>499</v>
      </c>
      <c r="B8073" s="216" t="str">
        <f ca="1">_xlfn.CONCAT(B8056,A8073)</f>
        <v>AAE5F08-P</v>
      </c>
      <c r="C8073" s="17"/>
      <c r="D8073" s="184"/>
      <c r="E8073" s="197"/>
      <c r="F8073" s="19"/>
      <c r="G8073" s="20"/>
    </row>
    <row r="8074" spans="1:8">
      <c r="A8074" s="211" t="s">
        <v>500</v>
      </c>
      <c r="B8074" s="216" t="str">
        <f ca="1">_xlfn.CONCAT(B8056,A8074)</f>
        <v>AAE5F08-Q</v>
      </c>
      <c r="C8074" s="17"/>
      <c r="D8074" s="184"/>
      <c r="E8074" s="197"/>
      <c r="F8074" s="19"/>
      <c r="G8074" s="20"/>
    </row>
    <row r="8075" spans="1:8">
      <c r="A8075" s="211" t="s">
        <v>501</v>
      </c>
      <c r="B8075" s="216" t="str">
        <f ca="1">_xlfn.CONCAT(B8056,A8075)</f>
        <v>AAE5F08-R</v>
      </c>
      <c r="C8075" s="17"/>
      <c r="D8075" s="184"/>
      <c r="E8075" s="197"/>
      <c r="F8075" s="19"/>
      <c r="G8075" s="20"/>
    </row>
    <row r="8076" spans="1:8">
      <c r="A8076" s="211" t="s">
        <v>502</v>
      </c>
      <c r="B8076" s="216" t="str">
        <f ca="1">_xlfn.CONCAT(B8056,A8076)</f>
        <v>AAE5F08-S</v>
      </c>
      <c r="C8076" s="17"/>
      <c r="D8076" s="184"/>
      <c r="E8076" s="197"/>
      <c r="F8076" s="19"/>
      <c r="G8076" s="20"/>
    </row>
    <row r="8077" spans="1:8">
      <c r="A8077" s="211" t="s">
        <v>503</v>
      </c>
      <c r="B8077" s="216" t="str">
        <f ca="1">_xlfn.CONCAT(B8056,A8077)</f>
        <v>AAE5F08-T</v>
      </c>
      <c r="C8077" s="17"/>
      <c r="D8077" s="184"/>
      <c r="E8077" s="197"/>
      <c r="F8077" s="19"/>
      <c r="G8077" s="20"/>
    </row>
    <row r="8078" spans="1:8" ht="14.25" thickBot="1">
      <c r="A8078" s="211" t="s">
        <v>504</v>
      </c>
      <c r="B8078" s="216" t="str">
        <f ca="1">_xlfn.CONCAT(B8056,A8078)</f>
        <v>AAE5F08-U</v>
      </c>
      <c r="C8078" s="17"/>
      <c r="D8078" s="184"/>
      <c r="E8078" s="197"/>
      <c r="F8078" s="19"/>
      <c r="G8078" s="20"/>
    </row>
    <row r="8079" spans="1:8" ht="14.25" thickBot="1">
      <c r="A8079" s="211" t="s">
        <v>505</v>
      </c>
      <c r="B8079" s="216" t="str">
        <f ca="1">_xlfn.CONCAT(B8056,A8079)</f>
        <v>AAE5F08-V</v>
      </c>
      <c r="C8079" s="17" t="s">
        <v>17</v>
      </c>
      <c r="D8079" s="192" t="s">
        <v>17</v>
      </c>
      <c r="E8079" s="18"/>
      <c r="F8079" s="22" t="s">
        <v>18</v>
      </c>
      <c r="G8079" s="23">
        <f>SUM(G8058:G8078)</f>
        <v>87869.7</v>
      </c>
    </row>
    <row r="8080" spans="1:8" ht="15.75" thickBot="1">
      <c r="A8080" s="211" t="s">
        <v>506</v>
      </c>
      <c r="B8080" s="216" t="str">
        <f ca="1">_xlfn.CONCAT(B8056,A8080)</f>
        <v>AAE5F08-W</v>
      </c>
      <c r="C8080" s="10" t="s">
        <v>19</v>
      </c>
      <c r="D8080" s="190"/>
      <c r="E8080" s="11"/>
      <c r="F8080" s="12"/>
      <c r="G8080" s="13"/>
    </row>
    <row r="8081" spans="1:9" ht="14.25" thickBot="1">
      <c r="A8081" s="211" t="s">
        <v>507</v>
      </c>
      <c r="B8081" s="216" t="str">
        <f ca="1">_xlfn.CONCAT(B8056,A8081)</f>
        <v>AAE5F08-X</v>
      </c>
      <c r="C8081" s="14" t="s">
        <v>1</v>
      </c>
      <c r="D8081" s="15"/>
      <c r="E8081" s="15" t="s">
        <v>20</v>
      </c>
      <c r="F8081" s="16" t="s">
        <v>21</v>
      </c>
      <c r="G8081" s="15" t="s">
        <v>5</v>
      </c>
    </row>
    <row r="8082" spans="1:9">
      <c r="A8082" s="211" t="s">
        <v>508</v>
      </c>
      <c r="B8082" s="216" t="str">
        <f ca="1">_xlfn.CONCAT(B8056,A8082)</f>
        <v>AAE5F08-Y</v>
      </c>
      <c r="C8082" s="24" t="s">
        <v>22</v>
      </c>
      <c r="D8082" s="184"/>
      <c r="E8082" s="25">
        <f>_xlfn.XLOOKUP(C8082,'H-MO'!B$7:B$30,'H-MO'!D$7:D$30,,0,1)</f>
        <v>2436.5624999999995</v>
      </c>
      <c r="F8082" s="19">
        <v>0.5</v>
      </c>
      <c r="G8082" s="33">
        <f t="shared" ref="G8082:G8087" si="231">+E8082*F8082</f>
        <v>1218.2812499999998</v>
      </c>
      <c r="H8082" s="234"/>
    </row>
    <row r="8083" spans="1:9">
      <c r="A8083" s="211" t="s">
        <v>509</v>
      </c>
      <c r="B8083" s="216" t="str">
        <f ca="1">_xlfn.CONCAT(B8056,A8083)</f>
        <v>AAE5F08-Z</v>
      </c>
      <c r="C8083" s="24" t="s">
        <v>23</v>
      </c>
      <c r="D8083" s="184"/>
      <c r="E8083" s="25">
        <f>_xlfn.XLOOKUP(C8083,'H-MO'!B$7:B$30,'H-MO'!D$7:D$30,,0,1)</f>
        <v>1461.9374999999998</v>
      </c>
      <c r="F8083" s="19">
        <v>0.04</v>
      </c>
      <c r="G8083" s="33">
        <f t="shared" si="231"/>
        <v>58.477499999999992</v>
      </c>
      <c r="H8083" s="234"/>
    </row>
    <row r="8084" spans="1:9">
      <c r="A8084" s="211" t="s">
        <v>510</v>
      </c>
      <c r="B8084" s="216" t="str">
        <f ca="1">_xlfn.CONCAT(B8056,A8084)</f>
        <v>AAE5F08-aa</v>
      </c>
      <c r="C8084" s="24" t="s">
        <v>24</v>
      </c>
      <c r="D8084" s="185"/>
      <c r="E8084" s="25">
        <f>_xlfn.XLOOKUP(C8084,'H-MO'!B$7:B$30,'H-MO'!D$7:D$30,,0,1)</f>
        <v>29238.749999999996</v>
      </c>
      <c r="F8084" s="28">
        <v>0.1</v>
      </c>
      <c r="G8084" s="33">
        <f t="shared" si="231"/>
        <v>2923.875</v>
      </c>
      <c r="H8084" s="234"/>
    </row>
    <row r="8085" spans="1:9">
      <c r="A8085" s="211" t="s">
        <v>511</v>
      </c>
      <c r="B8085" s="216" t="str">
        <f ca="1">_xlfn.CONCAT(B8056,A8085)</f>
        <v>AAE5F08-ab</v>
      </c>
      <c r="C8085" s="24" t="s">
        <v>25</v>
      </c>
      <c r="D8085" s="185"/>
      <c r="E8085" s="25">
        <f>_xlfn.XLOOKUP(C8085,'H-MO'!B$7:B$30,'H-MO'!D$7:D$30,,0,1)</f>
        <v>2761.4374999999995</v>
      </c>
      <c r="F8085" s="28">
        <v>0.5</v>
      </c>
      <c r="G8085" s="33">
        <f t="shared" si="231"/>
        <v>1380.7187499999998</v>
      </c>
      <c r="H8085" s="234"/>
    </row>
    <row r="8086" spans="1:9">
      <c r="A8086" s="211" t="s">
        <v>512</v>
      </c>
      <c r="B8086" s="216" t="str">
        <f ca="1">_xlfn.CONCAT(B8056,A8086)</f>
        <v>AAE5F08-ac</v>
      </c>
      <c r="C8086" s="24"/>
      <c r="D8086" s="185"/>
      <c r="E8086" s="29"/>
      <c r="F8086" s="28"/>
      <c r="G8086" s="33">
        <f t="shared" si="231"/>
        <v>0</v>
      </c>
      <c r="H8086" s="234"/>
    </row>
    <row r="8087" spans="1:9" ht="14.25" thickBot="1">
      <c r="A8087" s="211" t="s">
        <v>513</v>
      </c>
      <c r="B8087" s="216" t="str">
        <f ca="1">_xlfn.CONCAT(B8056,A8087)</f>
        <v>AAE5F08-ad</v>
      </c>
      <c r="C8087" s="24"/>
      <c r="D8087" s="185"/>
      <c r="E8087" s="29"/>
      <c r="F8087" s="28"/>
      <c r="G8087" s="33">
        <f t="shared" si="231"/>
        <v>0</v>
      </c>
      <c r="H8087" s="234"/>
    </row>
    <row r="8088" spans="1:9" ht="14.25" thickBot="1">
      <c r="A8088" s="211" t="s">
        <v>514</v>
      </c>
      <c r="B8088" s="216" t="str">
        <f ca="1">_xlfn.CONCAT(B8056,A8088)</f>
        <v>AAE5F08-ae</v>
      </c>
      <c r="C8088" s="17"/>
      <c r="D8088" s="192"/>
      <c r="E8088" s="18"/>
      <c r="F8088" s="22" t="s">
        <v>26</v>
      </c>
      <c r="G8088" s="23">
        <f>SUM(G8082:G8087)</f>
        <v>5581.3525</v>
      </c>
      <c r="H8088" s="234"/>
    </row>
    <row r="8089" spans="1:9" ht="15.75" thickBot="1">
      <c r="A8089" s="211" t="s">
        <v>515</v>
      </c>
      <c r="B8089" s="216" t="str">
        <f ca="1">_xlfn.CONCAT(B8056,A8089)</f>
        <v>AAE5F08-af</v>
      </c>
      <c r="C8089" s="10" t="s">
        <v>27</v>
      </c>
      <c r="D8089" s="190"/>
      <c r="E8089" s="11"/>
      <c r="F8089" s="12"/>
      <c r="G8089" s="13"/>
      <c r="H8089" s="234"/>
    </row>
    <row r="8090" spans="1:9" ht="14.25" thickBot="1">
      <c r="A8090" s="211" t="s">
        <v>516</v>
      </c>
      <c r="B8090" s="216" t="str">
        <f ca="1">_xlfn.CONCAT(B8056,A8090)</f>
        <v>AAE5F08-ag</v>
      </c>
      <c r="C8090" s="14" t="s">
        <v>1</v>
      </c>
      <c r="D8090" s="15" t="s">
        <v>28</v>
      </c>
      <c r="E8090" s="15" t="s">
        <v>20</v>
      </c>
      <c r="F8090" s="16" t="s">
        <v>21</v>
      </c>
      <c r="G8090" s="15" t="s">
        <v>5</v>
      </c>
      <c r="H8090" s="234"/>
    </row>
    <row r="8091" spans="1:9">
      <c r="A8091" s="211" t="s">
        <v>517</v>
      </c>
      <c r="B8091" s="216" t="str">
        <f ca="1">_xlfn.CONCAT(B8056,A8091)</f>
        <v>AAE5F08-ah</v>
      </c>
      <c r="C8091" s="30" t="s">
        <v>29</v>
      </c>
      <c r="D8091" s="186">
        <f>'H-MO'!$N$77</f>
        <v>725918.52892505517</v>
      </c>
      <c r="E8091" s="31">
        <f>+D8091/8</f>
        <v>90739.816115631897</v>
      </c>
      <c r="F8091" s="32">
        <v>0.68</v>
      </c>
      <c r="G8091" s="33">
        <f>+E8091*F8091</f>
        <v>61703.074958629695</v>
      </c>
      <c r="H8091" s="234"/>
    </row>
    <row r="8092" spans="1:9">
      <c r="A8092" s="211" t="s">
        <v>518</v>
      </c>
      <c r="B8092" s="216" t="str">
        <f ca="1">_xlfn.CONCAT(B8056,A8092)</f>
        <v>AAE5F08-ai</v>
      </c>
      <c r="C8092" s="34" t="s">
        <v>30</v>
      </c>
      <c r="D8092" s="187">
        <f>'H-MO'!$N$86</f>
        <v>685561.39085756091</v>
      </c>
      <c r="E8092" s="29">
        <f>+D8092/8</f>
        <v>85695.173857195114</v>
      </c>
      <c r="F8092" s="28">
        <v>0</v>
      </c>
      <c r="G8092" s="33">
        <f>+E8092*F8092</f>
        <v>0</v>
      </c>
      <c r="H8092" s="234"/>
    </row>
    <row r="8093" spans="1:9" ht="14.25" thickBot="1">
      <c r="A8093" s="211" t="s">
        <v>519</v>
      </c>
      <c r="B8093" s="216" t="str">
        <f ca="1">_xlfn.CONCAT(B8056,A8093)</f>
        <v>AAE5F08-aj</v>
      </c>
      <c r="C8093" s="34"/>
      <c r="D8093" s="187"/>
      <c r="E8093" s="29"/>
      <c r="F8093" s="28"/>
      <c r="G8093" s="33">
        <f>+E8093*F8093</f>
        <v>0</v>
      </c>
    </row>
    <row r="8094" spans="1:9" ht="14.25" thickBot="1">
      <c r="A8094" s="211" t="s">
        <v>520</v>
      </c>
      <c r="B8094" s="216" t="str">
        <f ca="1">_xlfn.CONCAT(B8056,A8094)</f>
        <v>AAE5F08-ak</v>
      </c>
      <c r="C8094" s="34"/>
      <c r="D8094" s="185"/>
      <c r="E8094" s="26"/>
      <c r="F8094" s="36" t="s">
        <v>31</v>
      </c>
      <c r="G8094" s="23">
        <f>SUM(G8091:G8093)</f>
        <v>61703.074958629695</v>
      </c>
      <c r="I8094" s="229"/>
    </row>
    <row r="8095" spans="1:9" ht="14.25" thickBot="1">
      <c r="A8095" s="211" t="s">
        <v>521</v>
      </c>
      <c r="B8095" s="216" t="str">
        <f ca="1">_xlfn.CONCAT(B8056,A8095)</f>
        <v>AAE5F08-al</v>
      </c>
      <c r="C8095" s="37"/>
      <c r="E8095" s="38"/>
      <c r="F8095" s="22"/>
      <c r="G8095" s="39"/>
    </row>
    <row r="8096" spans="1:9" ht="16.5" thickBot="1">
      <c r="A8096" s="211" t="s">
        <v>522</v>
      </c>
      <c r="B8096" s="216" t="str">
        <f ca="1">_xlfn.CONCAT(B8056,A8096)</f>
        <v>AAE5F08-am</v>
      </c>
      <c r="C8096" s="40"/>
      <c r="D8096" s="193"/>
      <c r="E8096" s="41"/>
      <c r="F8096" s="42"/>
      <c r="G8096" s="43">
        <f>+G8079+G8088+G8094</f>
        <v>155154.12745862969</v>
      </c>
    </row>
    <row r="8097" spans="1:8" ht="21.75" thickBot="1">
      <c r="B8097" s="212" t="s">
        <v>550</v>
      </c>
      <c r="C8097" s="2"/>
      <c r="D8097" s="183"/>
      <c r="F8097" s="4"/>
      <c r="G8097" s="5"/>
    </row>
    <row r="8098" spans="1:8" ht="18.75">
      <c r="A8098" s="213"/>
      <c r="B8098" s="214">
        <v>184</v>
      </c>
      <c r="C8098" s="242" t="str">
        <f ca="1">_xlfn.XLOOKUP(B8098,Cantidades!$A$10:$A$314,Cantidades!$C$10:$C$314,,0,1)</f>
        <v>Suministro e instalacion de acometida en cobre 3x6 +1x6 +1x6T en tubo EMT 1 1/4"</v>
      </c>
      <c r="D8098" s="243"/>
      <c r="E8098" s="243"/>
      <c r="F8098" s="243"/>
      <c r="G8098" s="244"/>
    </row>
    <row r="8099" spans="1:8" ht="19.5" thickBot="1">
      <c r="A8099" s="215"/>
      <c r="B8099" s="216" t="s">
        <v>550</v>
      </c>
      <c r="C8099" s="177"/>
      <c r="D8099" s="189"/>
      <c r="E8099" s="178"/>
      <c r="F8099" s="179" t="s">
        <v>636</v>
      </c>
      <c r="G8099" s="209" t="str">
        <f ca="1">B8100</f>
        <v>AAE5F085-</v>
      </c>
    </row>
    <row r="8100" spans="1:8" ht="15.75" thickBot="1">
      <c r="B8100" s="212" t="str">
        <f ca="1">_xlfn.XLOOKUP(C8098,Cantidades!$C$1:$C$314,Cantidades!$B$1:$B$314,"",0,1)</f>
        <v>AAE5F085-</v>
      </c>
      <c r="C8100" s="10" t="s">
        <v>0</v>
      </c>
      <c r="D8100" s="190"/>
      <c r="E8100" s="11"/>
      <c r="F8100" s="12"/>
      <c r="G8100" s="13"/>
    </row>
    <row r="8101" spans="1:8" ht="14.25" thickBot="1">
      <c r="A8101" s="215"/>
      <c r="B8101" s="216" t="s">
        <v>550</v>
      </c>
      <c r="C8101" s="14" t="s">
        <v>1</v>
      </c>
      <c r="D8101" s="15" t="s">
        <v>2</v>
      </c>
      <c r="E8101" s="15" t="s">
        <v>3</v>
      </c>
      <c r="F8101" s="16" t="s">
        <v>4</v>
      </c>
      <c r="G8101" s="15" t="s">
        <v>5</v>
      </c>
    </row>
    <row r="8102" spans="1:8">
      <c r="A8102" s="211" t="s">
        <v>484</v>
      </c>
      <c r="B8102" s="216" t="str">
        <f ca="1">_xlfn.CONCAT(B8100,A8102)</f>
        <v>AAE5F085-A</v>
      </c>
      <c r="C8102" s="17" t="str">
        <f>_xlfn.XLOOKUP(H8102,'Materiales unitario'!$A$1:$A$2500,'Materiales unitario'!B$1:B$2500,,0,1)</f>
        <v>Cable de cobre aislado #6 AWG-THHN/THWN Color negro</v>
      </c>
      <c r="D8102" s="184" t="str">
        <f>_xlfn.XLOOKUP(H8102,'Materiales unitario'!A$1:A$2500,'Materiales unitario'!C$1:C$2500,,0,1)</f>
        <v>ml</v>
      </c>
      <c r="E8102" s="197">
        <f>_xlfn.XLOOKUP(H8102,'Materiales unitario'!$A$1:$A$2500,'Materiales unitario'!D$1:D$2500,,0,1)</f>
        <v>10300</v>
      </c>
      <c r="F8102" s="19">
        <v>5.25</v>
      </c>
      <c r="G8102" s="20">
        <f>+E8102*F8102</f>
        <v>54075</v>
      </c>
      <c r="H8102" s="211" t="s">
        <v>273</v>
      </c>
    </row>
    <row r="8103" spans="1:8">
      <c r="A8103" s="211" t="s">
        <v>485</v>
      </c>
      <c r="B8103" s="216" t="str">
        <f ca="1">_xlfn.CONCAT(B8100,A8103)</f>
        <v>AAE5F085-B</v>
      </c>
      <c r="C8103" s="17" t="str">
        <f>_xlfn.XLOOKUP(H8103,'Materiales unitario'!$A$1:$A$2500,'Materiales unitario'!B$1:B$2500,,0,1)</f>
        <v>Borna terminal estañada de ojo tipo pala #6 AWG</v>
      </c>
      <c r="D8103" s="184" t="str">
        <f>_xlfn.XLOOKUP(H8103,'Materiales unitario'!A$1:A$2500,'Materiales unitario'!C$1:C$2500,,0,1)</f>
        <v>un</v>
      </c>
      <c r="E8103" s="197">
        <f>_xlfn.XLOOKUP(H8103,'Materiales unitario'!$A$1:$A$2500,'Materiales unitario'!D$1:D$2500,,0,1)</f>
        <v>1800</v>
      </c>
      <c r="F8103" s="19">
        <v>1</v>
      </c>
      <c r="G8103" s="20">
        <f>+E8103*F8103</f>
        <v>1800</v>
      </c>
      <c r="H8103" s="211" t="s">
        <v>254</v>
      </c>
    </row>
    <row r="8104" spans="1:8">
      <c r="A8104" s="211" t="s">
        <v>486</v>
      </c>
      <c r="B8104" s="216" t="str">
        <f ca="1">_xlfn.CONCAT(B8100,A8104)</f>
        <v>AAE5F085-C</v>
      </c>
      <c r="C8104" s="17" t="str">
        <f>_xlfn.XLOOKUP(H8104,'Materiales unitario'!$A$1:$A$2500,'Materiales unitario'!B$1:B$2500,,0,1)</f>
        <v>Termoencogible</v>
      </c>
      <c r="D8104" s="184" t="str">
        <f>_xlfn.XLOOKUP(H8104,'Materiales unitario'!A$1:A$2500,'Materiales unitario'!C$1:C$2500,,0,1)</f>
        <v>un</v>
      </c>
      <c r="E8104" s="197">
        <f>_xlfn.XLOOKUP(H8104,'Materiales unitario'!$A$1:$A$2500,'Materiales unitario'!D$1:D$2500,,0,1)</f>
        <v>5000</v>
      </c>
      <c r="F8104" s="19">
        <v>0.1</v>
      </c>
      <c r="G8104" s="20">
        <f>+E8104*F8104</f>
        <v>500</v>
      </c>
      <c r="H8104" s="211" t="s">
        <v>373</v>
      </c>
    </row>
    <row r="8105" spans="1:8">
      <c r="A8105" s="211" t="s">
        <v>487</v>
      </c>
      <c r="B8105" s="216" t="str">
        <f ca="1">_xlfn.CONCAT(B8100,A8105)</f>
        <v>AAE5F085-D</v>
      </c>
      <c r="C8105" s="17"/>
      <c r="D8105" s="184"/>
      <c r="E8105" s="197"/>
      <c r="F8105" s="19"/>
      <c r="G8105" s="20"/>
    </row>
    <row r="8106" spans="1:8" ht="15">
      <c r="A8106" s="211" t="s">
        <v>488</v>
      </c>
      <c r="B8106" s="216" t="str">
        <f ca="1">_xlfn.CONCAT(B8100,A8106)</f>
        <v>AAE5F085-E</v>
      </c>
      <c r="C8106" s="17" t="str">
        <f>_xlfn.XLOOKUP(H8106,'Materiales unitario'!$A$1:$A$2500,'Materiales unitario'!B$1:B$2500,,0,1)</f>
        <v>Tubo metálico ø1 1/4" EMT</v>
      </c>
      <c r="D8106" s="184" t="str">
        <f>_xlfn.XLOOKUP(H8106,'Materiales unitario'!A$1:A$2500,'Materiales unitario'!C$1:C$2500,,0,1)</f>
        <v>ml</v>
      </c>
      <c r="E8106" s="197">
        <f>_xlfn.XLOOKUP(H8106,'Materiales unitario'!$A$1:$A$2500,'Materiales unitario'!D$1:D$2500,,0,1)</f>
        <v>28816.666666666668</v>
      </c>
      <c r="F8106" s="19">
        <v>1.05</v>
      </c>
      <c r="G8106" s="20">
        <f>+E8106*F8106</f>
        <v>30257.500000000004</v>
      </c>
      <c r="H8106" s="217" t="s">
        <v>838</v>
      </c>
    </row>
    <row r="8107" spans="1:8" ht="15">
      <c r="A8107" s="211" t="s">
        <v>489</v>
      </c>
      <c r="B8107" s="216" t="str">
        <f ca="1">_xlfn.CONCAT(B8100,A8107)</f>
        <v>AAE5F085-F</v>
      </c>
      <c r="C8107" s="17" t="str">
        <f>_xlfn.XLOOKUP(H8107,'Materiales unitario'!$A$1:$A$2500,'Materiales unitario'!B$1:B$2500,,0,1)</f>
        <v>Unión metálica ø1 1/4" EMT</v>
      </c>
      <c r="D8107" s="184" t="str">
        <f>_xlfn.XLOOKUP(H8107,'Materiales unitario'!A$1:A$2500,'Materiales unitario'!C$1:C$2500,,0,1)</f>
        <v>un</v>
      </c>
      <c r="E8107" s="197">
        <f>_xlfn.XLOOKUP(H8107,'Materiales unitario'!$A$1:$A$2500,'Materiales unitario'!D$1:D$2500,,0,1)</f>
        <v>4420</v>
      </c>
      <c r="F8107" s="19">
        <v>0.35</v>
      </c>
      <c r="G8107" s="20">
        <f>+E8107*F8107</f>
        <v>1547</v>
      </c>
      <c r="H8107" s="217" t="s">
        <v>839</v>
      </c>
    </row>
    <row r="8108" spans="1:8" ht="15">
      <c r="A8108" s="211" t="s">
        <v>490</v>
      </c>
      <c r="B8108" s="216" t="str">
        <f ca="1">_xlfn.CONCAT(B8100,A8108)</f>
        <v>AAE5F085-G</v>
      </c>
      <c r="C8108" s="17" t="str">
        <f>_xlfn.XLOOKUP(H8108,'Materiales unitario'!$A$1:$A$2500,'Materiales unitario'!B$1:B$2500,,0,1)</f>
        <v xml:space="preserve">Terminal metálico ø1 1/4" EMT </v>
      </c>
      <c r="D8108" s="184" t="str">
        <f>_xlfn.XLOOKUP(H8108,'Materiales unitario'!A$1:A$2500,'Materiales unitario'!C$1:C$2500,,0,1)</f>
        <v>un</v>
      </c>
      <c r="E8108" s="197">
        <f>_xlfn.XLOOKUP(H8108,'Materiales unitario'!$A$1:$A$2500,'Materiales unitario'!D$1:D$2500,,0,1)</f>
        <v>4612</v>
      </c>
      <c r="F8108" s="19">
        <v>0.1</v>
      </c>
      <c r="G8108" s="20">
        <f>+E8108*F8108</f>
        <v>461.20000000000005</v>
      </c>
      <c r="H8108" s="217" t="s">
        <v>840</v>
      </c>
    </row>
    <row r="8109" spans="1:8" ht="15">
      <c r="A8109" s="211" t="s">
        <v>491</v>
      </c>
      <c r="B8109" s="216" t="str">
        <f ca="1">_xlfn.CONCAT(B8100,A8109)</f>
        <v>AAE5F085-H</v>
      </c>
      <c r="C8109" s="17" t="str">
        <f>_xlfn.XLOOKUP(H8109,'Materiales unitario'!$A$1:$A$2500,'Materiales unitario'!B$1:B$2500,,0,1)</f>
        <v>Curva metálica ø1 1/4" EMT</v>
      </c>
      <c r="D8109" s="184" t="str">
        <f>_xlfn.XLOOKUP(H8109,'Materiales unitario'!A$1:A$2500,'Materiales unitario'!C$1:C$2500,,0,1)</f>
        <v>un</v>
      </c>
      <c r="E8109" s="197">
        <f>_xlfn.XLOOKUP(H8109,'Materiales unitario'!$A$1:$A$2500,'Materiales unitario'!D$1:D$2500,,0,1)</f>
        <v>7915</v>
      </c>
      <c r="F8109" s="19">
        <v>0.1</v>
      </c>
      <c r="G8109" s="20">
        <f>+E8109*F8109</f>
        <v>791.5</v>
      </c>
      <c r="H8109" s="217" t="s">
        <v>841</v>
      </c>
    </row>
    <row r="8110" spans="1:8" ht="15">
      <c r="A8110" s="211" t="s">
        <v>492</v>
      </c>
      <c r="B8110" s="216" t="str">
        <f ca="1">_xlfn.CONCAT(B8100,A8110)</f>
        <v>AAE5F085-I</v>
      </c>
      <c r="C8110" s="17" t="str">
        <f>_xlfn.XLOOKUP(H8110,'Materiales unitario'!$A$1:$A$2500,'Materiales unitario'!B$1:B$2500,,0,1)</f>
        <v>Soporte metalico 1 1/4"</v>
      </c>
      <c r="D8110" s="184" t="str">
        <f>_xlfn.XLOOKUP(H8110,'Materiales unitario'!A$1:A$2500,'Materiales unitario'!C$1:C$2500,,0,1)</f>
        <v>un</v>
      </c>
      <c r="E8110" s="197">
        <f>_xlfn.XLOOKUP(H8110,'Materiales unitario'!$A$1:$A$2500,'Materiales unitario'!D$1:D$2500,,0,1)</f>
        <v>3110</v>
      </c>
      <c r="F8110" s="19">
        <v>0.75</v>
      </c>
      <c r="G8110" s="20">
        <f>+E8110*F8110</f>
        <v>2332.5</v>
      </c>
      <c r="H8110" s="217" t="s">
        <v>769</v>
      </c>
    </row>
    <row r="8111" spans="1:8" ht="15">
      <c r="A8111" s="211" t="s">
        <v>493</v>
      </c>
      <c r="B8111" s="216" t="str">
        <f ca="1">_xlfn.CONCAT(B8100,A8111)</f>
        <v>AAE5F085-J</v>
      </c>
      <c r="C8111" s="17"/>
      <c r="D8111" s="184"/>
      <c r="E8111" s="197"/>
      <c r="F8111" s="19"/>
      <c r="G8111" s="20"/>
      <c r="H8111" s="217"/>
    </row>
    <row r="8112" spans="1:8" ht="15">
      <c r="A8112" s="211" t="s">
        <v>494</v>
      </c>
      <c r="B8112" s="216" t="str">
        <f ca="1">_xlfn.CONCAT(B8100,A8112)</f>
        <v>AAE5F085-K</v>
      </c>
      <c r="C8112" s="17"/>
      <c r="D8112" s="184"/>
      <c r="E8112" s="197"/>
      <c r="F8112" s="19"/>
      <c r="G8112" s="20"/>
      <c r="H8112" s="217"/>
    </row>
    <row r="8113" spans="1:8" ht="15">
      <c r="A8113" s="211" t="s">
        <v>495</v>
      </c>
      <c r="B8113" s="216" t="str">
        <f ca="1">_xlfn.CONCAT(B8100,A8113)</f>
        <v>AAE5F085-L</v>
      </c>
      <c r="C8113" s="17"/>
      <c r="D8113" s="184"/>
      <c r="E8113" s="197"/>
      <c r="F8113" s="19"/>
      <c r="G8113" s="20"/>
      <c r="H8113" s="217"/>
    </row>
    <row r="8114" spans="1:8" ht="15">
      <c r="A8114" s="211" t="s">
        <v>496</v>
      </c>
      <c r="B8114" s="216" t="str">
        <f ca="1">_xlfn.CONCAT(B8100,A8114)</f>
        <v>AAE5F085-M</v>
      </c>
      <c r="C8114" s="17"/>
      <c r="D8114" s="184"/>
      <c r="E8114" s="197"/>
      <c r="F8114" s="19"/>
      <c r="G8114" s="20"/>
      <c r="H8114" s="217"/>
    </row>
    <row r="8115" spans="1:8" ht="15">
      <c r="A8115" s="211" t="s">
        <v>497</v>
      </c>
      <c r="B8115" s="216" t="str">
        <f ca="1">_xlfn.CONCAT(B8100,A8115)</f>
        <v>AAE5F085-N</v>
      </c>
      <c r="C8115" s="17"/>
      <c r="D8115" s="184"/>
      <c r="E8115" s="197"/>
      <c r="F8115" s="19"/>
      <c r="G8115" s="20"/>
      <c r="H8115" s="217"/>
    </row>
    <row r="8116" spans="1:8">
      <c r="A8116" s="211" t="s">
        <v>498</v>
      </c>
      <c r="B8116" s="216" t="str">
        <f ca="1">_xlfn.CONCAT(B8100,A8116)</f>
        <v>AAE5F085-O</v>
      </c>
      <c r="C8116" s="17"/>
      <c r="D8116" s="184"/>
      <c r="E8116" s="197"/>
      <c r="F8116" s="19"/>
      <c r="G8116" s="20"/>
    </row>
    <row r="8117" spans="1:8">
      <c r="A8117" s="211" t="s">
        <v>499</v>
      </c>
      <c r="B8117" s="216" t="str">
        <f ca="1">_xlfn.CONCAT(B8100,A8117)</f>
        <v>AAE5F085-P</v>
      </c>
      <c r="C8117" s="17"/>
      <c r="D8117" s="184"/>
      <c r="E8117" s="197"/>
      <c r="F8117" s="19"/>
      <c r="G8117" s="20"/>
    </row>
    <row r="8118" spans="1:8">
      <c r="A8118" s="211" t="s">
        <v>500</v>
      </c>
      <c r="B8118" s="216" t="str">
        <f ca="1">_xlfn.CONCAT(B8100,A8118)</f>
        <v>AAE5F085-Q</v>
      </c>
      <c r="C8118" s="17"/>
      <c r="D8118" s="184"/>
      <c r="E8118" s="197"/>
      <c r="F8118" s="19"/>
      <c r="G8118" s="20"/>
    </row>
    <row r="8119" spans="1:8">
      <c r="A8119" s="211" t="s">
        <v>501</v>
      </c>
      <c r="B8119" s="216" t="str">
        <f ca="1">_xlfn.CONCAT(B8100,A8119)</f>
        <v>AAE5F085-R</v>
      </c>
      <c r="C8119" s="17"/>
      <c r="D8119" s="184"/>
      <c r="E8119" s="197"/>
      <c r="F8119" s="19"/>
      <c r="G8119" s="20"/>
    </row>
    <row r="8120" spans="1:8">
      <c r="A8120" s="211" t="s">
        <v>502</v>
      </c>
      <c r="B8120" s="216" t="str">
        <f ca="1">_xlfn.CONCAT(B8100,A8120)</f>
        <v>AAE5F085-S</v>
      </c>
      <c r="C8120" s="17"/>
      <c r="D8120" s="184"/>
      <c r="E8120" s="197"/>
      <c r="F8120" s="19"/>
      <c r="G8120" s="20"/>
    </row>
    <row r="8121" spans="1:8">
      <c r="A8121" s="211" t="s">
        <v>503</v>
      </c>
      <c r="B8121" s="216" t="str">
        <f ca="1">_xlfn.CONCAT(B8100,A8121)</f>
        <v>AAE5F085-T</v>
      </c>
      <c r="C8121" s="17"/>
      <c r="D8121" s="184"/>
      <c r="E8121" s="197"/>
      <c r="F8121" s="19"/>
      <c r="G8121" s="20"/>
    </row>
    <row r="8122" spans="1:8" ht="14.25" thickBot="1">
      <c r="A8122" s="211" t="s">
        <v>504</v>
      </c>
      <c r="B8122" s="216" t="str">
        <f ca="1">_xlfn.CONCAT(B8100,A8122)</f>
        <v>AAE5F085-U</v>
      </c>
      <c r="C8122" s="17"/>
      <c r="D8122" s="184"/>
      <c r="E8122" s="197"/>
      <c r="F8122" s="19"/>
      <c r="G8122" s="20"/>
    </row>
    <row r="8123" spans="1:8" ht="14.25" thickBot="1">
      <c r="A8123" s="211" t="s">
        <v>505</v>
      </c>
      <c r="B8123" s="216" t="str">
        <f ca="1">_xlfn.CONCAT(B8100,A8123)</f>
        <v>AAE5F085-V</v>
      </c>
      <c r="C8123" s="17" t="s">
        <v>17</v>
      </c>
      <c r="D8123" s="192" t="s">
        <v>17</v>
      </c>
      <c r="E8123" s="18"/>
      <c r="F8123" s="22" t="s">
        <v>18</v>
      </c>
      <c r="G8123" s="23">
        <f>SUM(G8102:G8122)</f>
        <v>91764.7</v>
      </c>
    </row>
    <row r="8124" spans="1:8" ht="15.75" thickBot="1">
      <c r="A8124" s="211" t="s">
        <v>506</v>
      </c>
      <c r="B8124" s="216" t="str">
        <f ca="1">_xlfn.CONCAT(B8100,A8124)</f>
        <v>AAE5F085-W</v>
      </c>
      <c r="C8124" s="10" t="s">
        <v>19</v>
      </c>
      <c r="D8124" s="190"/>
      <c r="E8124" s="11"/>
      <c r="F8124" s="12"/>
      <c r="G8124" s="13"/>
    </row>
    <row r="8125" spans="1:8" ht="14.25" thickBot="1">
      <c r="A8125" s="211" t="s">
        <v>507</v>
      </c>
      <c r="B8125" s="216" t="str">
        <f ca="1">_xlfn.CONCAT(B8100,A8125)</f>
        <v>AAE5F085-X</v>
      </c>
      <c r="C8125" s="14" t="s">
        <v>1</v>
      </c>
      <c r="D8125" s="15"/>
      <c r="E8125" s="15" t="s">
        <v>20</v>
      </c>
      <c r="F8125" s="16" t="s">
        <v>21</v>
      </c>
      <c r="G8125" s="15" t="s">
        <v>5</v>
      </c>
    </row>
    <row r="8126" spans="1:8">
      <c r="A8126" s="211" t="s">
        <v>508</v>
      </c>
      <c r="B8126" s="216" t="str">
        <f ca="1">_xlfn.CONCAT(B8100,A8126)</f>
        <v>AAE5F085-Y</v>
      </c>
      <c r="C8126" s="24" t="s">
        <v>22</v>
      </c>
      <c r="D8126" s="184"/>
      <c r="E8126" s="25">
        <f>_xlfn.XLOOKUP(C8126,'H-MO'!B$7:B$30,'H-MO'!D$7:D$30,,0,1)</f>
        <v>2436.5624999999995</v>
      </c>
      <c r="F8126" s="19">
        <v>0.5</v>
      </c>
      <c r="G8126" s="33">
        <f t="shared" ref="G8126:G8131" si="232">+E8126*F8126</f>
        <v>1218.2812499999998</v>
      </c>
      <c r="H8126" s="234"/>
    </row>
    <row r="8127" spans="1:8">
      <c r="A8127" s="211" t="s">
        <v>509</v>
      </c>
      <c r="B8127" s="216" t="str">
        <f ca="1">_xlfn.CONCAT(B8100,A8127)</f>
        <v>AAE5F085-Z</v>
      </c>
      <c r="C8127" s="24" t="s">
        <v>23</v>
      </c>
      <c r="D8127" s="184"/>
      <c r="E8127" s="25">
        <f>_xlfn.XLOOKUP(C8127,'H-MO'!B$7:B$30,'H-MO'!D$7:D$30,,0,1)</f>
        <v>1461.9374999999998</v>
      </c>
      <c r="F8127" s="19">
        <v>0.04</v>
      </c>
      <c r="G8127" s="33">
        <f t="shared" si="232"/>
        <v>58.477499999999992</v>
      </c>
      <c r="H8127" s="234"/>
    </row>
    <row r="8128" spans="1:8">
      <c r="A8128" s="211" t="s">
        <v>510</v>
      </c>
      <c r="B8128" s="216" t="str">
        <f ca="1">_xlfn.CONCAT(B8100,A8128)</f>
        <v>AAE5F085-aa</v>
      </c>
      <c r="C8128" s="24" t="s">
        <v>24</v>
      </c>
      <c r="D8128" s="185"/>
      <c r="E8128" s="25">
        <f>_xlfn.XLOOKUP(C8128,'H-MO'!B$7:B$30,'H-MO'!D$7:D$30,,0,1)</f>
        <v>29238.749999999996</v>
      </c>
      <c r="F8128" s="28">
        <v>0.1</v>
      </c>
      <c r="G8128" s="33">
        <f t="shared" si="232"/>
        <v>2923.875</v>
      </c>
      <c r="H8128" s="234"/>
    </row>
    <row r="8129" spans="1:8">
      <c r="A8129" s="211" t="s">
        <v>511</v>
      </c>
      <c r="B8129" s="216" t="str">
        <f ca="1">_xlfn.CONCAT(B8100,A8129)</f>
        <v>AAE5F085-ab</v>
      </c>
      <c r="C8129" s="24" t="s">
        <v>25</v>
      </c>
      <c r="D8129" s="185"/>
      <c r="E8129" s="25">
        <f>_xlfn.XLOOKUP(C8129,'H-MO'!B$7:B$30,'H-MO'!D$7:D$30,,0,1)</f>
        <v>2761.4374999999995</v>
      </c>
      <c r="F8129" s="28">
        <v>0.5</v>
      </c>
      <c r="G8129" s="33">
        <f t="shared" si="232"/>
        <v>1380.7187499999998</v>
      </c>
      <c r="H8129" s="234"/>
    </row>
    <row r="8130" spans="1:8">
      <c r="A8130" s="211" t="s">
        <v>512</v>
      </c>
      <c r="B8130" s="216" t="str">
        <f ca="1">_xlfn.CONCAT(B8100,A8130)</f>
        <v>AAE5F085-ac</v>
      </c>
      <c r="C8130" s="24"/>
      <c r="D8130" s="185"/>
      <c r="E8130" s="29"/>
      <c r="F8130" s="28"/>
      <c r="G8130" s="33">
        <f t="shared" si="232"/>
        <v>0</v>
      </c>
      <c r="H8130" s="234"/>
    </row>
    <row r="8131" spans="1:8" ht="14.25" thickBot="1">
      <c r="A8131" s="211" t="s">
        <v>513</v>
      </c>
      <c r="B8131" s="216" t="str">
        <f ca="1">_xlfn.CONCAT(B8100,A8131)</f>
        <v>AAE5F085-ad</v>
      </c>
      <c r="C8131" s="24"/>
      <c r="D8131" s="185"/>
      <c r="E8131" s="29"/>
      <c r="F8131" s="28"/>
      <c r="G8131" s="33">
        <f t="shared" si="232"/>
        <v>0</v>
      </c>
      <c r="H8131" s="234"/>
    </row>
    <row r="8132" spans="1:8" ht="14.25" thickBot="1">
      <c r="A8132" s="211" t="s">
        <v>514</v>
      </c>
      <c r="B8132" s="216" t="str">
        <f ca="1">_xlfn.CONCAT(B8100,A8132)</f>
        <v>AAE5F085-ae</v>
      </c>
      <c r="C8132" s="17"/>
      <c r="D8132" s="192"/>
      <c r="E8132" s="18"/>
      <c r="F8132" s="22" t="s">
        <v>26</v>
      </c>
      <c r="G8132" s="23">
        <f>SUM(G8126:G8131)</f>
        <v>5581.3525</v>
      </c>
      <c r="H8132" s="234"/>
    </row>
    <row r="8133" spans="1:8" ht="15.75" thickBot="1">
      <c r="A8133" s="211" t="s">
        <v>515</v>
      </c>
      <c r="B8133" s="216" t="str">
        <f ca="1">_xlfn.CONCAT(B8100,A8133)</f>
        <v>AAE5F085-af</v>
      </c>
      <c r="C8133" s="10" t="s">
        <v>27</v>
      </c>
      <c r="D8133" s="190"/>
      <c r="E8133" s="11"/>
      <c r="F8133" s="12"/>
      <c r="G8133" s="13"/>
      <c r="H8133" s="234"/>
    </row>
    <row r="8134" spans="1:8" ht="14.25" thickBot="1">
      <c r="A8134" s="211" t="s">
        <v>516</v>
      </c>
      <c r="B8134" s="216" t="str">
        <f ca="1">_xlfn.CONCAT(B8100,A8134)</f>
        <v>AAE5F085-ag</v>
      </c>
      <c r="C8134" s="14" t="s">
        <v>1</v>
      </c>
      <c r="D8134" s="15" t="s">
        <v>28</v>
      </c>
      <c r="E8134" s="15" t="s">
        <v>20</v>
      </c>
      <c r="F8134" s="16" t="s">
        <v>21</v>
      </c>
      <c r="G8134" s="15" t="s">
        <v>5</v>
      </c>
      <c r="H8134" s="234"/>
    </row>
    <row r="8135" spans="1:8">
      <c r="A8135" s="211" t="s">
        <v>517</v>
      </c>
      <c r="B8135" s="216" t="str">
        <f ca="1">_xlfn.CONCAT(B8100,A8135)</f>
        <v>AAE5F085-ah</v>
      </c>
      <c r="C8135" s="30" t="s">
        <v>29</v>
      </c>
      <c r="D8135" s="186">
        <f>'H-MO'!$N$77</f>
        <v>725918.52892505517</v>
      </c>
      <c r="E8135" s="31">
        <f>+D8135/8</f>
        <v>90739.816115631897</v>
      </c>
      <c r="F8135" s="32">
        <v>0.69</v>
      </c>
      <c r="G8135" s="33">
        <f>+E8135*F8135</f>
        <v>62610.473119786002</v>
      </c>
      <c r="H8135" s="234"/>
    </row>
    <row r="8136" spans="1:8">
      <c r="A8136" s="211" t="s">
        <v>518</v>
      </c>
      <c r="B8136" s="216" t="str">
        <f ca="1">_xlfn.CONCAT(B8100,A8136)</f>
        <v>AAE5F085-ai</v>
      </c>
      <c r="C8136" s="34" t="s">
        <v>30</v>
      </c>
      <c r="D8136" s="187">
        <f>'H-MO'!$N$86</f>
        <v>685561.39085756091</v>
      </c>
      <c r="E8136" s="29">
        <f>+D8136/8</f>
        <v>85695.173857195114</v>
      </c>
      <c r="F8136" s="28">
        <v>0</v>
      </c>
      <c r="G8136" s="33">
        <f>+E8136*F8136</f>
        <v>0</v>
      </c>
      <c r="H8136" s="234"/>
    </row>
    <row r="8137" spans="1:8" ht="14.25" thickBot="1">
      <c r="A8137" s="211" t="s">
        <v>519</v>
      </c>
      <c r="B8137" s="216" t="str">
        <f ca="1">_xlfn.CONCAT(B8100,A8137)</f>
        <v>AAE5F085-aj</v>
      </c>
      <c r="C8137" s="34"/>
      <c r="D8137" s="187"/>
      <c r="E8137" s="29"/>
      <c r="F8137" s="28"/>
      <c r="G8137" s="33">
        <f>+E8137*F8137</f>
        <v>0</v>
      </c>
    </row>
    <row r="8138" spans="1:8" ht="14.25" thickBot="1">
      <c r="A8138" s="211" t="s">
        <v>520</v>
      </c>
      <c r="B8138" s="216" t="str">
        <f ca="1">_xlfn.CONCAT(B8100,A8138)</f>
        <v>AAE5F085-ak</v>
      </c>
      <c r="C8138" s="34"/>
      <c r="D8138" s="185"/>
      <c r="E8138" s="26"/>
      <c r="F8138" s="36" t="s">
        <v>31</v>
      </c>
      <c r="G8138" s="23">
        <f>SUM(G8135:G8137)</f>
        <v>62610.473119786002</v>
      </c>
    </row>
    <row r="8139" spans="1:8" ht="14.25" thickBot="1">
      <c r="A8139" s="211" t="s">
        <v>521</v>
      </c>
      <c r="B8139" s="216" t="str">
        <f ca="1">_xlfn.CONCAT(B8100,A8139)</f>
        <v>AAE5F085-al</v>
      </c>
      <c r="C8139" s="37"/>
      <c r="E8139" s="38"/>
      <c r="F8139" s="22"/>
      <c r="G8139" s="39"/>
    </row>
    <row r="8140" spans="1:8" ht="16.5" thickBot="1">
      <c r="A8140" s="211" t="s">
        <v>522</v>
      </c>
      <c r="B8140" s="216" t="str">
        <f ca="1">_xlfn.CONCAT(B8100,A8140)</f>
        <v>AAE5F085-am</v>
      </c>
      <c r="C8140" s="40"/>
      <c r="D8140" s="193"/>
      <c r="E8140" s="41"/>
      <c r="F8140" s="42"/>
      <c r="G8140" s="43">
        <f>+G8123+G8132+G8138</f>
        <v>159956.525619786</v>
      </c>
    </row>
    <row r="8141" spans="1:8" ht="21.75" thickBot="1">
      <c r="B8141" s="212" t="s">
        <v>550</v>
      </c>
      <c r="C8141" s="2"/>
      <c r="D8141" s="183"/>
      <c r="F8141" s="4"/>
      <c r="G8141" s="5"/>
    </row>
    <row r="8142" spans="1:8" ht="18.75">
      <c r="A8142" s="213"/>
      <c r="B8142" s="214">
        <v>185</v>
      </c>
      <c r="C8142" s="242" t="str">
        <f ca="1">_xlfn.XLOOKUP(B8142,Cantidades!$A$10:$A$314,Cantidades!$C$10:$C$314,,0,1)</f>
        <v>Suministro e instalación de luminaria hermética 36 W, 6500 °K Sylvania P25609. Incluye tapa salida de cordón, prensaestopa, cable 3#16 AWG de cobre y demás elementos para su correcta instalación y fincionamiento.</v>
      </c>
      <c r="D8142" s="243"/>
      <c r="E8142" s="243"/>
      <c r="F8142" s="243"/>
      <c r="G8142" s="244"/>
      <c r="H8142" s="213"/>
    </row>
    <row r="8143" spans="1:8" ht="19.5" thickBot="1">
      <c r="A8143" s="215"/>
      <c r="B8143" s="216" t="s">
        <v>550</v>
      </c>
      <c r="C8143" s="177"/>
      <c r="D8143" s="189"/>
      <c r="E8143" s="178"/>
      <c r="F8143" s="179" t="s">
        <v>636</v>
      </c>
      <c r="G8143" s="209" t="str">
        <f ca="1">B8144</f>
        <v>2DB3B614-</v>
      </c>
      <c r="H8143" s="215"/>
    </row>
    <row r="8144" spans="1:8" ht="15.75" thickBot="1">
      <c r="B8144" s="212" t="str">
        <f ca="1">_xlfn.XLOOKUP(C8142,Cantidades!$C$1:$C$314,Cantidades!$B$1:$B$314,"",0,1)</f>
        <v>2DB3B614-</v>
      </c>
      <c r="C8144" s="10" t="s">
        <v>0</v>
      </c>
      <c r="D8144" s="190"/>
      <c r="E8144" s="11"/>
      <c r="F8144" s="12"/>
      <c r="G8144" s="13"/>
    </row>
    <row r="8145" spans="1:8" ht="14.25" thickBot="1">
      <c r="A8145" s="215"/>
      <c r="B8145" s="216" t="s">
        <v>550</v>
      </c>
      <c r="C8145" s="14" t="s">
        <v>1</v>
      </c>
      <c r="D8145" s="15" t="s">
        <v>2</v>
      </c>
      <c r="E8145" s="15" t="s">
        <v>3</v>
      </c>
      <c r="F8145" s="16" t="s">
        <v>4</v>
      </c>
      <c r="G8145" s="15" t="s">
        <v>5</v>
      </c>
      <c r="H8145" s="215"/>
    </row>
    <row r="8146" spans="1:8" ht="15">
      <c r="A8146" s="211" t="s">
        <v>484</v>
      </c>
      <c r="B8146" s="216" t="str">
        <f ca="1">_xlfn.CONCAT(B8144,A8146)</f>
        <v>2DB3B614-A</v>
      </c>
      <c r="C8146" s="17" t="str">
        <f>_xlfn.XLOOKUP(H8146,'Materiales unitario'!$A$1:$A$2500,'Materiales unitario'!B$1:B$2500,,0,1)</f>
        <v>Luminaria hermética Led 36 W, 6500 °K Sylvania P25609</v>
      </c>
      <c r="D8146" s="184" t="str">
        <f>_xlfn.XLOOKUP(H8146,'Materiales unitario'!A$1:A$2500,'Materiales unitario'!C$1:C$2500,,0,1)</f>
        <v>un</v>
      </c>
      <c r="E8146" s="197">
        <f>_xlfn.XLOOKUP(H8146,'Materiales unitario'!$A$1:$A$2500,'Materiales unitario'!D$1:D$2500,,0,1)</f>
        <v>89900</v>
      </c>
      <c r="F8146" s="19">
        <v>1</v>
      </c>
      <c r="G8146" s="20">
        <f>+E8146*F8146</f>
        <v>89900</v>
      </c>
      <c r="H8146" s="217" t="s">
        <v>1463</v>
      </c>
    </row>
    <row r="8147" spans="1:8" ht="15">
      <c r="A8147" s="211" t="s">
        <v>485</v>
      </c>
      <c r="B8147" s="216" t="str">
        <f ca="1">_xlfn.CONCAT(B8144,A8147)</f>
        <v>2DB3B614-B</v>
      </c>
      <c r="C8147" s="17" t="str">
        <f>_xlfn.XLOOKUP(H8147,'Materiales unitario'!$A$1:$A$2500,'Materiales unitario'!B$1:B$2500,,0,1)</f>
        <v>Conector de resorte naranja "N" 22-16 AWG</v>
      </c>
      <c r="D8147" s="184" t="str">
        <f>_xlfn.XLOOKUP(H8147,'Materiales unitario'!A$1:A$2500,'Materiales unitario'!C$1:C$2500,,0,1)</f>
        <v>un</v>
      </c>
      <c r="E8147" s="197">
        <f>_xlfn.XLOOKUP(H8147,'Materiales unitario'!$A$1:$A$2500,'Materiales unitario'!D$1:D$2500,,0,1)</f>
        <v>150</v>
      </c>
      <c r="F8147" s="19">
        <v>2</v>
      </c>
      <c r="G8147" s="20">
        <f>+E8147*F8147</f>
        <v>300</v>
      </c>
      <c r="H8147" s="217" t="s">
        <v>682</v>
      </c>
    </row>
    <row r="8148" spans="1:8" ht="15">
      <c r="A8148" s="211" t="s">
        <v>486</v>
      </c>
      <c r="B8148" s="216" t="str">
        <f ca="1">_xlfn.CONCAT(B8144,A8148)</f>
        <v>2DB3B614-C</v>
      </c>
      <c r="C8148" s="17" t="str">
        <f>_xlfn.XLOOKUP(H8148,'Materiales unitario'!$A$1:$A$2500,'Materiales unitario'!B$1:B$2500,,0,1)</f>
        <v>Cable flexible encauchetado ST-C 3x16 AWG</v>
      </c>
      <c r="D8148" s="184" t="str">
        <f>_xlfn.XLOOKUP(H8148,'Materiales unitario'!A$1:A$2500,'Materiales unitario'!C$1:C$2500,,0,1)</f>
        <v>ml</v>
      </c>
      <c r="E8148" s="197">
        <f>_xlfn.XLOOKUP(H8148,'Materiales unitario'!$A$1:$A$2500,'Materiales unitario'!D$1:D$2500,,0,1)</f>
        <v>4730</v>
      </c>
      <c r="F8148" s="19">
        <v>3</v>
      </c>
      <c r="G8148" s="20">
        <f>+E8148*F8148</f>
        <v>14190</v>
      </c>
      <c r="H8148" s="217" t="s">
        <v>278</v>
      </c>
    </row>
    <row r="8149" spans="1:8" ht="15">
      <c r="A8149" s="211" t="s">
        <v>487</v>
      </c>
      <c r="B8149" s="216" t="str">
        <f ca="1">_xlfn.CONCAT(B8144,A8149)</f>
        <v>2DB3B614-D</v>
      </c>
      <c r="C8149" s="17" t="str">
        <f>_xlfn.XLOOKUP(H8149,'Materiales unitario'!$A$1:$A$2500,'Materiales unitario'!B$1:B$2500,,0,1)</f>
        <v>Marquillas para circuito</v>
      </c>
      <c r="D8149" s="184" t="str">
        <f>_xlfn.XLOOKUP(H8149,'Materiales unitario'!A$1:A$2500,'Materiales unitario'!C$1:C$2500,,0,1)</f>
        <v>un</v>
      </c>
      <c r="E8149" s="197">
        <f>_xlfn.XLOOKUP(H8149,'Materiales unitario'!$A$1:$A$2500,'Materiales unitario'!D$1:D$2500,,0,1)</f>
        <v>1000</v>
      </c>
      <c r="F8149" s="19">
        <v>1</v>
      </c>
      <c r="G8149" s="20">
        <f>+E8149*F8149</f>
        <v>1000</v>
      </c>
      <c r="H8149" s="217" t="s">
        <v>339</v>
      </c>
    </row>
    <row r="8150" spans="1:8" ht="15">
      <c r="A8150" s="211" t="s">
        <v>488</v>
      </c>
      <c r="B8150" s="216" t="str">
        <f ca="1">_xlfn.CONCAT(B8144,A8150)</f>
        <v>2DB3B614-E</v>
      </c>
      <c r="C8150" s="17" t="str">
        <f>_xlfn.XLOOKUP(H8150,'Materiales unitario'!$A$1:$A$2500,'Materiales unitario'!B$1:B$2500,,0,1)</f>
        <v>Prensaestopa de 10 a 14 mm ø1/2"</v>
      </c>
      <c r="D8150" s="184" t="str">
        <f>_xlfn.XLOOKUP(H8150,'Materiales unitario'!A$1:A$2500,'Materiales unitario'!C$1:C$2500,,0,1)</f>
        <v>un</v>
      </c>
      <c r="E8150" s="197">
        <f>_xlfn.XLOOKUP(H8150,'Materiales unitario'!$A$1:$A$2500,'Materiales unitario'!D$1:D$2500,,0,1)</f>
        <v>1460</v>
      </c>
      <c r="F8150" s="19">
        <v>1</v>
      </c>
      <c r="G8150" s="20">
        <f>+E8150*F8150</f>
        <v>1460</v>
      </c>
      <c r="H8150" s="217" t="s">
        <v>351</v>
      </c>
    </row>
    <row r="8151" spans="1:8" ht="15">
      <c r="A8151" s="211" t="s">
        <v>489</v>
      </c>
      <c r="B8151" s="216" t="str">
        <f ca="1">_xlfn.CONCAT(B8144,A8151)</f>
        <v>2DB3B614-F</v>
      </c>
      <c r="C8151" s="17"/>
      <c r="D8151" s="184"/>
      <c r="E8151" s="197"/>
      <c r="F8151" s="19"/>
      <c r="G8151" s="20"/>
      <c r="H8151" s="217"/>
    </row>
    <row r="8152" spans="1:8" ht="15">
      <c r="A8152" s="211" t="s">
        <v>490</v>
      </c>
      <c r="B8152" s="216" t="str">
        <f ca="1">_xlfn.CONCAT(B8144,A8152)</f>
        <v>2DB3B614-G</v>
      </c>
      <c r="C8152" s="17"/>
      <c r="D8152" s="184"/>
      <c r="E8152" s="197"/>
      <c r="F8152" s="19"/>
      <c r="G8152" s="20"/>
      <c r="H8152" s="217"/>
    </row>
    <row r="8153" spans="1:8" ht="15">
      <c r="A8153" s="211" t="s">
        <v>491</v>
      </c>
      <c r="B8153" s="216" t="str">
        <f ca="1">_xlfn.CONCAT(B8144,A8153)</f>
        <v>2DB3B614-H</v>
      </c>
      <c r="C8153" s="17"/>
      <c r="D8153" s="184"/>
      <c r="E8153" s="197"/>
      <c r="F8153" s="19"/>
      <c r="G8153" s="20"/>
      <c r="H8153" s="217"/>
    </row>
    <row r="8154" spans="1:8" ht="15">
      <c r="A8154" s="211" t="s">
        <v>492</v>
      </c>
      <c r="B8154" s="216" t="str">
        <f ca="1">_xlfn.CONCAT(B8144,A8154)</f>
        <v>2DB3B614-I</v>
      </c>
      <c r="C8154" s="17"/>
      <c r="D8154" s="184"/>
      <c r="E8154" s="197"/>
      <c r="F8154" s="19"/>
      <c r="G8154" s="20"/>
      <c r="H8154" s="217"/>
    </row>
    <row r="8155" spans="1:8" ht="15">
      <c r="A8155" s="211" t="s">
        <v>493</v>
      </c>
      <c r="B8155" s="216" t="str">
        <f ca="1">_xlfn.CONCAT(B8144,A8155)</f>
        <v>2DB3B614-J</v>
      </c>
      <c r="C8155" s="17"/>
      <c r="D8155" s="184"/>
      <c r="E8155" s="197"/>
      <c r="F8155" s="19"/>
      <c r="G8155" s="20"/>
      <c r="H8155" s="217"/>
    </row>
    <row r="8156" spans="1:8" ht="15">
      <c r="A8156" s="211" t="s">
        <v>494</v>
      </c>
      <c r="B8156" s="216" t="str">
        <f ca="1">_xlfn.CONCAT(B8144,A8156)</f>
        <v>2DB3B614-K</v>
      </c>
      <c r="C8156" s="17"/>
      <c r="D8156" s="184"/>
      <c r="E8156" s="197"/>
      <c r="F8156" s="19"/>
      <c r="G8156" s="20"/>
      <c r="H8156" s="217"/>
    </row>
    <row r="8157" spans="1:8" ht="15">
      <c r="A8157" s="211" t="s">
        <v>495</v>
      </c>
      <c r="B8157" s="216" t="str">
        <f ca="1">_xlfn.CONCAT(B8144,A8157)</f>
        <v>2DB3B614-L</v>
      </c>
      <c r="C8157" s="17"/>
      <c r="D8157" s="184"/>
      <c r="E8157" s="197"/>
      <c r="F8157" s="19"/>
      <c r="G8157" s="20"/>
      <c r="H8157" s="217"/>
    </row>
    <row r="8158" spans="1:8" ht="15">
      <c r="A8158" s="211" t="s">
        <v>496</v>
      </c>
      <c r="B8158" s="216" t="str">
        <f ca="1">_xlfn.CONCAT(B8144,A8158)</f>
        <v>2DB3B614-M</v>
      </c>
      <c r="C8158" s="17"/>
      <c r="D8158" s="184"/>
      <c r="E8158" s="197"/>
      <c r="F8158" s="19"/>
      <c r="G8158" s="20"/>
      <c r="H8158" s="217"/>
    </row>
    <row r="8159" spans="1:8">
      <c r="A8159" s="211" t="s">
        <v>497</v>
      </c>
      <c r="B8159" s="216" t="str">
        <f ca="1">_xlfn.CONCAT(B8144,A8159)</f>
        <v>2DB3B614-N</v>
      </c>
      <c r="C8159" s="17"/>
      <c r="D8159" s="184"/>
      <c r="E8159" s="197"/>
      <c r="F8159" s="19"/>
      <c r="G8159" s="20"/>
    </row>
    <row r="8160" spans="1:8">
      <c r="A8160" s="211" t="s">
        <v>498</v>
      </c>
      <c r="B8160" s="216" t="str">
        <f ca="1">_xlfn.CONCAT(B8144,A8160)</f>
        <v>2DB3B614-O</v>
      </c>
      <c r="C8160" s="17"/>
      <c r="D8160" s="184"/>
      <c r="E8160" s="197"/>
      <c r="F8160" s="19"/>
      <c r="G8160" s="20"/>
    </row>
    <row r="8161" spans="1:8">
      <c r="A8161" s="211" t="s">
        <v>499</v>
      </c>
      <c r="B8161" s="216" t="str">
        <f ca="1">_xlfn.CONCAT(B8144,A8161)</f>
        <v>2DB3B614-P</v>
      </c>
      <c r="C8161" s="17"/>
      <c r="D8161" s="184"/>
      <c r="E8161" s="197"/>
      <c r="F8161" s="19"/>
      <c r="G8161" s="20"/>
    </row>
    <row r="8162" spans="1:8">
      <c r="A8162" s="211" t="s">
        <v>500</v>
      </c>
      <c r="B8162" s="216" t="str">
        <f ca="1">_xlfn.CONCAT(B8144,A8162)</f>
        <v>2DB3B614-Q</v>
      </c>
      <c r="C8162" s="17"/>
      <c r="D8162" s="184"/>
      <c r="E8162" s="197"/>
      <c r="F8162" s="19"/>
      <c r="G8162" s="20"/>
    </row>
    <row r="8163" spans="1:8">
      <c r="A8163" s="211" t="s">
        <v>501</v>
      </c>
      <c r="B8163" s="216" t="str">
        <f ca="1">_xlfn.CONCAT(B8144,A8163)</f>
        <v>2DB3B614-R</v>
      </c>
      <c r="C8163" s="17"/>
      <c r="D8163" s="184"/>
      <c r="E8163" s="197"/>
      <c r="F8163" s="19"/>
      <c r="G8163" s="20"/>
    </row>
    <row r="8164" spans="1:8">
      <c r="A8164" s="211" t="s">
        <v>502</v>
      </c>
      <c r="B8164" s="216" t="str">
        <f ca="1">_xlfn.CONCAT(B8144,A8164)</f>
        <v>2DB3B614-S</v>
      </c>
      <c r="C8164" s="17"/>
      <c r="D8164" s="184"/>
      <c r="E8164" s="197"/>
      <c r="F8164" s="19"/>
      <c r="G8164" s="20"/>
    </row>
    <row r="8165" spans="1:8">
      <c r="A8165" s="211" t="s">
        <v>503</v>
      </c>
      <c r="B8165" s="216" t="str">
        <f ca="1">_xlfn.CONCAT(B8144,A8165)</f>
        <v>2DB3B614-T</v>
      </c>
      <c r="C8165" s="17"/>
      <c r="D8165" s="184"/>
      <c r="E8165" s="197"/>
      <c r="F8165" s="19"/>
      <c r="G8165" s="20"/>
    </row>
    <row r="8166" spans="1:8" ht="14.25" thickBot="1">
      <c r="A8166" s="211" t="s">
        <v>504</v>
      </c>
      <c r="B8166" s="216" t="str">
        <f ca="1">_xlfn.CONCAT(B8144,A8166)</f>
        <v>2DB3B614-U</v>
      </c>
      <c r="C8166" s="17"/>
      <c r="D8166" s="184"/>
      <c r="E8166" s="197"/>
      <c r="F8166" s="19"/>
      <c r="G8166" s="20"/>
    </row>
    <row r="8167" spans="1:8" ht="14.25" thickBot="1">
      <c r="A8167" s="211" t="s">
        <v>505</v>
      </c>
      <c r="B8167" s="216" t="str">
        <f ca="1">_xlfn.CONCAT(B8144,A8167)</f>
        <v>2DB3B614-V</v>
      </c>
      <c r="C8167" s="17" t="s">
        <v>17</v>
      </c>
      <c r="D8167" s="192" t="s">
        <v>17</v>
      </c>
      <c r="E8167" s="18"/>
      <c r="F8167" s="22" t="s">
        <v>18</v>
      </c>
      <c r="G8167" s="23">
        <f>SUM(G8146:G8166)</f>
        <v>106850</v>
      </c>
    </row>
    <row r="8168" spans="1:8" ht="15.75" thickBot="1">
      <c r="A8168" s="211" t="s">
        <v>506</v>
      </c>
      <c r="B8168" s="216" t="str">
        <f ca="1">_xlfn.CONCAT(B8144,A8168)</f>
        <v>2DB3B614-W</v>
      </c>
      <c r="C8168" s="10" t="s">
        <v>19</v>
      </c>
      <c r="D8168" s="190"/>
      <c r="E8168" s="11"/>
      <c r="F8168" s="12"/>
      <c r="G8168" s="13"/>
    </row>
    <row r="8169" spans="1:8" ht="14.25" thickBot="1">
      <c r="A8169" s="211" t="s">
        <v>507</v>
      </c>
      <c r="B8169" s="216" t="str">
        <f ca="1">_xlfn.CONCAT(B8144,A8169)</f>
        <v>2DB3B614-X</v>
      </c>
      <c r="C8169" s="14" t="s">
        <v>1</v>
      </c>
      <c r="D8169" s="15"/>
      <c r="E8169" s="15" t="s">
        <v>20</v>
      </c>
      <c r="F8169" s="16" t="s">
        <v>21</v>
      </c>
      <c r="G8169" s="15" t="s">
        <v>5</v>
      </c>
      <c r="H8169" s="215"/>
    </row>
    <row r="8170" spans="1:8">
      <c r="A8170" s="211" t="s">
        <v>508</v>
      </c>
      <c r="B8170" s="216" t="str">
        <f ca="1">_xlfn.CONCAT(B8144,A8170)</f>
        <v>2DB3B614-Y</v>
      </c>
      <c r="C8170" s="24" t="s">
        <v>22</v>
      </c>
      <c r="D8170" s="184"/>
      <c r="E8170" s="25">
        <f>_xlfn.XLOOKUP(C8170,'H-MO'!B$7:B$30,'H-MO'!D$7:D$30,,0,1)</f>
        <v>2436.5624999999995</v>
      </c>
      <c r="F8170" s="19">
        <v>0.04</v>
      </c>
      <c r="G8170" s="33">
        <f t="shared" ref="G8170:G8175" si="233">+E8170*F8170</f>
        <v>97.462499999999977</v>
      </c>
    </row>
    <row r="8171" spans="1:8">
      <c r="A8171" s="211" t="s">
        <v>509</v>
      </c>
      <c r="B8171" s="216" t="str">
        <f ca="1">_xlfn.CONCAT(B8144,A8171)</f>
        <v>2DB3B614-Z</v>
      </c>
      <c r="C8171" s="24" t="s">
        <v>23</v>
      </c>
      <c r="D8171" s="184"/>
      <c r="E8171" s="25">
        <f>_xlfn.XLOOKUP(C8171,'H-MO'!B$7:B$30,'H-MO'!D$7:D$30,,0,1)</f>
        <v>1461.9374999999998</v>
      </c>
      <c r="F8171" s="19">
        <v>0.03</v>
      </c>
      <c r="G8171" s="33">
        <f t="shared" si="233"/>
        <v>43.858124999999994</v>
      </c>
    </row>
    <row r="8172" spans="1:8">
      <c r="A8172" s="211" t="s">
        <v>510</v>
      </c>
      <c r="B8172" s="216" t="str">
        <f ca="1">_xlfn.CONCAT(B8144,A8172)</f>
        <v>2DB3B614-aa</v>
      </c>
      <c r="C8172" s="24" t="s">
        <v>24</v>
      </c>
      <c r="D8172" s="185"/>
      <c r="E8172" s="25">
        <f>_xlfn.XLOOKUP(C8172,'H-MO'!B$7:B$30,'H-MO'!D$7:D$30,,0,1)</f>
        <v>29238.749999999996</v>
      </c>
      <c r="F8172" s="28">
        <v>7.0000000000000001E-3</v>
      </c>
      <c r="G8172" s="33">
        <f t="shared" si="233"/>
        <v>204.67124999999999</v>
      </c>
    </row>
    <row r="8173" spans="1:8">
      <c r="A8173" s="211" t="s">
        <v>511</v>
      </c>
      <c r="B8173" s="216" t="str">
        <f ca="1">_xlfn.CONCAT(B8144,A8173)</f>
        <v>2DB3B614-ab</v>
      </c>
      <c r="C8173" s="24" t="s">
        <v>25</v>
      </c>
      <c r="D8173" s="185"/>
      <c r="E8173" s="25">
        <f>_xlfn.XLOOKUP(C8173,'H-MO'!B$7:B$30,'H-MO'!D$7:D$30,,0,1)</f>
        <v>2761.4374999999995</v>
      </c>
      <c r="F8173" s="28">
        <v>0.6</v>
      </c>
      <c r="G8173" s="33">
        <f t="shared" si="233"/>
        <v>1656.8624999999997</v>
      </c>
    </row>
    <row r="8174" spans="1:8">
      <c r="A8174" s="211" t="s">
        <v>512</v>
      </c>
      <c r="B8174" s="216" t="str">
        <f ca="1">_xlfn.CONCAT(B8144,A8174)</f>
        <v>2DB3B614-ac</v>
      </c>
      <c r="C8174" s="24"/>
      <c r="D8174" s="185"/>
      <c r="E8174" s="29"/>
      <c r="F8174" s="28"/>
      <c r="G8174" s="33">
        <f t="shared" si="233"/>
        <v>0</v>
      </c>
    </row>
    <row r="8175" spans="1:8" ht="14.25" thickBot="1">
      <c r="A8175" s="211" t="s">
        <v>513</v>
      </c>
      <c r="B8175" s="216" t="str">
        <f ca="1">_xlfn.CONCAT(B8144,A8175)</f>
        <v>2DB3B614-ad</v>
      </c>
      <c r="C8175" s="24"/>
      <c r="D8175" s="185"/>
      <c r="E8175" s="29"/>
      <c r="F8175" s="28"/>
      <c r="G8175" s="33">
        <f t="shared" si="233"/>
        <v>0</v>
      </c>
    </row>
    <row r="8176" spans="1:8" ht="14.25" thickBot="1">
      <c r="A8176" s="211" t="s">
        <v>514</v>
      </c>
      <c r="B8176" s="216" t="str">
        <f ca="1">_xlfn.CONCAT(B8144,A8176)</f>
        <v>2DB3B614-ae</v>
      </c>
      <c r="C8176" s="17"/>
      <c r="D8176" s="192"/>
      <c r="E8176" s="18"/>
      <c r="F8176" s="22" t="s">
        <v>26</v>
      </c>
      <c r="G8176" s="23">
        <f>SUM(G8170:G8175)</f>
        <v>2002.8543749999997</v>
      </c>
    </row>
    <row r="8177" spans="1:8" ht="15.75" thickBot="1">
      <c r="A8177" s="211" t="s">
        <v>515</v>
      </c>
      <c r="B8177" s="216" t="str">
        <f ca="1">_xlfn.CONCAT(B8144,A8177)</f>
        <v>2DB3B614-af</v>
      </c>
      <c r="C8177" s="10" t="s">
        <v>27</v>
      </c>
      <c r="D8177" s="190"/>
      <c r="E8177" s="11"/>
      <c r="F8177" s="12"/>
      <c r="G8177" s="13"/>
    </row>
    <row r="8178" spans="1:8" ht="14.25" thickBot="1">
      <c r="A8178" s="211" t="s">
        <v>516</v>
      </c>
      <c r="B8178" s="216" t="str">
        <f ca="1">_xlfn.CONCAT(B8144,A8178)</f>
        <v>2DB3B614-ag</v>
      </c>
      <c r="C8178" s="14" t="s">
        <v>1</v>
      </c>
      <c r="D8178" s="15" t="s">
        <v>28</v>
      </c>
      <c r="E8178" s="15" t="s">
        <v>20</v>
      </c>
      <c r="F8178" s="16" t="s">
        <v>21</v>
      </c>
      <c r="G8178" s="15" t="s">
        <v>5</v>
      </c>
      <c r="H8178" s="215"/>
    </row>
    <row r="8179" spans="1:8">
      <c r="A8179" s="211" t="s">
        <v>517</v>
      </c>
      <c r="B8179" s="216" t="str">
        <f ca="1">_xlfn.CONCAT(B8144,A8179)</f>
        <v>2DB3B614-ah</v>
      </c>
      <c r="C8179" s="30" t="s">
        <v>29</v>
      </c>
      <c r="D8179" s="186">
        <f>'H-MO'!$N$77</f>
        <v>725918.52892505517</v>
      </c>
      <c r="E8179" s="31">
        <f>+D8179/8</f>
        <v>90739.816115631897</v>
      </c>
      <c r="F8179" s="32">
        <v>0.12</v>
      </c>
      <c r="G8179" s="33">
        <f>+E8179*F8179</f>
        <v>10888.777933875826</v>
      </c>
    </row>
    <row r="8180" spans="1:8">
      <c r="A8180" s="211" t="s">
        <v>518</v>
      </c>
      <c r="B8180" s="216" t="str">
        <f ca="1">_xlfn.CONCAT(B8144,A8180)</f>
        <v>2DB3B614-ai</v>
      </c>
      <c r="C8180" s="34" t="s">
        <v>30</v>
      </c>
      <c r="D8180" s="187">
        <f>'H-MO'!$N$86</f>
        <v>685561.39085756091</v>
      </c>
      <c r="E8180" s="29">
        <f>+D8180/8</f>
        <v>85695.173857195114</v>
      </c>
      <c r="F8180" s="28">
        <v>0</v>
      </c>
      <c r="G8180" s="33">
        <f>+E8180*F8180</f>
        <v>0</v>
      </c>
    </row>
    <row r="8181" spans="1:8" ht="14.25" thickBot="1">
      <c r="A8181" s="211" t="s">
        <v>519</v>
      </c>
      <c r="B8181" s="216" t="str">
        <f ca="1">_xlfn.CONCAT(B8144,A8181)</f>
        <v>2DB3B614-aj</v>
      </c>
      <c r="C8181" s="34"/>
      <c r="D8181" s="187"/>
      <c r="E8181" s="29"/>
      <c r="F8181" s="28"/>
      <c r="G8181" s="33">
        <f>+E8181*F8181</f>
        <v>0</v>
      </c>
    </row>
    <row r="8182" spans="1:8" ht="14.25" thickBot="1">
      <c r="A8182" s="211" t="s">
        <v>520</v>
      </c>
      <c r="B8182" s="216" t="str">
        <f ca="1">_xlfn.CONCAT(B8144,A8182)</f>
        <v>2DB3B614-ak</v>
      </c>
      <c r="C8182" s="34"/>
      <c r="D8182" s="185"/>
      <c r="E8182" s="26"/>
      <c r="F8182" s="36" t="s">
        <v>31</v>
      </c>
      <c r="G8182" s="23">
        <f>SUM(G8179:G8181)</f>
        <v>10888.777933875826</v>
      </c>
    </row>
    <row r="8183" spans="1:8" ht="14.25" thickBot="1">
      <c r="A8183" s="211" t="s">
        <v>521</v>
      </c>
      <c r="B8183" s="216" t="str">
        <f ca="1">_xlfn.CONCAT(B8144,A8183)</f>
        <v>2DB3B614-al</v>
      </c>
      <c r="C8183" s="37"/>
      <c r="E8183" s="38"/>
      <c r="F8183" s="22"/>
      <c r="G8183" s="39"/>
    </row>
    <row r="8184" spans="1:8" ht="16.5" thickBot="1">
      <c r="A8184" s="211" t="s">
        <v>522</v>
      </c>
      <c r="B8184" s="216" t="str">
        <f ca="1">_xlfn.CONCAT(B8144,A8184)</f>
        <v>2DB3B614-am</v>
      </c>
      <c r="C8184" s="40"/>
      <c r="D8184" s="193"/>
      <c r="E8184" s="41"/>
      <c r="F8184" s="42"/>
      <c r="G8184" s="43">
        <f>+G8167+G8176+G8182</f>
        <v>119741.63230887582</v>
      </c>
    </row>
    <row r="8185" spans="1:8" ht="21.75" thickBot="1">
      <c r="B8185" s="212" t="s">
        <v>550</v>
      </c>
      <c r="C8185" s="2"/>
      <c r="D8185" s="183"/>
      <c r="F8185" s="4"/>
      <c r="G8185" s="5"/>
    </row>
    <row r="8186" spans="1:8" ht="18.75">
      <c r="A8186" s="213"/>
      <c r="B8186" s="214">
        <v>186</v>
      </c>
      <c r="C8186" s="242" t="str">
        <f ca="1">_xlfn.XLOOKUP(B8186,Cantidades!$A$10:$A$314,Cantidades!$C$10:$C$314,,0,1)</f>
        <v>Suministro e instalación de luminaria LED PANEL SOBREPONER RD 18W, 6500 °K Sylvania p27180. Incluye tapa salida de cordón, prensaestopa, cable 3#16 AWG de cobre y demás elementos para su correcta instalación y fincionamiento.</v>
      </c>
      <c r="D8186" s="243"/>
      <c r="E8186" s="243"/>
      <c r="F8186" s="243"/>
      <c r="G8186" s="244"/>
      <c r="H8186" s="213"/>
    </row>
    <row r="8187" spans="1:8" ht="19.5" thickBot="1">
      <c r="A8187" s="215"/>
      <c r="B8187" s="216" t="s">
        <v>550</v>
      </c>
      <c r="C8187" s="177"/>
      <c r="D8187" s="189"/>
      <c r="E8187" s="178"/>
      <c r="F8187" s="179" t="s">
        <v>636</v>
      </c>
      <c r="G8187" s="209" t="str">
        <f ca="1">B8188</f>
        <v>39B90C95-</v>
      </c>
      <c r="H8187" s="215"/>
    </row>
    <row r="8188" spans="1:8" ht="15.75" thickBot="1">
      <c r="B8188" s="212" t="str">
        <f ca="1">_xlfn.XLOOKUP(C8186,Cantidades!$C$1:$C$314,Cantidades!$B$1:$B$314,"",0,1)</f>
        <v>39B90C95-</v>
      </c>
      <c r="C8188" s="10" t="s">
        <v>0</v>
      </c>
      <c r="D8188" s="190"/>
      <c r="E8188" s="11"/>
      <c r="F8188" s="12"/>
      <c r="G8188" s="13"/>
    </row>
    <row r="8189" spans="1:8" ht="14.25" thickBot="1">
      <c r="A8189" s="215"/>
      <c r="B8189" s="216" t="s">
        <v>550</v>
      </c>
      <c r="C8189" s="14" t="s">
        <v>1</v>
      </c>
      <c r="D8189" s="15" t="s">
        <v>2</v>
      </c>
      <c r="E8189" s="15" t="s">
        <v>3</v>
      </c>
      <c r="F8189" s="16" t="s">
        <v>4</v>
      </c>
      <c r="G8189" s="15" t="s">
        <v>5</v>
      </c>
      <c r="H8189" s="215"/>
    </row>
    <row r="8190" spans="1:8" ht="15">
      <c r="A8190" s="211" t="s">
        <v>484</v>
      </c>
      <c r="B8190" s="216" t="str">
        <f ca="1">_xlfn.CONCAT(B8188,A8190)</f>
        <v>39B90C95-A</v>
      </c>
      <c r="C8190" s="17" t="str">
        <f>_xlfn.XLOOKUP(H8190,'Materiales unitario'!$A$1:$A$2500,'Materiales unitario'!B$1:B$2500,,0,1)</f>
        <v>Luminaria Led PANEL SOBREPONER RD 18W, 6500 °K Sylvania p 27180</v>
      </c>
      <c r="D8190" s="184" t="str">
        <f>_xlfn.XLOOKUP(H8190,'Materiales unitario'!A$1:A$2500,'Materiales unitario'!C$1:C$2500,,0,1)</f>
        <v>un</v>
      </c>
      <c r="E8190" s="197">
        <f>_xlfn.XLOOKUP(H8190,'Materiales unitario'!$A$1:$A$2500,'Materiales unitario'!D$1:D$2500,,0,1)</f>
        <v>16340</v>
      </c>
      <c r="F8190" s="19">
        <v>1</v>
      </c>
      <c r="G8190" s="20">
        <f>+E8190*F8190</f>
        <v>16340</v>
      </c>
      <c r="H8190" s="217" t="s">
        <v>1467</v>
      </c>
    </row>
    <row r="8191" spans="1:8" ht="15">
      <c r="A8191" s="211" t="s">
        <v>485</v>
      </c>
      <c r="B8191" s="216" t="str">
        <f ca="1">_xlfn.CONCAT(B8188,A8191)</f>
        <v>39B90C95-B</v>
      </c>
      <c r="C8191" s="17" t="str">
        <f>_xlfn.XLOOKUP(H8191,'Materiales unitario'!$A$1:$A$2500,'Materiales unitario'!B$1:B$2500,,0,1)</f>
        <v>Conector de resorte naranja "N" 22-16 AWG</v>
      </c>
      <c r="D8191" s="184" t="str">
        <f>_xlfn.XLOOKUP(H8191,'Materiales unitario'!A$1:A$2500,'Materiales unitario'!C$1:C$2500,,0,1)</f>
        <v>un</v>
      </c>
      <c r="E8191" s="197">
        <f>_xlfn.XLOOKUP(H8191,'Materiales unitario'!$A$1:$A$2500,'Materiales unitario'!D$1:D$2500,,0,1)</f>
        <v>150</v>
      </c>
      <c r="F8191" s="19">
        <v>2</v>
      </c>
      <c r="G8191" s="20">
        <f>+E8191*F8191</f>
        <v>300</v>
      </c>
      <c r="H8191" s="217" t="s">
        <v>682</v>
      </c>
    </row>
    <row r="8192" spans="1:8" ht="15">
      <c r="A8192" s="211" t="s">
        <v>486</v>
      </c>
      <c r="B8192" s="216" t="str">
        <f ca="1">_xlfn.CONCAT(B8188,A8192)</f>
        <v>39B90C95-C</v>
      </c>
      <c r="C8192" s="17" t="str">
        <f>_xlfn.XLOOKUP(H8192,'Materiales unitario'!$A$1:$A$2500,'Materiales unitario'!B$1:B$2500,,0,1)</f>
        <v>Cable flexible encauchetado ST-C 3x16 AWG</v>
      </c>
      <c r="D8192" s="184" t="str">
        <f>_xlfn.XLOOKUP(H8192,'Materiales unitario'!A$1:A$2500,'Materiales unitario'!C$1:C$2500,,0,1)</f>
        <v>ml</v>
      </c>
      <c r="E8192" s="197">
        <f>_xlfn.XLOOKUP(H8192,'Materiales unitario'!$A$1:$A$2500,'Materiales unitario'!D$1:D$2500,,0,1)</f>
        <v>4730</v>
      </c>
      <c r="F8192" s="19">
        <v>3</v>
      </c>
      <c r="G8192" s="20">
        <f>+E8192*F8192</f>
        <v>14190</v>
      </c>
      <c r="H8192" s="217" t="s">
        <v>278</v>
      </c>
    </row>
    <row r="8193" spans="1:8" ht="15">
      <c r="A8193" s="211" t="s">
        <v>487</v>
      </c>
      <c r="B8193" s="216" t="str">
        <f ca="1">_xlfn.CONCAT(B8188,A8193)</f>
        <v>39B90C95-D</v>
      </c>
      <c r="C8193" s="17" t="str">
        <f>_xlfn.XLOOKUP(H8193,'Materiales unitario'!$A$1:$A$2500,'Materiales unitario'!B$1:B$2500,,0,1)</f>
        <v>Marquillas para circuito</v>
      </c>
      <c r="D8193" s="184" t="str">
        <f>_xlfn.XLOOKUP(H8193,'Materiales unitario'!A$1:A$2500,'Materiales unitario'!C$1:C$2500,,0,1)</f>
        <v>un</v>
      </c>
      <c r="E8193" s="197">
        <f>_xlfn.XLOOKUP(H8193,'Materiales unitario'!$A$1:$A$2500,'Materiales unitario'!D$1:D$2500,,0,1)</f>
        <v>1000</v>
      </c>
      <c r="F8193" s="19">
        <v>1</v>
      </c>
      <c r="G8193" s="20">
        <f>+E8193*F8193</f>
        <v>1000</v>
      </c>
      <c r="H8193" s="217" t="s">
        <v>339</v>
      </c>
    </row>
    <row r="8194" spans="1:8" ht="15">
      <c r="A8194" s="211" t="s">
        <v>488</v>
      </c>
      <c r="B8194" s="216" t="str">
        <f ca="1">_xlfn.CONCAT(B8188,A8194)</f>
        <v>39B90C95-E</v>
      </c>
      <c r="C8194" s="17" t="str">
        <f>_xlfn.XLOOKUP(H8194,'Materiales unitario'!$A$1:$A$2500,'Materiales unitario'!B$1:B$2500,,0,1)</f>
        <v>Prensaestopa de 10 a 14 mm ø1/2"</v>
      </c>
      <c r="D8194" s="184" t="str">
        <f>_xlfn.XLOOKUP(H8194,'Materiales unitario'!A$1:A$2500,'Materiales unitario'!C$1:C$2500,,0,1)</f>
        <v>un</v>
      </c>
      <c r="E8194" s="197">
        <f>_xlfn.XLOOKUP(H8194,'Materiales unitario'!$A$1:$A$2500,'Materiales unitario'!D$1:D$2500,,0,1)</f>
        <v>1460</v>
      </c>
      <c r="F8194" s="19">
        <v>1</v>
      </c>
      <c r="G8194" s="20">
        <f>+E8194*F8194</f>
        <v>1460</v>
      </c>
      <c r="H8194" s="217" t="s">
        <v>351</v>
      </c>
    </row>
    <row r="8195" spans="1:8" ht="15">
      <c r="A8195" s="211" t="s">
        <v>489</v>
      </c>
      <c r="B8195" s="216" t="str">
        <f ca="1">_xlfn.CONCAT(B8188,A8195)</f>
        <v>39B90C95-F</v>
      </c>
      <c r="C8195" s="17"/>
      <c r="D8195" s="184"/>
      <c r="E8195" s="197"/>
      <c r="F8195" s="19"/>
      <c r="G8195" s="20"/>
      <c r="H8195" s="217"/>
    </row>
    <row r="8196" spans="1:8" ht="15">
      <c r="A8196" s="211" t="s">
        <v>490</v>
      </c>
      <c r="B8196" s="216" t="str">
        <f ca="1">_xlfn.CONCAT(B8188,A8196)</f>
        <v>39B90C95-G</v>
      </c>
      <c r="C8196" s="17"/>
      <c r="D8196" s="184"/>
      <c r="E8196" s="197"/>
      <c r="F8196" s="19"/>
      <c r="G8196" s="20"/>
      <c r="H8196" s="217"/>
    </row>
    <row r="8197" spans="1:8" ht="15">
      <c r="A8197" s="211" t="s">
        <v>491</v>
      </c>
      <c r="B8197" s="216" t="str">
        <f ca="1">_xlfn.CONCAT(B8188,A8197)</f>
        <v>39B90C95-H</v>
      </c>
      <c r="C8197" s="17"/>
      <c r="D8197" s="184"/>
      <c r="E8197" s="197"/>
      <c r="F8197" s="19"/>
      <c r="G8197" s="20"/>
      <c r="H8197" s="217"/>
    </row>
    <row r="8198" spans="1:8" ht="15">
      <c r="A8198" s="211" t="s">
        <v>492</v>
      </c>
      <c r="B8198" s="216" t="str">
        <f ca="1">_xlfn.CONCAT(B8188,A8198)</f>
        <v>39B90C95-I</v>
      </c>
      <c r="C8198" s="17"/>
      <c r="D8198" s="184"/>
      <c r="E8198" s="197"/>
      <c r="F8198" s="19"/>
      <c r="G8198" s="20"/>
      <c r="H8198" s="217"/>
    </row>
    <row r="8199" spans="1:8" ht="15">
      <c r="A8199" s="211" t="s">
        <v>493</v>
      </c>
      <c r="B8199" s="216" t="str">
        <f ca="1">_xlfn.CONCAT(B8188,A8199)</f>
        <v>39B90C95-J</v>
      </c>
      <c r="C8199" s="17"/>
      <c r="D8199" s="184"/>
      <c r="E8199" s="197"/>
      <c r="F8199" s="19"/>
      <c r="G8199" s="20"/>
      <c r="H8199" s="217"/>
    </row>
    <row r="8200" spans="1:8" ht="15">
      <c r="A8200" s="211" t="s">
        <v>494</v>
      </c>
      <c r="B8200" s="216" t="str">
        <f ca="1">_xlfn.CONCAT(B8188,A8200)</f>
        <v>39B90C95-K</v>
      </c>
      <c r="C8200" s="17"/>
      <c r="D8200" s="184"/>
      <c r="E8200" s="197"/>
      <c r="F8200" s="19"/>
      <c r="G8200" s="20"/>
      <c r="H8200" s="217"/>
    </row>
    <row r="8201" spans="1:8" ht="15">
      <c r="A8201" s="211" t="s">
        <v>495</v>
      </c>
      <c r="B8201" s="216" t="str">
        <f ca="1">_xlfn.CONCAT(B8188,A8201)</f>
        <v>39B90C95-L</v>
      </c>
      <c r="C8201" s="17"/>
      <c r="D8201" s="184"/>
      <c r="E8201" s="197"/>
      <c r="F8201" s="19"/>
      <c r="G8201" s="20"/>
      <c r="H8201" s="217"/>
    </row>
    <row r="8202" spans="1:8" ht="15">
      <c r="A8202" s="211" t="s">
        <v>496</v>
      </c>
      <c r="B8202" s="216" t="str">
        <f ca="1">_xlfn.CONCAT(B8188,A8202)</f>
        <v>39B90C95-M</v>
      </c>
      <c r="C8202" s="17"/>
      <c r="D8202" s="184"/>
      <c r="E8202" s="197"/>
      <c r="F8202" s="19"/>
      <c r="G8202" s="20"/>
      <c r="H8202" s="217"/>
    </row>
    <row r="8203" spans="1:8">
      <c r="A8203" s="211" t="s">
        <v>497</v>
      </c>
      <c r="B8203" s="216" t="str">
        <f ca="1">_xlfn.CONCAT(B8188,A8203)</f>
        <v>39B90C95-N</v>
      </c>
      <c r="C8203" s="17"/>
      <c r="D8203" s="184"/>
      <c r="E8203" s="197"/>
      <c r="F8203" s="19"/>
      <c r="G8203" s="20"/>
    </row>
    <row r="8204" spans="1:8">
      <c r="A8204" s="211" t="s">
        <v>498</v>
      </c>
      <c r="B8204" s="216" t="str">
        <f ca="1">_xlfn.CONCAT(B8188,A8204)</f>
        <v>39B90C95-O</v>
      </c>
      <c r="C8204" s="17"/>
      <c r="D8204" s="184"/>
      <c r="E8204" s="197"/>
      <c r="F8204" s="19"/>
      <c r="G8204" s="20"/>
    </row>
    <row r="8205" spans="1:8">
      <c r="A8205" s="211" t="s">
        <v>499</v>
      </c>
      <c r="B8205" s="216" t="str">
        <f ca="1">_xlfn.CONCAT(B8188,A8205)</f>
        <v>39B90C95-P</v>
      </c>
      <c r="C8205" s="17"/>
      <c r="D8205" s="184"/>
      <c r="E8205" s="197"/>
      <c r="F8205" s="19"/>
      <c r="G8205" s="20"/>
    </row>
    <row r="8206" spans="1:8">
      <c r="A8206" s="211" t="s">
        <v>500</v>
      </c>
      <c r="B8206" s="216" t="str">
        <f ca="1">_xlfn.CONCAT(B8188,A8206)</f>
        <v>39B90C95-Q</v>
      </c>
      <c r="C8206" s="17"/>
      <c r="D8206" s="184"/>
      <c r="E8206" s="197"/>
      <c r="F8206" s="19"/>
      <c r="G8206" s="20"/>
    </row>
    <row r="8207" spans="1:8">
      <c r="A8207" s="211" t="s">
        <v>501</v>
      </c>
      <c r="B8207" s="216" t="str">
        <f ca="1">_xlfn.CONCAT(B8188,A8207)</f>
        <v>39B90C95-R</v>
      </c>
      <c r="C8207" s="17"/>
      <c r="D8207" s="184"/>
      <c r="E8207" s="197"/>
      <c r="F8207" s="19"/>
      <c r="G8207" s="20"/>
    </row>
    <row r="8208" spans="1:8">
      <c r="A8208" s="211" t="s">
        <v>502</v>
      </c>
      <c r="B8208" s="216" t="str">
        <f ca="1">_xlfn.CONCAT(B8188,A8208)</f>
        <v>39B90C95-S</v>
      </c>
      <c r="C8208" s="17"/>
      <c r="D8208" s="184"/>
      <c r="E8208" s="197"/>
      <c r="F8208" s="19"/>
      <c r="G8208" s="20"/>
    </row>
    <row r="8209" spans="1:8">
      <c r="A8209" s="211" t="s">
        <v>503</v>
      </c>
      <c r="B8209" s="216" t="str">
        <f ca="1">_xlfn.CONCAT(B8188,A8209)</f>
        <v>39B90C95-T</v>
      </c>
      <c r="C8209" s="17"/>
      <c r="D8209" s="184"/>
      <c r="E8209" s="197"/>
      <c r="F8209" s="19"/>
      <c r="G8209" s="20"/>
    </row>
    <row r="8210" spans="1:8" ht="14.25" thickBot="1">
      <c r="A8210" s="211" t="s">
        <v>504</v>
      </c>
      <c r="B8210" s="216" t="str">
        <f ca="1">_xlfn.CONCAT(B8188,A8210)</f>
        <v>39B90C95-U</v>
      </c>
      <c r="C8210" s="17"/>
      <c r="D8210" s="184"/>
      <c r="E8210" s="197"/>
      <c r="F8210" s="19"/>
      <c r="G8210" s="20"/>
    </row>
    <row r="8211" spans="1:8" ht="14.25" thickBot="1">
      <c r="A8211" s="211" t="s">
        <v>505</v>
      </c>
      <c r="B8211" s="216" t="str">
        <f ca="1">_xlfn.CONCAT(B8188,A8211)</f>
        <v>39B90C95-V</v>
      </c>
      <c r="C8211" s="17" t="s">
        <v>17</v>
      </c>
      <c r="D8211" s="192" t="s">
        <v>17</v>
      </c>
      <c r="E8211" s="18"/>
      <c r="F8211" s="22" t="s">
        <v>18</v>
      </c>
      <c r="G8211" s="23">
        <f>SUM(G8190:G8210)</f>
        <v>33290</v>
      </c>
    </row>
    <row r="8212" spans="1:8" ht="15.75" thickBot="1">
      <c r="A8212" s="211" t="s">
        <v>506</v>
      </c>
      <c r="B8212" s="216" t="str">
        <f ca="1">_xlfn.CONCAT(B8188,A8212)</f>
        <v>39B90C95-W</v>
      </c>
      <c r="C8212" s="10" t="s">
        <v>19</v>
      </c>
      <c r="D8212" s="190"/>
      <c r="E8212" s="11"/>
      <c r="F8212" s="12"/>
      <c r="G8212" s="13"/>
    </row>
    <row r="8213" spans="1:8" ht="14.25" thickBot="1">
      <c r="A8213" s="211" t="s">
        <v>507</v>
      </c>
      <c r="B8213" s="216" t="str">
        <f ca="1">_xlfn.CONCAT(B8188,A8213)</f>
        <v>39B90C95-X</v>
      </c>
      <c r="C8213" s="14" t="s">
        <v>1</v>
      </c>
      <c r="D8213" s="15"/>
      <c r="E8213" s="15" t="s">
        <v>20</v>
      </c>
      <c r="F8213" s="16" t="s">
        <v>21</v>
      </c>
      <c r="G8213" s="15" t="s">
        <v>5</v>
      </c>
      <c r="H8213" s="215"/>
    </row>
    <row r="8214" spans="1:8">
      <c r="A8214" s="211" t="s">
        <v>508</v>
      </c>
      <c r="B8214" s="216" t="str">
        <f ca="1">_xlfn.CONCAT(B8188,A8214)</f>
        <v>39B90C95-Y</v>
      </c>
      <c r="C8214" s="24" t="s">
        <v>22</v>
      </c>
      <c r="D8214" s="184"/>
      <c r="E8214" s="25">
        <f>_xlfn.XLOOKUP(C8214,'H-MO'!B$7:B$30,'H-MO'!D$7:D$30,,0,1)</f>
        <v>2436.5624999999995</v>
      </c>
      <c r="F8214" s="19">
        <v>0.04</v>
      </c>
      <c r="G8214" s="33">
        <f t="shared" ref="G8214:G8219" si="234">+E8214*F8214</f>
        <v>97.462499999999977</v>
      </c>
    </row>
    <row r="8215" spans="1:8">
      <c r="A8215" s="211" t="s">
        <v>509</v>
      </c>
      <c r="B8215" s="216" t="str">
        <f ca="1">_xlfn.CONCAT(B8188,A8215)</f>
        <v>39B90C95-Z</v>
      </c>
      <c r="C8215" s="24" t="s">
        <v>23</v>
      </c>
      <c r="D8215" s="184"/>
      <c r="E8215" s="25">
        <f>_xlfn.XLOOKUP(C8215,'H-MO'!B$7:B$30,'H-MO'!D$7:D$30,,0,1)</f>
        <v>1461.9374999999998</v>
      </c>
      <c r="F8215" s="19">
        <v>0.03</v>
      </c>
      <c r="G8215" s="33">
        <f t="shared" si="234"/>
        <v>43.858124999999994</v>
      </c>
    </row>
    <row r="8216" spans="1:8">
      <c r="A8216" s="211" t="s">
        <v>510</v>
      </c>
      <c r="B8216" s="216" t="str">
        <f ca="1">_xlfn.CONCAT(B8188,A8216)</f>
        <v>39B90C95-aa</v>
      </c>
      <c r="C8216" s="24" t="s">
        <v>24</v>
      </c>
      <c r="D8216" s="185"/>
      <c r="E8216" s="25">
        <f>_xlfn.XLOOKUP(C8216,'H-MO'!B$7:B$30,'H-MO'!D$7:D$30,,0,1)</f>
        <v>29238.749999999996</v>
      </c>
      <c r="F8216" s="28">
        <v>7.0000000000000001E-3</v>
      </c>
      <c r="G8216" s="33">
        <f t="shared" si="234"/>
        <v>204.67124999999999</v>
      </c>
    </row>
    <row r="8217" spans="1:8">
      <c r="A8217" s="211" t="s">
        <v>511</v>
      </c>
      <c r="B8217" s="216" t="str">
        <f ca="1">_xlfn.CONCAT(B8188,A8217)</f>
        <v>39B90C95-ab</v>
      </c>
      <c r="C8217" s="24" t="s">
        <v>25</v>
      </c>
      <c r="D8217" s="185"/>
      <c r="E8217" s="25">
        <f>_xlfn.XLOOKUP(C8217,'H-MO'!B$7:B$30,'H-MO'!D$7:D$30,,0,1)</f>
        <v>2761.4374999999995</v>
      </c>
      <c r="F8217" s="28">
        <v>0.1</v>
      </c>
      <c r="G8217" s="33">
        <f t="shared" si="234"/>
        <v>276.14374999999995</v>
      </c>
    </row>
    <row r="8218" spans="1:8">
      <c r="A8218" s="211" t="s">
        <v>512</v>
      </c>
      <c r="B8218" s="216" t="str">
        <f ca="1">_xlfn.CONCAT(B8188,A8218)</f>
        <v>39B90C95-ac</v>
      </c>
      <c r="C8218" s="24"/>
      <c r="D8218" s="185"/>
      <c r="E8218" s="29"/>
      <c r="F8218" s="28"/>
      <c r="G8218" s="33">
        <f t="shared" si="234"/>
        <v>0</v>
      </c>
    </row>
    <row r="8219" spans="1:8" ht="14.25" thickBot="1">
      <c r="A8219" s="211" t="s">
        <v>513</v>
      </c>
      <c r="B8219" s="216" t="str">
        <f ca="1">_xlfn.CONCAT(B8188,A8219)</f>
        <v>39B90C95-ad</v>
      </c>
      <c r="C8219" s="24"/>
      <c r="D8219" s="185"/>
      <c r="E8219" s="29"/>
      <c r="F8219" s="28"/>
      <c r="G8219" s="33">
        <f t="shared" si="234"/>
        <v>0</v>
      </c>
    </row>
    <row r="8220" spans="1:8" ht="14.25" thickBot="1">
      <c r="A8220" s="211" t="s">
        <v>514</v>
      </c>
      <c r="B8220" s="216" t="str">
        <f ca="1">_xlfn.CONCAT(B8188,A8220)</f>
        <v>39B90C95-ae</v>
      </c>
      <c r="C8220" s="17"/>
      <c r="D8220" s="192"/>
      <c r="E8220" s="18"/>
      <c r="F8220" s="22" t="s">
        <v>26</v>
      </c>
      <c r="G8220" s="23">
        <f>SUM(G8214:G8219)</f>
        <v>622.13562499999989</v>
      </c>
    </row>
    <row r="8221" spans="1:8" ht="15.75" thickBot="1">
      <c r="A8221" s="211" t="s">
        <v>515</v>
      </c>
      <c r="B8221" s="216" t="str">
        <f ca="1">_xlfn.CONCAT(B8188,A8221)</f>
        <v>39B90C95-af</v>
      </c>
      <c r="C8221" s="10" t="s">
        <v>27</v>
      </c>
      <c r="D8221" s="190"/>
      <c r="E8221" s="11"/>
      <c r="F8221" s="12"/>
      <c r="G8221" s="13"/>
    </row>
    <row r="8222" spans="1:8" ht="14.25" thickBot="1">
      <c r="A8222" s="211" t="s">
        <v>516</v>
      </c>
      <c r="B8222" s="216" t="str">
        <f ca="1">_xlfn.CONCAT(B8188,A8222)</f>
        <v>39B90C95-ag</v>
      </c>
      <c r="C8222" s="14" t="s">
        <v>1</v>
      </c>
      <c r="D8222" s="15" t="s">
        <v>28</v>
      </c>
      <c r="E8222" s="15" t="s">
        <v>20</v>
      </c>
      <c r="F8222" s="16" t="s">
        <v>21</v>
      </c>
      <c r="G8222" s="15" t="s">
        <v>5</v>
      </c>
      <c r="H8222" s="215"/>
    </row>
    <row r="8223" spans="1:8">
      <c r="A8223" s="211" t="s">
        <v>517</v>
      </c>
      <c r="B8223" s="216" t="str">
        <f ca="1">_xlfn.CONCAT(B8188,A8223)</f>
        <v>39B90C95-ah</v>
      </c>
      <c r="C8223" s="30" t="s">
        <v>29</v>
      </c>
      <c r="D8223" s="186">
        <f>'H-MO'!$N$77</f>
        <v>725918.52892505517</v>
      </c>
      <c r="E8223" s="31">
        <f>+D8223/8</f>
        <v>90739.816115631897</v>
      </c>
      <c r="F8223" s="32">
        <v>0.1</v>
      </c>
      <c r="G8223" s="33">
        <f>+E8223*F8223</f>
        <v>9073.9816115631893</v>
      </c>
    </row>
    <row r="8224" spans="1:8">
      <c r="A8224" s="211" t="s">
        <v>518</v>
      </c>
      <c r="B8224" s="216" t="str">
        <f ca="1">_xlfn.CONCAT(B8188,A8224)</f>
        <v>39B90C95-ai</v>
      </c>
      <c r="C8224" s="34" t="s">
        <v>30</v>
      </c>
      <c r="D8224" s="187">
        <f>'H-MO'!$N$86</f>
        <v>685561.39085756091</v>
      </c>
      <c r="E8224" s="29">
        <f>+D8224/8</f>
        <v>85695.173857195114</v>
      </c>
      <c r="F8224" s="28">
        <v>0</v>
      </c>
      <c r="G8224" s="33">
        <f>+E8224*F8224</f>
        <v>0</v>
      </c>
    </row>
    <row r="8225" spans="1:8" ht="14.25" thickBot="1">
      <c r="A8225" s="211" t="s">
        <v>519</v>
      </c>
      <c r="B8225" s="216" t="str">
        <f ca="1">_xlfn.CONCAT(B8188,A8225)</f>
        <v>39B90C95-aj</v>
      </c>
      <c r="C8225" s="34"/>
      <c r="D8225" s="187"/>
      <c r="E8225" s="29"/>
      <c r="F8225" s="28"/>
      <c r="G8225" s="33">
        <f>+E8225*F8225</f>
        <v>0</v>
      </c>
    </row>
    <row r="8226" spans="1:8" ht="14.25" thickBot="1">
      <c r="A8226" s="211" t="s">
        <v>520</v>
      </c>
      <c r="B8226" s="216" t="str">
        <f ca="1">_xlfn.CONCAT(B8188,A8226)</f>
        <v>39B90C95-ak</v>
      </c>
      <c r="C8226" s="34"/>
      <c r="D8226" s="185"/>
      <c r="E8226" s="26"/>
      <c r="F8226" s="36" t="s">
        <v>31</v>
      </c>
      <c r="G8226" s="23">
        <f>SUM(G8223:G8225)</f>
        <v>9073.9816115631893</v>
      </c>
    </row>
    <row r="8227" spans="1:8" ht="14.25" thickBot="1">
      <c r="A8227" s="211" t="s">
        <v>521</v>
      </c>
      <c r="B8227" s="216" t="str">
        <f ca="1">_xlfn.CONCAT(B8188,A8227)</f>
        <v>39B90C95-al</v>
      </c>
      <c r="C8227" s="37"/>
      <c r="E8227" s="38"/>
      <c r="F8227" s="22"/>
      <c r="G8227" s="39"/>
    </row>
    <row r="8228" spans="1:8" ht="16.5" thickBot="1">
      <c r="A8228" s="211" t="s">
        <v>522</v>
      </c>
      <c r="B8228" s="216" t="str">
        <f ca="1">_xlfn.CONCAT(B8188,A8228)</f>
        <v>39B90C95-am</v>
      </c>
      <c r="C8228" s="40"/>
      <c r="D8228" s="193"/>
      <c r="E8228" s="41"/>
      <c r="F8228" s="42"/>
      <c r="G8228" s="43">
        <f>+G8211+G8220+G8226</f>
        <v>42986.117236563194</v>
      </c>
    </row>
    <row r="8229" spans="1:8" ht="21.75" thickBot="1">
      <c r="B8229" s="212" t="s">
        <v>550</v>
      </c>
      <c r="C8229" s="2"/>
      <c r="D8229" s="183"/>
      <c r="F8229" s="4"/>
      <c r="G8229" s="5"/>
    </row>
    <row r="8230" spans="1:8" ht="18.75">
      <c r="A8230" s="213"/>
      <c r="B8230" s="214">
        <v>187</v>
      </c>
      <c r="C8230" s="242" t="str">
        <f ca="1">_xlfn.XLOOKUP(B8230,Cantidades!$A$10:$A$314,Cantidades!$C$10:$C$314,,0,1)</f>
        <v>Suministro e instalación de luminaria LED MINO 60 CIRCLE 1000. Incluye tapa salida de cordón, prensaestopa, cable 3#16 AWG de cobre y demás elementos para su correcta instalación y fincionamiento.</v>
      </c>
      <c r="D8230" s="243"/>
      <c r="E8230" s="243"/>
      <c r="F8230" s="243"/>
      <c r="G8230" s="244"/>
      <c r="H8230" s="213"/>
    </row>
    <row r="8231" spans="1:8" ht="19.5" thickBot="1">
      <c r="A8231" s="215"/>
      <c r="B8231" s="216" t="s">
        <v>550</v>
      </c>
      <c r="C8231" s="177"/>
      <c r="D8231" s="189"/>
      <c r="E8231" s="178"/>
      <c r="F8231" s="179" t="s">
        <v>636</v>
      </c>
      <c r="G8231" s="209" t="str">
        <f ca="1">B8232</f>
        <v>24AE92-</v>
      </c>
      <c r="H8231" s="215"/>
    </row>
    <row r="8232" spans="1:8" ht="15.75" thickBot="1">
      <c r="B8232" s="212" t="str">
        <f ca="1">_xlfn.XLOOKUP(C8230,Cantidades!$C$1:$C$314,Cantidades!$B$1:$B$314,"",0,1)</f>
        <v>24AE92-</v>
      </c>
      <c r="C8232" s="10" t="s">
        <v>0</v>
      </c>
      <c r="D8232" s="190"/>
      <c r="E8232" s="11"/>
      <c r="F8232" s="12"/>
      <c r="G8232" s="13"/>
    </row>
    <row r="8233" spans="1:8" ht="14.25" thickBot="1">
      <c r="A8233" s="215"/>
      <c r="B8233" s="216" t="s">
        <v>550</v>
      </c>
      <c r="C8233" s="14" t="s">
        <v>1</v>
      </c>
      <c r="D8233" s="15" t="s">
        <v>2</v>
      </c>
      <c r="E8233" s="15" t="s">
        <v>3</v>
      </c>
      <c r="F8233" s="16" t="s">
        <v>4</v>
      </c>
      <c r="G8233" s="15" t="s">
        <v>5</v>
      </c>
      <c r="H8233" s="215"/>
    </row>
    <row r="8234" spans="1:8" ht="15">
      <c r="A8234" s="211" t="s">
        <v>484</v>
      </c>
      <c r="B8234" s="216" t="str">
        <f ca="1">_xlfn.CONCAT(B8232,A8234)</f>
        <v>24AE92-A</v>
      </c>
      <c r="C8234" s="17" t="str">
        <f>_xlfn.XLOOKUP(H8234,'Materiales unitario'!$A$1:$A$2500,'Materiales unitario'!B$1:B$2500,,0,1)</f>
        <v>Luminaria Led MINO 60 CIRCLE 1000</v>
      </c>
      <c r="D8234" s="184" t="str">
        <f>_xlfn.XLOOKUP(H8234,'Materiales unitario'!A$1:A$2500,'Materiales unitario'!C$1:C$2500,,0,1)</f>
        <v>un</v>
      </c>
      <c r="E8234" s="197">
        <f>_xlfn.XLOOKUP(H8234,'Materiales unitario'!$A$1:$A$2500,'Materiales unitario'!D$1:D$2500,,0,1)</f>
        <v>3874600</v>
      </c>
      <c r="F8234" s="19">
        <v>1</v>
      </c>
      <c r="G8234" s="20">
        <f>+E8234*F8234</f>
        <v>3874600</v>
      </c>
      <c r="H8234" s="217" t="s">
        <v>1470</v>
      </c>
    </row>
    <row r="8235" spans="1:8" ht="15">
      <c r="A8235" s="211" t="s">
        <v>485</v>
      </c>
      <c r="B8235" s="216" t="str">
        <f ca="1">_xlfn.CONCAT(B8232,A8235)</f>
        <v>24AE92-B</v>
      </c>
      <c r="C8235" s="17" t="str">
        <f>_xlfn.XLOOKUP(H8235,'Materiales unitario'!$A$1:$A$2500,'Materiales unitario'!B$1:B$2500,,0,1)</f>
        <v>Conector de resorte naranja "N" 22-16 AWG</v>
      </c>
      <c r="D8235" s="184" t="str">
        <f>_xlfn.XLOOKUP(H8235,'Materiales unitario'!A$1:A$2500,'Materiales unitario'!C$1:C$2500,,0,1)</f>
        <v>un</v>
      </c>
      <c r="E8235" s="197">
        <f>_xlfn.XLOOKUP(H8235,'Materiales unitario'!$A$1:$A$2500,'Materiales unitario'!D$1:D$2500,,0,1)</f>
        <v>150</v>
      </c>
      <c r="F8235" s="19">
        <v>4</v>
      </c>
      <c r="G8235" s="20">
        <f>+E8235*F8235</f>
        <v>600</v>
      </c>
      <c r="H8235" s="217" t="s">
        <v>682</v>
      </c>
    </row>
    <row r="8236" spans="1:8" ht="15">
      <c r="A8236" s="211" t="s">
        <v>486</v>
      </c>
      <c r="B8236" s="216" t="str">
        <f ca="1">_xlfn.CONCAT(B8232,A8236)</f>
        <v>24AE92-C</v>
      </c>
      <c r="C8236" s="17" t="str">
        <f>_xlfn.XLOOKUP(H8236,'Materiales unitario'!$A$1:$A$2500,'Materiales unitario'!B$1:B$2500,,0,1)</f>
        <v>Cable flexible encauchetado ST-C 3x16 AWG</v>
      </c>
      <c r="D8236" s="184" t="str">
        <f>_xlfn.XLOOKUP(H8236,'Materiales unitario'!A$1:A$2500,'Materiales unitario'!C$1:C$2500,,0,1)</f>
        <v>ml</v>
      </c>
      <c r="E8236" s="197">
        <f>_xlfn.XLOOKUP(H8236,'Materiales unitario'!$A$1:$A$2500,'Materiales unitario'!D$1:D$2500,,0,1)</f>
        <v>4730</v>
      </c>
      <c r="F8236" s="19">
        <v>7</v>
      </c>
      <c r="G8236" s="20">
        <f>+E8236*F8236</f>
        <v>33110</v>
      </c>
      <c r="H8236" s="217" t="s">
        <v>278</v>
      </c>
    </row>
    <row r="8237" spans="1:8" ht="15">
      <c r="A8237" s="211" t="s">
        <v>487</v>
      </c>
      <c r="B8237" s="216" t="str">
        <f ca="1">_xlfn.CONCAT(B8232,A8237)</f>
        <v>24AE92-D</v>
      </c>
      <c r="C8237" s="17" t="str">
        <f>_xlfn.XLOOKUP(H8237,'Materiales unitario'!$A$1:$A$2500,'Materiales unitario'!B$1:B$2500,,0,1)</f>
        <v>Marquillas para circuito</v>
      </c>
      <c r="D8237" s="184" t="str">
        <f>_xlfn.XLOOKUP(H8237,'Materiales unitario'!A$1:A$2500,'Materiales unitario'!C$1:C$2500,,0,1)</f>
        <v>un</v>
      </c>
      <c r="E8237" s="197">
        <f>_xlfn.XLOOKUP(H8237,'Materiales unitario'!$A$1:$A$2500,'Materiales unitario'!D$1:D$2500,,0,1)</f>
        <v>1000</v>
      </c>
      <c r="F8237" s="19">
        <v>1</v>
      </c>
      <c r="G8237" s="20">
        <f>+E8237*F8237</f>
        <v>1000</v>
      </c>
      <c r="H8237" s="217" t="s">
        <v>339</v>
      </c>
    </row>
    <row r="8238" spans="1:8" ht="15">
      <c r="A8238" s="211" t="s">
        <v>488</v>
      </c>
      <c r="B8238" s="216" t="str">
        <f ca="1">_xlfn.CONCAT(B8232,A8238)</f>
        <v>24AE92-E</v>
      </c>
      <c r="C8238" s="17" t="str">
        <f>_xlfn.XLOOKUP(H8238,'Materiales unitario'!$A$1:$A$2500,'Materiales unitario'!B$1:B$2500,,0,1)</f>
        <v>Prensaestopa de 10 a 14 mm ø1/2"</v>
      </c>
      <c r="D8238" s="184" t="str">
        <f>_xlfn.XLOOKUP(H8238,'Materiales unitario'!A$1:A$2500,'Materiales unitario'!C$1:C$2500,,0,1)</f>
        <v>un</v>
      </c>
      <c r="E8238" s="197">
        <f>_xlfn.XLOOKUP(H8238,'Materiales unitario'!$A$1:$A$2500,'Materiales unitario'!D$1:D$2500,,0,1)</f>
        <v>1460</v>
      </c>
      <c r="F8238" s="19">
        <v>2</v>
      </c>
      <c r="G8238" s="20">
        <f>+E8238*F8238</f>
        <v>2920</v>
      </c>
      <c r="H8238" s="217" t="s">
        <v>351</v>
      </c>
    </row>
    <row r="8239" spans="1:8" ht="15">
      <c r="A8239" s="211" t="s">
        <v>489</v>
      </c>
      <c r="B8239" s="216" t="str">
        <f ca="1">_xlfn.CONCAT(B8232,A8239)</f>
        <v>24AE92-F</v>
      </c>
      <c r="C8239" s="17"/>
      <c r="D8239" s="184"/>
      <c r="E8239" s="197"/>
      <c r="F8239" s="19"/>
      <c r="G8239" s="20"/>
      <c r="H8239" s="217"/>
    </row>
    <row r="8240" spans="1:8" ht="15">
      <c r="A8240" s="211" t="s">
        <v>490</v>
      </c>
      <c r="B8240" s="216" t="str">
        <f ca="1">_xlfn.CONCAT(B8232,A8240)</f>
        <v>24AE92-G</v>
      </c>
      <c r="C8240" s="17"/>
      <c r="D8240" s="184"/>
      <c r="E8240" s="197"/>
      <c r="F8240" s="19"/>
      <c r="G8240" s="20"/>
      <c r="H8240" s="217"/>
    </row>
    <row r="8241" spans="1:8" ht="15">
      <c r="A8241" s="211" t="s">
        <v>491</v>
      </c>
      <c r="B8241" s="216" t="str">
        <f ca="1">_xlfn.CONCAT(B8232,A8241)</f>
        <v>24AE92-H</v>
      </c>
      <c r="C8241" s="17"/>
      <c r="D8241" s="184"/>
      <c r="E8241" s="197"/>
      <c r="F8241" s="19"/>
      <c r="G8241" s="20"/>
      <c r="H8241" s="217"/>
    </row>
    <row r="8242" spans="1:8" ht="15">
      <c r="A8242" s="211" t="s">
        <v>492</v>
      </c>
      <c r="B8242" s="216" t="str">
        <f ca="1">_xlfn.CONCAT(B8232,A8242)</f>
        <v>24AE92-I</v>
      </c>
      <c r="C8242" s="17"/>
      <c r="D8242" s="184"/>
      <c r="E8242" s="197"/>
      <c r="F8242" s="19"/>
      <c r="G8242" s="20"/>
      <c r="H8242" s="217"/>
    </row>
    <row r="8243" spans="1:8" ht="15">
      <c r="A8243" s="211" t="s">
        <v>493</v>
      </c>
      <c r="B8243" s="216" t="str">
        <f ca="1">_xlfn.CONCAT(B8232,A8243)</f>
        <v>24AE92-J</v>
      </c>
      <c r="C8243" s="17"/>
      <c r="D8243" s="184"/>
      <c r="E8243" s="197"/>
      <c r="F8243" s="19"/>
      <c r="G8243" s="20"/>
      <c r="H8243" s="217"/>
    </row>
    <row r="8244" spans="1:8" ht="15">
      <c r="A8244" s="211" t="s">
        <v>494</v>
      </c>
      <c r="B8244" s="216" t="str">
        <f ca="1">_xlfn.CONCAT(B8232,A8244)</f>
        <v>24AE92-K</v>
      </c>
      <c r="C8244" s="17"/>
      <c r="D8244" s="184"/>
      <c r="E8244" s="197"/>
      <c r="F8244" s="19"/>
      <c r="G8244" s="20"/>
      <c r="H8244" s="217"/>
    </row>
    <row r="8245" spans="1:8" ht="15">
      <c r="A8245" s="211" t="s">
        <v>495</v>
      </c>
      <c r="B8245" s="216" t="str">
        <f ca="1">_xlfn.CONCAT(B8232,A8245)</f>
        <v>24AE92-L</v>
      </c>
      <c r="C8245" s="17"/>
      <c r="D8245" s="184"/>
      <c r="E8245" s="197"/>
      <c r="F8245" s="19"/>
      <c r="G8245" s="20"/>
      <c r="H8245" s="217"/>
    </row>
    <row r="8246" spans="1:8" ht="15">
      <c r="A8246" s="211" t="s">
        <v>496</v>
      </c>
      <c r="B8246" s="216" t="str">
        <f ca="1">_xlfn.CONCAT(B8232,A8246)</f>
        <v>24AE92-M</v>
      </c>
      <c r="C8246" s="17"/>
      <c r="D8246" s="184"/>
      <c r="E8246" s="197"/>
      <c r="F8246" s="19"/>
      <c r="G8246" s="20"/>
      <c r="H8246" s="217"/>
    </row>
    <row r="8247" spans="1:8">
      <c r="A8247" s="211" t="s">
        <v>497</v>
      </c>
      <c r="B8247" s="216" t="str">
        <f ca="1">_xlfn.CONCAT(B8232,A8247)</f>
        <v>24AE92-N</v>
      </c>
      <c r="C8247" s="17"/>
      <c r="D8247" s="184"/>
      <c r="E8247" s="197"/>
      <c r="F8247" s="19"/>
      <c r="G8247" s="20"/>
    </row>
    <row r="8248" spans="1:8">
      <c r="A8248" s="211" t="s">
        <v>498</v>
      </c>
      <c r="B8248" s="216" t="str">
        <f ca="1">_xlfn.CONCAT(B8232,A8248)</f>
        <v>24AE92-O</v>
      </c>
      <c r="C8248" s="17"/>
      <c r="D8248" s="184"/>
      <c r="E8248" s="197"/>
      <c r="F8248" s="19"/>
      <c r="G8248" s="20"/>
    </row>
    <row r="8249" spans="1:8">
      <c r="A8249" s="211" t="s">
        <v>499</v>
      </c>
      <c r="B8249" s="216" t="str">
        <f ca="1">_xlfn.CONCAT(B8232,A8249)</f>
        <v>24AE92-P</v>
      </c>
      <c r="C8249" s="17"/>
      <c r="D8249" s="184"/>
      <c r="E8249" s="197"/>
      <c r="F8249" s="19"/>
      <c r="G8249" s="20"/>
    </row>
    <row r="8250" spans="1:8">
      <c r="A8250" s="211" t="s">
        <v>500</v>
      </c>
      <c r="B8250" s="216" t="str">
        <f ca="1">_xlfn.CONCAT(B8232,A8250)</f>
        <v>24AE92-Q</v>
      </c>
      <c r="C8250" s="17"/>
      <c r="D8250" s="184"/>
      <c r="E8250" s="197"/>
      <c r="F8250" s="19"/>
      <c r="G8250" s="20"/>
    </row>
    <row r="8251" spans="1:8">
      <c r="A8251" s="211" t="s">
        <v>501</v>
      </c>
      <c r="B8251" s="216" t="str">
        <f ca="1">_xlfn.CONCAT(B8232,A8251)</f>
        <v>24AE92-R</v>
      </c>
      <c r="C8251" s="17"/>
      <c r="D8251" s="184"/>
      <c r="E8251" s="197"/>
      <c r="F8251" s="19"/>
      <c r="G8251" s="20"/>
    </row>
    <row r="8252" spans="1:8">
      <c r="A8252" s="211" t="s">
        <v>502</v>
      </c>
      <c r="B8252" s="216" t="str">
        <f ca="1">_xlfn.CONCAT(B8232,A8252)</f>
        <v>24AE92-S</v>
      </c>
      <c r="C8252" s="17"/>
      <c r="D8252" s="184"/>
      <c r="E8252" s="197"/>
      <c r="F8252" s="19"/>
      <c r="G8252" s="20"/>
    </row>
    <row r="8253" spans="1:8">
      <c r="A8253" s="211" t="s">
        <v>503</v>
      </c>
      <c r="B8253" s="216" t="str">
        <f ca="1">_xlfn.CONCAT(B8232,A8253)</f>
        <v>24AE92-T</v>
      </c>
      <c r="C8253" s="17"/>
      <c r="D8253" s="184"/>
      <c r="E8253" s="197"/>
      <c r="F8253" s="19"/>
      <c r="G8253" s="20"/>
    </row>
    <row r="8254" spans="1:8" ht="14.25" thickBot="1">
      <c r="A8254" s="211" t="s">
        <v>504</v>
      </c>
      <c r="B8254" s="216" t="str">
        <f ca="1">_xlfn.CONCAT(B8232,A8254)</f>
        <v>24AE92-U</v>
      </c>
      <c r="C8254" s="17"/>
      <c r="D8254" s="184"/>
      <c r="E8254" s="197"/>
      <c r="F8254" s="19"/>
      <c r="G8254" s="20"/>
    </row>
    <row r="8255" spans="1:8" ht="14.25" thickBot="1">
      <c r="A8255" s="211" t="s">
        <v>505</v>
      </c>
      <c r="B8255" s="216" t="str">
        <f ca="1">_xlfn.CONCAT(B8232,A8255)</f>
        <v>24AE92-V</v>
      </c>
      <c r="C8255" s="17" t="s">
        <v>17</v>
      </c>
      <c r="D8255" s="192" t="s">
        <v>17</v>
      </c>
      <c r="E8255" s="18"/>
      <c r="F8255" s="22" t="s">
        <v>18</v>
      </c>
      <c r="G8255" s="23">
        <f>SUM(G8234:G8254)</f>
        <v>3912230</v>
      </c>
    </row>
    <row r="8256" spans="1:8" ht="15.75" thickBot="1">
      <c r="A8256" s="211" t="s">
        <v>506</v>
      </c>
      <c r="B8256" s="216" t="str">
        <f ca="1">_xlfn.CONCAT(B8232,A8256)</f>
        <v>24AE92-W</v>
      </c>
      <c r="C8256" s="10" t="s">
        <v>19</v>
      </c>
      <c r="D8256" s="190"/>
      <c r="E8256" s="11"/>
      <c r="F8256" s="12"/>
      <c r="G8256" s="13"/>
    </row>
    <row r="8257" spans="1:8" ht="14.25" thickBot="1">
      <c r="A8257" s="211" t="s">
        <v>507</v>
      </c>
      <c r="B8257" s="216" t="str">
        <f ca="1">_xlfn.CONCAT(B8232,A8257)</f>
        <v>24AE92-X</v>
      </c>
      <c r="C8257" s="14" t="s">
        <v>1</v>
      </c>
      <c r="D8257" s="15"/>
      <c r="E8257" s="15" t="s">
        <v>20</v>
      </c>
      <c r="F8257" s="16" t="s">
        <v>21</v>
      </c>
      <c r="G8257" s="15" t="s">
        <v>5</v>
      </c>
      <c r="H8257" s="215"/>
    </row>
    <row r="8258" spans="1:8">
      <c r="A8258" s="211" t="s">
        <v>508</v>
      </c>
      <c r="B8258" s="216" t="str">
        <f ca="1">_xlfn.CONCAT(B8232,A8258)</f>
        <v>24AE92-Y</v>
      </c>
      <c r="C8258" s="24" t="s">
        <v>22</v>
      </c>
      <c r="D8258" s="184"/>
      <c r="E8258" s="25">
        <f>_xlfn.XLOOKUP(C8258,'H-MO'!B$7:B$30,'H-MO'!D$7:D$30,,0,1)</f>
        <v>2436.5624999999995</v>
      </c>
      <c r="F8258" s="19">
        <v>2</v>
      </c>
      <c r="G8258" s="33">
        <f t="shared" ref="G8258:G8263" si="235">+E8258*F8258</f>
        <v>4873.1249999999991</v>
      </c>
    </row>
    <row r="8259" spans="1:8">
      <c r="A8259" s="211" t="s">
        <v>509</v>
      </c>
      <c r="B8259" s="216" t="str">
        <f ca="1">_xlfn.CONCAT(B8232,A8259)</f>
        <v>24AE92-Z</v>
      </c>
      <c r="C8259" s="24" t="s">
        <v>23</v>
      </c>
      <c r="D8259" s="184"/>
      <c r="E8259" s="25">
        <f>_xlfn.XLOOKUP(C8259,'H-MO'!B$7:B$30,'H-MO'!D$7:D$30,,0,1)</f>
        <v>1461.9374999999998</v>
      </c>
      <c r="F8259" s="19">
        <v>6</v>
      </c>
      <c r="G8259" s="33">
        <f t="shared" si="235"/>
        <v>8771.6249999999982</v>
      </c>
    </row>
    <row r="8260" spans="1:8">
      <c r="A8260" s="211" t="s">
        <v>510</v>
      </c>
      <c r="B8260" s="216" t="str">
        <f ca="1">_xlfn.CONCAT(B8232,A8260)</f>
        <v>24AE92-aa</v>
      </c>
      <c r="C8260" s="24" t="s">
        <v>24</v>
      </c>
      <c r="D8260" s="185"/>
      <c r="E8260" s="25">
        <f>_xlfn.XLOOKUP(C8260,'H-MO'!B$7:B$30,'H-MO'!D$7:D$30,,0,1)</f>
        <v>29238.749999999996</v>
      </c>
      <c r="F8260" s="28">
        <v>2</v>
      </c>
      <c r="G8260" s="33">
        <f t="shared" si="235"/>
        <v>58477.499999999993</v>
      </c>
    </row>
    <row r="8261" spans="1:8">
      <c r="A8261" s="211" t="s">
        <v>511</v>
      </c>
      <c r="B8261" s="216" t="str">
        <f ca="1">_xlfn.CONCAT(B8232,A8261)</f>
        <v>24AE92-ab</v>
      </c>
      <c r="C8261" s="24" t="s">
        <v>25</v>
      </c>
      <c r="D8261" s="185"/>
      <c r="E8261" s="25">
        <f>_xlfn.XLOOKUP(C8261,'H-MO'!B$7:B$30,'H-MO'!D$7:D$30,,0,1)</f>
        <v>2761.4374999999995</v>
      </c>
      <c r="F8261" s="28">
        <v>3</v>
      </c>
      <c r="G8261" s="33">
        <f t="shared" si="235"/>
        <v>8284.3124999999982</v>
      </c>
    </row>
    <row r="8262" spans="1:8">
      <c r="A8262" s="211" t="s">
        <v>512</v>
      </c>
      <c r="B8262" s="216" t="str">
        <f ca="1">_xlfn.CONCAT(B8232,A8262)</f>
        <v>24AE92-ac</v>
      </c>
      <c r="C8262" s="24"/>
      <c r="D8262" s="185"/>
      <c r="E8262" s="29"/>
      <c r="F8262" s="28"/>
      <c r="G8262" s="33">
        <f t="shared" si="235"/>
        <v>0</v>
      </c>
    </row>
    <row r="8263" spans="1:8" ht="14.25" thickBot="1">
      <c r="A8263" s="211" t="s">
        <v>513</v>
      </c>
      <c r="B8263" s="216" t="str">
        <f ca="1">_xlfn.CONCAT(B8232,A8263)</f>
        <v>24AE92-ad</v>
      </c>
      <c r="C8263" s="24"/>
      <c r="D8263" s="185"/>
      <c r="E8263" s="29"/>
      <c r="F8263" s="28"/>
      <c r="G8263" s="33">
        <f t="shared" si="235"/>
        <v>0</v>
      </c>
    </row>
    <row r="8264" spans="1:8" ht="14.25" thickBot="1">
      <c r="A8264" s="211" t="s">
        <v>514</v>
      </c>
      <c r="B8264" s="216" t="str">
        <f ca="1">_xlfn.CONCAT(B8232,A8264)</f>
        <v>24AE92-ae</v>
      </c>
      <c r="C8264" s="17"/>
      <c r="D8264" s="192"/>
      <c r="E8264" s="18"/>
      <c r="F8264" s="22" t="s">
        <v>26</v>
      </c>
      <c r="G8264" s="23">
        <f>SUM(G8258:G8263)</f>
        <v>80406.562499999985</v>
      </c>
    </row>
    <row r="8265" spans="1:8" ht="15.75" thickBot="1">
      <c r="A8265" s="211" t="s">
        <v>515</v>
      </c>
      <c r="B8265" s="216" t="str">
        <f ca="1">_xlfn.CONCAT(B8232,A8265)</f>
        <v>24AE92-af</v>
      </c>
      <c r="C8265" s="10" t="s">
        <v>27</v>
      </c>
      <c r="D8265" s="190"/>
      <c r="E8265" s="11"/>
      <c r="F8265" s="12"/>
      <c r="G8265" s="13"/>
    </row>
    <row r="8266" spans="1:8" ht="14.25" thickBot="1">
      <c r="A8266" s="211" t="s">
        <v>516</v>
      </c>
      <c r="B8266" s="216" t="str">
        <f ca="1">_xlfn.CONCAT(B8232,A8266)</f>
        <v>24AE92-ag</v>
      </c>
      <c r="C8266" s="14" t="s">
        <v>1</v>
      </c>
      <c r="D8266" s="15" t="s">
        <v>28</v>
      </c>
      <c r="E8266" s="15" t="s">
        <v>20</v>
      </c>
      <c r="F8266" s="16" t="s">
        <v>21</v>
      </c>
      <c r="G8266" s="15" t="s">
        <v>5</v>
      </c>
      <c r="H8266" s="215"/>
    </row>
    <row r="8267" spans="1:8">
      <c r="A8267" s="211" t="s">
        <v>517</v>
      </c>
      <c r="B8267" s="216" t="str">
        <f ca="1">_xlfn.CONCAT(B8232,A8267)</f>
        <v>24AE92-ah</v>
      </c>
      <c r="C8267" s="30" t="s">
        <v>29</v>
      </c>
      <c r="D8267" s="186">
        <f>'H-MO'!$N$77</f>
        <v>725918.52892505517</v>
      </c>
      <c r="E8267" s="31">
        <f>+D8267/8</f>
        <v>90739.816115631897</v>
      </c>
      <c r="F8267" s="32">
        <v>3</v>
      </c>
      <c r="G8267" s="33">
        <f>+E8267*F8267</f>
        <v>272219.44834689569</v>
      </c>
    </row>
    <row r="8268" spans="1:8">
      <c r="A8268" s="211" t="s">
        <v>518</v>
      </c>
      <c r="B8268" s="216" t="str">
        <f ca="1">_xlfn.CONCAT(B8232,A8268)</f>
        <v>24AE92-ai</v>
      </c>
      <c r="C8268" s="34" t="s">
        <v>30</v>
      </c>
      <c r="D8268" s="187">
        <f>'H-MO'!$N$86</f>
        <v>685561.39085756091</v>
      </c>
      <c r="E8268" s="29">
        <f>+D8268/8</f>
        <v>85695.173857195114</v>
      </c>
      <c r="F8268" s="28">
        <v>0</v>
      </c>
      <c r="G8268" s="33">
        <f>+E8268*F8268</f>
        <v>0</v>
      </c>
    </row>
    <row r="8269" spans="1:8" ht="14.25" thickBot="1">
      <c r="A8269" s="211" t="s">
        <v>519</v>
      </c>
      <c r="B8269" s="216" t="str">
        <f ca="1">_xlfn.CONCAT(B8232,A8269)</f>
        <v>24AE92-aj</v>
      </c>
      <c r="C8269" s="34"/>
      <c r="D8269" s="187"/>
      <c r="E8269" s="29"/>
      <c r="F8269" s="28"/>
      <c r="G8269" s="33">
        <f>+E8269*F8269</f>
        <v>0</v>
      </c>
    </row>
    <row r="8270" spans="1:8" ht="14.25" thickBot="1">
      <c r="A8270" s="211" t="s">
        <v>520</v>
      </c>
      <c r="B8270" s="216" t="str">
        <f ca="1">_xlfn.CONCAT(B8232,A8270)</f>
        <v>24AE92-ak</v>
      </c>
      <c r="C8270" s="34"/>
      <c r="D8270" s="185"/>
      <c r="E8270" s="26"/>
      <c r="F8270" s="36" t="s">
        <v>31</v>
      </c>
      <c r="G8270" s="23">
        <f>SUM(G8267:G8269)</f>
        <v>272219.44834689569</v>
      </c>
    </row>
    <row r="8271" spans="1:8" ht="14.25" thickBot="1">
      <c r="A8271" s="211" t="s">
        <v>521</v>
      </c>
      <c r="B8271" s="216" t="str">
        <f ca="1">_xlfn.CONCAT(B8232,A8271)</f>
        <v>24AE92-al</v>
      </c>
      <c r="C8271" s="37"/>
      <c r="E8271" s="38"/>
      <c r="F8271" s="22"/>
      <c r="G8271" s="39"/>
    </row>
    <row r="8272" spans="1:8" ht="16.5" thickBot="1">
      <c r="A8272" s="211" t="s">
        <v>522</v>
      </c>
      <c r="B8272" s="216" t="str">
        <f ca="1">_xlfn.CONCAT(B8232,A8272)</f>
        <v>24AE92-am</v>
      </c>
      <c r="C8272" s="40"/>
      <c r="D8272" s="193"/>
      <c r="E8272" s="41"/>
      <c r="F8272" s="42"/>
      <c r="G8272" s="43">
        <f>+G8255+G8264+G8270</f>
        <v>4264856.0108468961</v>
      </c>
    </row>
    <row r="8273" spans="1:8" ht="21.75" thickBot="1">
      <c r="B8273" s="212" t="s">
        <v>550</v>
      </c>
      <c r="C8273" s="2"/>
      <c r="D8273" s="183"/>
      <c r="F8273" s="4"/>
      <c r="G8273" s="5"/>
    </row>
    <row r="8274" spans="1:8" ht="18.75">
      <c r="A8274" s="213"/>
      <c r="B8274" s="214">
        <v>188</v>
      </c>
      <c r="C8274" s="242" t="str">
        <f ca="1">_xlfn.XLOOKUP(B8274,Cantidades!$A$10:$A$314,Cantidades!$C$10:$C$314,,0,1)</f>
        <v>Sumninistro e instalación de transformador 300 kVA, 11400/220 V tipo seco. Incluye transporte al lugar del proyecto.</v>
      </c>
      <c r="D8274" s="243"/>
      <c r="E8274" s="243"/>
      <c r="F8274" s="243"/>
      <c r="G8274" s="244"/>
    </row>
    <row r="8275" spans="1:8" ht="19.5" thickBot="1">
      <c r="A8275" s="215"/>
      <c r="B8275" s="216" t="s">
        <v>550</v>
      </c>
      <c r="C8275" s="177"/>
      <c r="D8275" s="189"/>
      <c r="E8275" s="178"/>
      <c r="F8275" s="179" t="s">
        <v>636</v>
      </c>
      <c r="G8275" s="209" t="str">
        <f ca="1">B8276</f>
        <v>1F9C26EC-</v>
      </c>
    </row>
    <row r="8276" spans="1:8" ht="15.75" thickBot="1">
      <c r="B8276" s="212" t="str">
        <f ca="1">_xlfn.XLOOKUP(C8274,Cantidades!$C$1:$C$314,Cantidades!$B$1:$B$314,"",0,1)</f>
        <v>1F9C26EC-</v>
      </c>
      <c r="C8276" s="10" t="s">
        <v>0</v>
      </c>
      <c r="D8276" s="190"/>
      <c r="E8276" s="11"/>
      <c r="F8276" s="12"/>
      <c r="G8276" s="13"/>
    </row>
    <row r="8277" spans="1:8" ht="14.25" thickBot="1">
      <c r="A8277" s="215"/>
      <c r="B8277" s="216" t="s">
        <v>550</v>
      </c>
      <c r="C8277" s="14" t="s">
        <v>1</v>
      </c>
      <c r="D8277" s="15" t="s">
        <v>2</v>
      </c>
      <c r="E8277" s="15" t="s">
        <v>3</v>
      </c>
      <c r="F8277" s="16" t="s">
        <v>4</v>
      </c>
      <c r="G8277" s="15" t="s">
        <v>5</v>
      </c>
    </row>
    <row r="8278" spans="1:8">
      <c r="A8278" s="211" t="s">
        <v>484</v>
      </c>
      <c r="B8278" s="216" t="str">
        <f ca="1">_xlfn.CONCAT(B8276,A8278)</f>
        <v>1F9C26EC-A</v>
      </c>
      <c r="C8278" s="17" t="str">
        <f>_xlfn.XLOOKUP(H8278,'Materiales unitario'!$A$1:$A$2500,'Materiales unitario'!B$1:B$2500,,0,1)</f>
        <v>Transformador 3ø 15KV - 300KVA   seco 13200/11400-208V</v>
      </c>
      <c r="D8278" s="184" t="str">
        <f>_xlfn.XLOOKUP(H8278,'Materiales unitario'!A$1:A$2500,'Materiales unitario'!C$1:C$2500,,0,1)</f>
        <v>un</v>
      </c>
      <c r="E8278" s="197">
        <f>_xlfn.XLOOKUP(H8278,'Materiales unitario'!$A$1:$A$2500,'Materiales unitario'!D$1:D$2500,,0,1)</f>
        <v>96754600</v>
      </c>
      <c r="F8278" s="19">
        <v>1</v>
      </c>
      <c r="G8278" s="20">
        <f>+E8278*F8278</f>
        <v>96754600</v>
      </c>
      <c r="H8278" s="211" t="s">
        <v>1477</v>
      </c>
    </row>
    <row r="8279" spans="1:8">
      <c r="A8279" s="211" t="s">
        <v>485</v>
      </c>
      <c r="B8279" s="216" t="str">
        <f ca="1">_xlfn.CONCAT(B8276,A8279)</f>
        <v>1F9C26EC-B</v>
      </c>
      <c r="C8279" s="17" t="str">
        <f>_xlfn.XLOOKUP(H8279,'Materiales unitario'!$A$1:$A$2500,'Materiales unitario'!B$1:B$2500,,0,1)</f>
        <v>Transporte al sitio de la obra</v>
      </c>
      <c r="D8279" s="184" t="str">
        <f>_xlfn.XLOOKUP(H8279,'Materiales unitario'!A$1:A$2500,'Materiales unitario'!C$1:C$2500,,0,1)</f>
        <v>un</v>
      </c>
      <c r="E8279" s="197">
        <f>_xlfn.XLOOKUP(H8279,'Materiales unitario'!$A$1:$A$2500,'Materiales unitario'!D$1:D$2500,,0,1)</f>
        <v>172200</v>
      </c>
      <c r="F8279" s="19">
        <v>3</v>
      </c>
      <c r="G8279" s="20">
        <f>+E8279*F8279</f>
        <v>516600</v>
      </c>
      <c r="H8279" s="211" t="s">
        <v>384</v>
      </c>
    </row>
    <row r="8280" spans="1:8">
      <c r="A8280" s="211" t="s">
        <v>486</v>
      </c>
      <c r="B8280" s="216" t="str">
        <f ca="1">_xlfn.CONCAT(B8276,A8280)</f>
        <v>1F9C26EC-C</v>
      </c>
      <c r="C8280" s="17"/>
      <c r="D8280" s="184"/>
      <c r="E8280" s="197"/>
      <c r="F8280" s="19"/>
      <c r="G8280" s="20"/>
    </row>
    <row r="8281" spans="1:8">
      <c r="A8281" s="211" t="s">
        <v>487</v>
      </c>
      <c r="B8281" s="216" t="str">
        <f ca="1">_xlfn.CONCAT(B8276,A8281)</f>
        <v>1F9C26EC-D</v>
      </c>
      <c r="C8281" s="17"/>
      <c r="D8281" s="184"/>
      <c r="E8281" s="197"/>
      <c r="F8281" s="19"/>
      <c r="G8281" s="20"/>
    </row>
    <row r="8282" spans="1:8">
      <c r="A8282" s="211" t="s">
        <v>488</v>
      </c>
      <c r="B8282" s="216" t="str">
        <f ca="1">_xlfn.CONCAT(B8276,A8282)</f>
        <v>1F9C26EC-E</v>
      </c>
      <c r="C8282" s="17"/>
      <c r="D8282" s="184"/>
      <c r="E8282" s="197"/>
      <c r="F8282" s="19"/>
      <c r="G8282" s="20"/>
    </row>
    <row r="8283" spans="1:8">
      <c r="A8283" s="211" t="s">
        <v>489</v>
      </c>
      <c r="B8283" s="216" t="str">
        <f ca="1">_xlfn.CONCAT(B8276,A8283)</f>
        <v>1F9C26EC-F</v>
      </c>
      <c r="C8283" s="17"/>
      <c r="D8283" s="184"/>
      <c r="E8283" s="197"/>
      <c r="F8283" s="19"/>
      <c r="G8283" s="20"/>
    </row>
    <row r="8284" spans="1:8">
      <c r="A8284" s="211" t="s">
        <v>490</v>
      </c>
      <c r="B8284" s="216" t="str">
        <f ca="1">_xlfn.CONCAT(B8276,A8284)</f>
        <v>1F9C26EC-G</v>
      </c>
      <c r="C8284" s="17"/>
      <c r="D8284" s="184"/>
      <c r="E8284" s="197"/>
      <c r="F8284" s="19"/>
      <c r="G8284" s="20"/>
    </row>
    <row r="8285" spans="1:8">
      <c r="A8285" s="211" t="s">
        <v>491</v>
      </c>
      <c r="B8285" s="216" t="str">
        <f ca="1">_xlfn.CONCAT(B8276,A8285)</f>
        <v>1F9C26EC-H</v>
      </c>
      <c r="C8285" s="17"/>
      <c r="D8285" s="184"/>
      <c r="E8285" s="197"/>
      <c r="F8285" s="19"/>
      <c r="G8285" s="20"/>
    </row>
    <row r="8286" spans="1:8">
      <c r="A8286" s="211" t="s">
        <v>492</v>
      </c>
      <c r="B8286" s="216" t="str">
        <f ca="1">_xlfn.CONCAT(B8276,A8286)</f>
        <v>1F9C26EC-I</v>
      </c>
      <c r="C8286" s="17"/>
      <c r="D8286" s="184"/>
      <c r="E8286" s="197"/>
      <c r="F8286" s="19"/>
      <c r="G8286" s="20"/>
    </row>
    <row r="8287" spans="1:8">
      <c r="A8287" s="211" t="s">
        <v>493</v>
      </c>
      <c r="B8287" s="216" t="str">
        <f ca="1">_xlfn.CONCAT(B8276,A8287)</f>
        <v>1F9C26EC-J</v>
      </c>
      <c r="C8287" s="17"/>
      <c r="D8287" s="184"/>
      <c r="E8287" s="197"/>
      <c r="F8287" s="19"/>
      <c r="G8287" s="20"/>
    </row>
    <row r="8288" spans="1:8">
      <c r="A8288" s="211" t="s">
        <v>494</v>
      </c>
      <c r="B8288" s="216" t="str">
        <f ca="1">_xlfn.CONCAT(B8276,A8288)</f>
        <v>1F9C26EC-K</v>
      </c>
      <c r="C8288" s="17"/>
      <c r="D8288" s="184"/>
      <c r="E8288" s="197"/>
      <c r="F8288" s="19"/>
      <c r="G8288" s="20"/>
    </row>
    <row r="8289" spans="1:7">
      <c r="A8289" s="211" t="s">
        <v>495</v>
      </c>
      <c r="B8289" s="216" t="str">
        <f ca="1">_xlfn.CONCAT(B8276,A8289)</f>
        <v>1F9C26EC-L</v>
      </c>
      <c r="C8289" s="17"/>
      <c r="D8289" s="184"/>
      <c r="E8289" s="197"/>
      <c r="F8289" s="19"/>
      <c r="G8289" s="20"/>
    </row>
    <row r="8290" spans="1:7">
      <c r="A8290" s="211" t="s">
        <v>496</v>
      </c>
      <c r="B8290" s="216" t="str">
        <f ca="1">_xlfn.CONCAT(B8276,A8290)</f>
        <v>1F9C26EC-M</v>
      </c>
      <c r="C8290" s="17"/>
      <c r="D8290" s="184"/>
      <c r="E8290" s="197"/>
      <c r="F8290" s="19"/>
      <c r="G8290" s="20"/>
    </row>
    <row r="8291" spans="1:7">
      <c r="A8291" s="211" t="s">
        <v>497</v>
      </c>
      <c r="B8291" s="216" t="str">
        <f ca="1">_xlfn.CONCAT(B8276,A8291)</f>
        <v>1F9C26EC-N</v>
      </c>
      <c r="C8291" s="17"/>
      <c r="D8291" s="184"/>
      <c r="E8291" s="197"/>
      <c r="F8291" s="19"/>
      <c r="G8291" s="20"/>
    </row>
    <row r="8292" spans="1:7">
      <c r="A8292" s="211" t="s">
        <v>498</v>
      </c>
      <c r="B8292" s="216" t="str">
        <f ca="1">_xlfn.CONCAT(B8276,A8292)</f>
        <v>1F9C26EC-O</v>
      </c>
      <c r="C8292" s="17"/>
      <c r="D8292" s="184"/>
      <c r="E8292" s="197"/>
      <c r="F8292" s="19"/>
      <c r="G8292" s="20"/>
    </row>
    <row r="8293" spans="1:7">
      <c r="A8293" s="211" t="s">
        <v>499</v>
      </c>
      <c r="B8293" s="216" t="str">
        <f ca="1">_xlfn.CONCAT(B8276,A8293)</f>
        <v>1F9C26EC-P</v>
      </c>
      <c r="C8293" s="17"/>
      <c r="D8293" s="184"/>
      <c r="E8293" s="197"/>
      <c r="F8293" s="19"/>
      <c r="G8293" s="20"/>
    </row>
    <row r="8294" spans="1:7">
      <c r="A8294" s="211" t="s">
        <v>500</v>
      </c>
      <c r="B8294" s="216" t="str">
        <f ca="1">_xlfn.CONCAT(B8276,A8294)</f>
        <v>1F9C26EC-Q</v>
      </c>
      <c r="C8294" s="17"/>
      <c r="D8294" s="184"/>
      <c r="E8294" s="197"/>
      <c r="F8294" s="19"/>
      <c r="G8294" s="20"/>
    </row>
    <row r="8295" spans="1:7">
      <c r="A8295" s="211" t="s">
        <v>501</v>
      </c>
      <c r="B8295" s="216" t="str">
        <f ca="1">_xlfn.CONCAT(B8276,A8295)</f>
        <v>1F9C26EC-R</v>
      </c>
      <c r="C8295" s="17"/>
      <c r="D8295" s="184"/>
      <c r="E8295" s="197"/>
      <c r="F8295" s="19"/>
      <c r="G8295" s="20"/>
    </row>
    <row r="8296" spans="1:7">
      <c r="A8296" s="211" t="s">
        <v>502</v>
      </c>
      <c r="B8296" s="216" t="str">
        <f ca="1">_xlfn.CONCAT(B8276,A8296)</f>
        <v>1F9C26EC-S</v>
      </c>
      <c r="C8296" s="17"/>
      <c r="D8296" s="184"/>
      <c r="E8296" s="197"/>
      <c r="F8296" s="19"/>
      <c r="G8296" s="20"/>
    </row>
    <row r="8297" spans="1:7">
      <c r="A8297" s="211" t="s">
        <v>503</v>
      </c>
      <c r="B8297" s="216" t="str">
        <f ca="1">_xlfn.CONCAT(B8276,A8297)</f>
        <v>1F9C26EC-T</v>
      </c>
      <c r="C8297" s="17"/>
      <c r="D8297" s="184"/>
      <c r="E8297" s="197"/>
      <c r="F8297" s="19"/>
      <c r="G8297" s="20"/>
    </row>
    <row r="8298" spans="1:7" ht="14.25" thickBot="1">
      <c r="A8298" s="211" t="s">
        <v>504</v>
      </c>
      <c r="B8298" s="216" t="str">
        <f ca="1">_xlfn.CONCAT(B8276,A8298)</f>
        <v>1F9C26EC-U</v>
      </c>
      <c r="C8298" s="17"/>
      <c r="D8298" s="184"/>
      <c r="E8298" s="197"/>
      <c r="F8298" s="19"/>
      <c r="G8298" s="20"/>
    </row>
    <row r="8299" spans="1:7" ht="14.25" thickBot="1">
      <c r="A8299" s="211" t="s">
        <v>505</v>
      </c>
      <c r="B8299" s="216" t="str">
        <f ca="1">_xlfn.CONCAT(B8276,A8299)</f>
        <v>1F9C26EC-V</v>
      </c>
      <c r="C8299" s="17" t="s">
        <v>17</v>
      </c>
      <c r="D8299" s="192" t="s">
        <v>17</v>
      </c>
      <c r="E8299" s="18"/>
      <c r="F8299" s="22" t="s">
        <v>18</v>
      </c>
      <c r="G8299" s="23">
        <f>SUM(G8278:G8298)</f>
        <v>97271200</v>
      </c>
    </row>
    <row r="8300" spans="1:7" ht="15.75" thickBot="1">
      <c r="A8300" s="211" t="s">
        <v>506</v>
      </c>
      <c r="B8300" s="216" t="str">
        <f ca="1">_xlfn.CONCAT(B8276,A8300)</f>
        <v>1F9C26EC-W</v>
      </c>
      <c r="C8300" s="10" t="s">
        <v>19</v>
      </c>
      <c r="D8300" s="190"/>
      <c r="E8300" s="11"/>
      <c r="F8300" s="12"/>
      <c r="G8300" s="13"/>
    </row>
    <row r="8301" spans="1:7" ht="14.25" thickBot="1">
      <c r="A8301" s="211" t="s">
        <v>507</v>
      </c>
      <c r="B8301" s="216" t="str">
        <f ca="1">_xlfn.CONCAT(B8276,A8301)</f>
        <v>1F9C26EC-X</v>
      </c>
      <c r="C8301" s="14" t="s">
        <v>1</v>
      </c>
      <c r="D8301" s="15"/>
      <c r="E8301" s="15" t="s">
        <v>20</v>
      </c>
      <c r="F8301" s="16" t="s">
        <v>21</v>
      </c>
      <c r="G8301" s="15" t="s">
        <v>5</v>
      </c>
    </row>
    <row r="8302" spans="1:7">
      <c r="A8302" s="211" t="s">
        <v>508</v>
      </c>
      <c r="B8302" s="216" t="str">
        <f ca="1">_xlfn.CONCAT(B8276,A8302)</f>
        <v>1F9C26EC-Y</v>
      </c>
      <c r="C8302" s="24" t="s">
        <v>22</v>
      </c>
      <c r="D8302" s="184"/>
      <c r="E8302" s="25">
        <f>_xlfn.XLOOKUP(C8302,'H-MO'!B$7:B$30,'H-MO'!D$7:D$30,,0,1)</f>
        <v>2436.5624999999995</v>
      </c>
      <c r="F8302" s="19">
        <v>33</v>
      </c>
      <c r="G8302" s="33">
        <f t="shared" ref="G8302:G8307" si="236">+E8302*F8302</f>
        <v>80406.562499999985</v>
      </c>
    </row>
    <row r="8303" spans="1:7">
      <c r="A8303" s="211" t="s">
        <v>509</v>
      </c>
      <c r="B8303" s="216" t="str">
        <f ca="1">_xlfn.CONCAT(B8276,A8303)</f>
        <v>1F9C26EC-Z</v>
      </c>
      <c r="C8303" s="24" t="s">
        <v>23</v>
      </c>
      <c r="D8303" s="184"/>
      <c r="E8303" s="25">
        <f>_xlfn.XLOOKUP(C8303,'H-MO'!B$7:B$30,'H-MO'!D$7:D$30,,0,1)</f>
        <v>1461.9374999999998</v>
      </c>
      <c r="F8303" s="19">
        <v>7</v>
      </c>
      <c r="G8303" s="33">
        <f t="shared" si="236"/>
        <v>10233.562499999998</v>
      </c>
    </row>
    <row r="8304" spans="1:7">
      <c r="A8304" s="211" t="s">
        <v>510</v>
      </c>
      <c r="B8304" s="216" t="str">
        <f ca="1">_xlfn.CONCAT(B8276,A8304)</f>
        <v>1F9C26EC-aa</v>
      </c>
      <c r="C8304" s="24" t="s">
        <v>24</v>
      </c>
      <c r="D8304" s="185"/>
      <c r="E8304" s="25">
        <f>_xlfn.XLOOKUP(C8304,'H-MO'!B$7:B$30,'H-MO'!D$7:D$30,,0,1)</f>
        <v>29238.749999999996</v>
      </c>
      <c r="F8304" s="28">
        <v>30</v>
      </c>
      <c r="G8304" s="33">
        <f t="shared" si="236"/>
        <v>877162.49999999988</v>
      </c>
    </row>
    <row r="8305" spans="1:7">
      <c r="A8305" s="211" t="s">
        <v>511</v>
      </c>
      <c r="B8305" s="216" t="str">
        <f ca="1">_xlfn.CONCAT(B8276,A8305)</f>
        <v>1F9C26EC-ab</v>
      </c>
      <c r="C8305" s="24" t="s">
        <v>25</v>
      </c>
      <c r="D8305" s="185"/>
      <c r="E8305" s="25">
        <f>_xlfn.XLOOKUP(C8305,'H-MO'!B$7:B$30,'H-MO'!D$7:D$30,,0,1)</f>
        <v>2761.4374999999995</v>
      </c>
      <c r="F8305" s="28">
        <v>25</v>
      </c>
      <c r="G8305" s="33">
        <f t="shared" si="236"/>
        <v>69035.937499999985</v>
      </c>
    </row>
    <row r="8306" spans="1:7">
      <c r="A8306" s="211" t="s">
        <v>512</v>
      </c>
      <c r="B8306" s="216" t="str">
        <f ca="1">_xlfn.CONCAT(B8276,A8306)</f>
        <v>1F9C26EC-ac</v>
      </c>
      <c r="C8306" s="24"/>
      <c r="D8306" s="185"/>
      <c r="E8306" s="29"/>
      <c r="F8306" s="28"/>
      <c r="G8306" s="33">
        <f t="shared" si="236"/>
        <v>0</v>
      </c>
    </row>
    <row r="8307" spans="1:7" ht="14.25" thickBot="1">
      <c r="A8307" s="211" t="s">
        <v>513</v>
      </c>
      <c r="B8307" s="216" t="str">
        <f ca="1">_xlfn.CONCAT(B8276,A8307)</f>
        <v>1F9C26EC-ad</v>
      </c>
      <c r="C8307" s="24"/>
      <c r="D8307" s="185"/>
      <c r="E8307" s="29"/>
      <c r="F8307" s="28"/>
      <c r="G8307" s="33">
        <f t="shared" si="236"/>
        <v>0</v>
      </c>
    </row>
    <row r="8308" spans="1:7" ht="14.25" thickBot="1">
      <c r="A8308" s="211" t="s">
        <v>514</v>
      </c>
      <c r="B8308" s="216" t="str">
        <f ca="1">_xlfn.CONCAT(B8276,A8308)</f>
        <v>1F9C26EC-ae</v>
      </c>
      <c r="C8308" s="17"/>
      <c r="D8308" s="192"/>
      <c r="E8308" s="18"/>
      <c r="F8308" s="22" t="s">
        <v>26</v>
      </c>
      <c r="G8308" s="23">
        <f>SUM(G8302:G8307)</f>
        <v>1036838.5624999999</v>
      </c>
    </row>
    <row r="8309" spans="1:7" ht="15.75" thickBot="1">
      <c r="A8309" s="211" t="s">
        <v>515</v>
      </c>
      <c r="B8309" s="216" t="str">
        <f ca="1">_xlfn.CONCAT(B8276,A8309)</f>
        <v>1F9C26EC-af</v>
      </c>
      <c r="C8309" s="10" t="s">
        <v>27</v>
      </c>
      <c r="D8309" s="190"/>
      <c r="E8309" s="11"/>
      <c r="F8309" s="12"/>
      <c r="G8309" s="13"/>
    </row>
    <row r="8310" spans="1:7" ht="14.25" thickBot="1">
      <c r="A8310" s="211" t="s">
        <v>516</v>
      </c>
      <c r="B8310" s="216" t="str">
        <f ca="1">_xlfn.CONCAT(B8276,A8310)</f>
        <v>1F9C26EC-ag</v>
      </c>
      <c r="C8310" s="14" t="s">
        <v>1</v>
      </c>
      <c r="D8310" s="15" t="s">
        <v>28</v>
      </c>
      <c r="E8310" s="15" t="s">
        <v>20</v>
      </c>
      <c r="F8310" s="16" t="s">
        <v>21</v>
      </c>
      <c r="G8310" s="15" t="s">
        <v>5</v>
      </c>
    </row>
    <row r="8311" spans="1:7">
      <c r="A8311" s="211" t="s">
        <v>517</v>
      </c>
      <c r="B8311" s="216" t="str">
        <f ca="1">_xlfn.CONCAT(B8276,A8311)</f>
        <v>1F9C26EC-ah</v>
      </c>
      <c r="C8311" s="30" t="s">
        <v>29</v>
      </c>
      <c r="D8311" s="186">
        <f>'H-MO'!$N$77</f>
        <v>725918.52892505517</v>
      </c>
      <c r="E8311" s="31">
        <f>+D8311/8</f>
        <v>90739.816115631897</v>
      </c>
      <c r="F8311" s="32">
        <v>33</v>
      </c>
      <c r="G8311" s="33">
        <f>+E8311*F8311</f>
        <v>2994413.9318158524</v>
      </c>
    </row>
    <row r="8312" spans="1:7">
      <c r="A8312" s="211" t="s">
        <v>518</v>
      </c>
      <c r="B8312" s="216" t="str">
        <f ca="1">_xlfn.CONCAT(B8276,A8312)</f>
        <v>1F9C26EC-ai</v>
      </c>
      <c r="C8312" s="34" t="s">
        <v>30</v>
      </c>
      <c r="D8312" s="187">
        <f>'H-MO'!$N$86</f>
        <v>685561.39085756091</v>
      </c>
      <c r="E8312" s="29">
        <f>+D8312/8</f>
        <v>85695.173857195114</v>
      </c>
      <c r="F8312" s="28">
        <v>0</v>
      </c>
      <c r="G8312" s="33">
        <f>+E8312*F8312</f>
        <v>0</v>
      </c>
    </row>
    <row r="8313" spans="1:7" ht="14.25" thickBot="1">
      <c r="A8313" s="211" t="s">
        <v>519</v>
      </c>
      <c r="B8313" s="216" t="str">
        <f ca="1">_xlfn.CONCAT(B8276,A8313)</f>
        <v>1F9C26EC-aj</v>
      </c>
      <c r="C8313" s="34"/>
      <c r="D8313" s="187"/>
      <c r="E8313" s="29"/>
      <c r="F8313" s="28"/>
      <c r="G8313" s="33">
        <f>+E8313*F8313</f>
        <v>0</v>
      </c>
    </row>
    <row r="8314" spans="1:7" ht="14.25" thickBot="1">
      <c r="A8314" s="211" t="s">
        <v>520</v>
      </c>
      <c r="B8314" s="216" t="str">
        <f ca="1">_xlfn.CONCAT(B8276,A8314)</f>
        <v>1F9C26EC-ak</v>
      </c>
      <c r="C8314" s="34"/>
      <c r="D8314" s="185"/>
      <c r="E8314" s="26"/>
      <c r="F8314" s="36" t="s">
        <v>31</v>
      </c>
      <c r="G8314" s="23">
        <f>SUM(G8311:G8313)</f>
        <v>2994413.9318158524</v>
      </c>
    </row>
    <row r="8315" spans="1:7" ht="14.25" thickBot="1">
      <c r="A8315" s="211" t="s">
        <v>521</v>
      </c>
      <c r="B8315" s="216" t="str">
        <f ca="1">_xlfn.CONCAT(B8276,A8315)</f>
        <v>1F9C26EC-al</v>
      </c>
      <c r="C8315" s="37"/>
      <c r="E8315" s="38"/>
      <c r="F8315" s="22"/>
      <c r="G8315" s="39"/>
    </row>
    <row r="8316" spans="1:7" ht="16.5" thickBot="1">
      <c r="A8316" s="211" t="s">
        <v>522</v>
      </c>
      <c r="B8316" s="216" t="str">
        <f ca="1">_xlfn.CONCAT(B8276,A8316)</f>
        <v>1F9C26EC-am</v>
      </c>
      <c r="C8316" s="40"/>
      <c r="D8316" s="193"/>
      <c r="E8316" s="41"/>
      <c r="F8316" s="42"/>
      <c r="G8316" s="43">
        <f>+G8299+G8308+G8314</f>
        <v>101302452.49431585</v>
      </c>
    </row>
    <row r="8317" spans="1:7" ht="21.75" thickBot="1">
      <c r="B8317" s="212" t="s">
        <v>550</v>
      </c>
      <c r="C8317" s="2"/>
      <c r="D8317" s="183"/>
      <c r="F8317" s="4"/>
      <c r="G8317" s="5"/>
    </row>
    <row r="8318" spans="1:7" ht="18.75">
      <c r="A8318" s="213"/>
      <c r="B8318" s="214">
        <v>189</v>
      </c>
      <c r="C8318" s="242" t="str">
        <f ca="1">_xlfn.XLOOKUP(B8318,Cantidades!$A$10:$A$314,Cantidades!$C$10:$C$314,,0,1)</f>
        <v>Suministro e instalacion de transferencia automatica de 1000A</v>
      </c>
      <c r="D8318" s="243"/>
      <c r="E8318" s="243"/>
      <c r="F8318" s="243"/>
      <c r="G8318" s="244"/>
    </row>
    <row r="8319" spans="1:7" ht="19.5" thickBot="1">
      <c r="A8319" s="215"/>
      <c r="B8319" s="216" t="s">
        <v>550</v>
      </c>
      <c r="C8319" s="177"/>
      <c r="D8319" s="189"/>
      <c r="E8319" s="178"/>
      <c r="F8319" s="179" t="s">
        <v>636</v>
      </c>
      <c r="G8319" s="209" t="str">
        <f ca="1">B8320</f>
        <v>69BB9CF-</v>
      </c>
    </row>
    <row r="8320" spans="1:7" ht="15.75" thickBot="1">
      <c r="B8320" s="212" t="str">
        <f ca="1">_xlfn.XLOOKUP(C8318,Cantidades!$C$1:$C$314,Cantidades!$B$1:$B$314,"",0,1)</f>
        <v>69BB9CF-</v>
      </c>
      <c r="C8320" s="10" t="s">
        <v>0</v>
      </c>
      <c r="D8320" s="190"/>
      <c r="E8320" s="11"/>
      <c r="F8320" s="12"/>
      <c r="G8320" s="13"/>
    </row>
    <row r="8321" spans="1:8" ht="14.25" thickBot="1">
      <c r="A8321" s="215"/>
      <c r="B8321" s="216" t="s">
        <v>550</v>
      </c>
      <c r="C8321" s="14" t="s">
        <v>1</v>
      </c>
      <c r="D8321" s="15" t="s">
        <v>2</v>
      </c>
      <c r="E8321" s="15" t="s">
        <v>3</v>
      </c>
      <c r="F8321" s="16" t="s">
        <v>4</v>
      </c>
      <c r="G8321" s="15" t="s">
        <v>5</v>
      </c>
    </row>
    <row r="8322" spans="1:8">
      <c r="A8322" s="211" t="s">
        <v>484</v>
      </c>
      <c r="B8322" s="216" t="str">
        <f ca="1">_xlfn.CONCAT(B8320,A8322)</f>
        <v>69BB9CF-A</v>
      </c>
      <c r="C8322" s="17" t="str">
        <f>_xlfn.XLOOKUP(H8322,'Materiales unitario'!$A$1:$A$2500,'Materiales unitario'!B$1:B$2500,,0,1)</f>
        <v>Gabinete metalico para tablero cal 20</v>
      </c>
      <c r="D8322" s="184" t="str">
        <f>_xlfn.XLOOKUP(H8322,'Materiales unitario'!A$1:A$2500,'Materiales unitario'!C$1:C$2500,,0,1)</f>
        <v>un</v>
      </c>
      <c r="E8322" s="197">
        <f>_xlfn.XLOOKUP(H8322,'Materiales unitario'!$A$1:$A$2500,'Materiales unitario'!D$1:D$2500,,0,1)</f>
        <v>2200000</v>
      </c>
      <c r="F8322" s="19">
        <v>1</v>
      </c>
      <c r="G8322" s="20">
        <f t="shared" ref="G8322:G8328" si="237">+E8322*F8322</f>
        <v>2200000</v>
      </c>
      <c r="H8322" s="211" t="s">
        <v>1479</v>
      </c>
    </row>
    <row r="8323" spans="1:8">
      <c r="A8323" s="211" t="s">
        <v>485</v>
      </c>
      <c r="B8323" s="216" t="str">
        <f ca="1">_xlfn.CONCAT(B8320,A8323)</f>
        <v>69BB9CF-B</v>
      </c>
      <c r="C8323" s="17" t="str">
        <f>_xlfn.XLOOKUP(H8323,'Materiales unitario'!$A$1:$A$2500,'Materiales unitario'!B$1:B$2500,,0,1)</f>
        <v>Transferencia automatica 1000A</v>
      </c>
      <c r="D8323" s="184" t="str">
        <f>_xlfn.XLOOKUP(H8323,'Materiales unitario'!A$1:A$2500,'Materiales unitario'!C$1:C$2500,,0,1)</f>
        <v>un</v>
      </c>
      <c r="E8323" s="197">
        <f>_xlfn.XLOOKUP(H8323,'Materiales unitario'!$A$1:$A$2500,'Materiales unitario'!D$1:D$2500,,0,1)</f>
        <v>18658700</v>
      </c>
      <c r="F8323" s="19">
        <v>1</v>
      </c>
      <c r="G8323" s="20">
        <f t="shared" si="237"/>
        <v>18658700</v>
      </c>
      <c r="H8323" s="211" t="s">
        <v>1481</v>
      </c>
    </row>
    <row r="8324" spans="1:8">
      <c r="A8324" s="211" t="s">
        <v>486</v>
      </c>
      <c r="B8324" s="216" t="str">
        <f ca="1">_xlfn.CONCAT(B8320,A8324)</f>
        <v>69BB9CF-C</v>
      </c>
      <c r="C8324" s="17" t="str">
        <f>_xlfn.XLOOKUP(H8324,'Materiales unitario'!$A$1:$A$2500,'Materiales unitario'!B$1:B$2500,,0,1)</f>
        <v>Interruptor industrial 1000A</v>
      </c>
      <c r="D8324" s="184" t="str">
        <f>_xlfn.XLOOKUP(H8324,'Materiales unitario'!A$1:A$2500,'Materiales unitario'!C$1:C$2500,,0,1)</f>
        <v>un</v>
      </c>
      <c r="E8324" s="197">
        <f>_xlfn.XLOOKUP(H8324,'Materiales unitario'!$A$1:$A$2500,'Materiales unitario'!D$1:D$2500,,0,1)</f>
        <v>10366900</v>
      </c>
      <c r="F8324" s="19">
        <v>1</v>
      </c>
      <c r="G8324" s="20">
        <f t="shared" si="237"/>
        <v>10366900</v>
      </c>
      <c r="H8324" s="211" t="s">
        <v>1483</v>
      </c>
    </row>
    <row r="8325" spans="1:8">
      <c r="A8325" s="211" t="s">
        <v>487</v>
      </c>
      <c r="B8325" s="216" t="str">
        <f ca="1">_xlfn.CONCAT(B8320,A8325)</f>
        <v>69BB9CF-D</v>
      </c>
      <c r="C8325" s="17" t="str">
        <f>_xlfn.XLOOKUP(H8325,'Materiales unitario'!$A$1:$A$2500,'Materiales unitario'!B$1:B$2500,,0,1)</f>
        <v>Módulo de transferencia para conmutación automática ATL600</v>
      </c>
      <c r="D8325" s="184" t="str">
        <f>_xlfn.XLOOKUP(H8325,'Materiales unitario'!A$1:A$2500,'Materiales unitario'!C$1:C$2500,,0,1)</f>
        <v>un</v>
      </c>
      <c r="E8325" s="197">
        <f>_xlfn.XLOOKUP(H8325,'Materiales unitario'!$A$1:$A$2500,'Materiales unitario'!D$1:D$2500,,0,1)</f>
        <v>1670400</v>
      </c>
      <c r="F8325" s="19">
        <v>1</v>
      </c>
      <c r="G8325" s="20">
        <f t="shared" si="237"/>
        <v>1670400</v>
      </c>
      <c r="H8325" s="211" t="s">
        <v>1485</v>
      </c>
    </row>
    <row r="8326" spans="1:8">
      <c r="A8326" s="211" t="s">
        <v>488</v>
      </c>
      <c r="B8326" s="216" t="str">
        <f ca="1">_xlfn.CONCAT(B8320,A8326)</f>
        <v>69BB9CF-E</v>
      </c>
      <c r="C8326" s="17" t="str">
        <f>_xlfn.XLOOKUP(H8326,'Materiales unitario'!$A$1:$A$2500,'Materiales unitario'!B$1:B$2500,,0,1)</f>
        <v>Platina de cobre 1000A</v>
      </c>
      <c r="D8326" s="184" t="str">
        <f>_xlfn.XLOOKUP(H8326,'Materiales unitario'!A$1:A$2500,'Materiales unitario'!C$1:C$2500,,0,1)</f>
        <v>ml</v>
      </c>
      <c r="E8326" s="197">
        <f>_xlfn.XLOOKUP(H8326,'Materiales unitario'!$A$1:$A$2500,'Materiales unitario'!D$1:D$2500,,0,1)</f>
        <v>695200</v>
      </c>
      <c r="F8326" s="19">
        <v>12</v>
      </c>
      <c r="G8326" s="20">
        <f t="shared" si="237"/>
        <v>8342400</v>
      </c>
      <c r="H8326" s="211" t="s">
        <v>1487</v>
      </c>
    </row>
    <row r="8327" spans="1:8">
      <c r="A8327" s="211" t="s">
        <v>489</v>
      </c>
      <c r="B8327" s="216" t="str">
        <f ca="1">_xlfn.CONCAT(B8320,A8327)</f>
        <v>69BB9CF-F</v>
      </c>
      <c r="C8327" s="17" t="str">
        <f>_xlfn.XLOOKUP(H8327,'Materiales unitario'!$A$1:$A$2500,'Materiales unitario'!B$1:B$2500,,0,1)</f>
        <v>Insumos Mayores</v>
      </c>
      <c r="D8327" s="184" t="str">
        <f>_xlfn.XLOOKUP(H8327,'Materiales unitario'!A$1:A$2500,'Materiales unitario'!C$1:C$2500,,0,1)</f>
        <v>gb</v>
      </c>
      <c r="E8327" s="197">
        <f>_xlfn.XLOOKUP(H8327,'Materiales unitario'!$A$1:$A$2500,'Materiales unitario'!D$1:D$2500,,0,1)</f>
        <v>1000000</v>
      </c>
      <c r="F8327" s="19">
        <v>7</v>
      </c>
      <c r="G8327" s="20">
        <f t="shared" si="237"/>
        <v>7000000</v>
      </c>
      <c r="H8327" s="211" t="s">
        <v>1489</v>
      </c>
    </row>
    <row r="8328" spans="1:8">
      <c r="A8328" s="211" t="s">
        <v>490</v>
      </c>
      <c r="B8328" s="216" t="str">
        <f ca="1">_xlfn.CONCAT(B8320,A8328)</f>
        <v>69BB9CF-G</v>
      </c>
      <c r="C8328" s="17" t="str">
        <f>_xlfn.XLOOKUP(H8328,'Materiales unitario'!$A$1:$A$2500,'Materiales unitario'!B$1:B$2500,,0,1)</f>
        <v>Construccion</v>
      </c>
      <c r="D8328" s="184" t="str">
        <f>_xlfn.XLOOKUP(H8328,'Materiales unitario'!A$1:A$2500,'Materiales unitario'!C$1:C$2500,,0,1)</f>
        <v>gb</v>
      </c>
      <c r="E8328" s="197">
        <f>_xlfn.XLOOKUP(H8328,'Materiales unitario'!$A$1:$A$2500,'Materiales unitario'!D$1:D$2500,,0,1)</f>
        <v>5000000</v>
      </c>
      <c r="F8328" s="19">
        <v>1.6</v>
      </c>
      <c r="G8328" s="20">
        <f t="shared" si="237"/>
        <v>8000000</v>
      </c>
      <c r="H8328" s="211" t="s">
        <v>1491</v>
      </c>
    </row>
    <row r="8329" spans="1:8">
      <c r="A8329" s="211" t="s">
        <v>491</v>
      </c>
      <c r="B8329" s="216" t="str">
        <f ca="1">_xlfn.CONCAT(B8320,A8329)</f>
        <v>69BB9CF-H</v>
      </c>
      <c r="C8329" s="17"/>
      <c r="D8329" s="184"/>
      <c r="E8329" s="197"/>
      <c r="F8329" s="19"/>
      <c r="G8329" s="20"/>
    </row>
    <row r="8330" spans="1:8">
      <c r="A8330" s="211" t="s">
        <v>492</v>
      </c>
      <c r="B8330" s="216" t="str">
        <f ca="1">_xlfn.CONCAT(B8320,A8330)</f>
        <v>69BB9CF-I</v>
      </c>
      <c r="C8330" s="17"/>
      <c r="D8330" s="184"/>
      <c r="E8330" s="197"/>
      <c r="F8330" s="19"/>
      <c r="G8330" s="20"/>
    </row>
    <row r="8331" spans="1:8">
      <c r="A8331" s="211" t="s">
        <v>493</v>
      </c>
      <c r="B8331" s="216" t="str">
        <f ca="1">_xlfn.CONCAT(B8320,A8331)</f>
        <v>69BB9CF-J</v>
      </c>
      <c r="C8331" s="17"/>
      <c r="D8331" s="184"/>
      <c r="E8331" s="197"/>
      <c r="F8331" s="19"/>
      <c r="G8331" s="20"/>
    </row>
    <row r="8332" spans="1:8">
      <c r="A8332" s="211" t="s">
        <v>494</v>
      </c>
      <c r="B8332" s="216" t="str">
        <f ca="1">_xlfn.CONCAT(B8320,A8332)</f>
        <v>69BB9CF-K</v>
      </c>
      <c r="C8332" s="17"/>
      <c r="D8332" s="184"/>
      <c r="E8332" s="197"/>
      <c r="F8332" s="19"/>
      <c r="G8332" s="20"/>
    </row>
    <row r="8333" spans="1:8">
      <c r="A8333" s="211" t="s">
        <v>495</v>
      </c>
      <c r="B8333" s="216" t="str">
        <f ca="1">_xlfn.CONCAT(B8320,A8333)</f>
        <v>69BB9CF-L</v>
      </c>
      <c r="C8333" s="17"/>
      <c r="D8333" s="184"/>
      <c r="E8333" s="197"/>
      <c r="F8333" s="19"/>
      <c r="G8333" s="20"/>
    </row>
    <row r="8334" spans="1:8">
      <c r="A8334" s="211" t="s">
        <v>496</v>
      </c>
      <c r="B8334" s="216" t="str">
        <f ca="1">_xlfn.CONCAT(B8320,A8334)</f>
        <v>69BB9CF-M</v>
      </c>
      <c r="C8334" s="17"/>
      <c r="D8334" s="184"/>
      <c r="E8334" s="197"/>
      <c r="F8334" s="19"/>
      <c r="G8334" s="20"/>
    </row>
    <row r="8335" spans="1:8">
      <c r="A8335" s="211" t="s">
        <v>497</v>
      </c>
      <c r="B8335" s="216" t="str">
        <f ca="1">_xlfn.CONCAT(B8320,A8335)</f>
        <v>69BB9CF-N</v>
      </c>
      <c r="C8335" s="17"/>
      <c r="D8335" s="184"/>
      <c r="E8335" s="197"/>
      <c r="F8335" s="19"/>
      <c r="G8335" s="20"/>
    </row>
    <row r="8336" spans="1:8">
      <c r="A8336" s="211" t="s">
        <v>498</v>
      </c>
      <c r="B8336" s="216" t="str">
        <f ca="1">_xlfn.CONCAT(B8320,A8336)</f>
        <v>69BB9CF-O</v>
      </c>
      <c r="C8336" s="17"/>
      <c r="D8336" s="184"/>
      <c r="E8336" s="197"/>
      <c r="F8336" s="19"/>
      <c r="G8336" s="20"/>
    </row>
    <row r="8337" spans="1:7">
      <c r="A8337" s="211" t="s">
        <v>499</v>
      </c>
      <c r="B8337" s="216" t="str">
        <f ca="1">_xlfn.CONCAT(B8320,A8337)</f>
        <v>69BB9CF-P</v>
      </c>
      <c r="C8337" s="17"/>
      <c r="D8337" s="184"/>
      <c r="E8337" s="197"/>
      <c r="F8337" s="19"/>
      <c r="G8337" s="20"/>
    </row>
    <row r="8338" spans="1:7">
      <c r="A8338" s="211" t="s">
        <v>500</v>
      </c>
      <c r="B8338" s="216" t="str">
        <f ca="1">_xlfn.CONCAT(B8320,A8338)</f>
        <v>69BB9CF-Q</v>
      </c>
      <c r="C8338" s="17"/>
      <c r="D8338" s="184"/>
      <c r="E8338" s="197"/>
      <c r="F8338" s="19"/>
      <c r="G8338" s="20"/>
    </row>
    <row r="8339" spans="1:7">
      <c r="A8339" s="211" t="s">
        <v>501</v>
      </c>
      <c r="B8339" s="216" t="str">
        <f ca="1">_xlfn.CONCAT(B8320,A8339)</f>
        <v>69BB9CF-R</v>
      </c>
      <c r="C8339" s="17"/>
      <c r="D8339" s="184"/>
      <c r="E8339" s="197"/>
      <c r="F8339" s="19"/>
      <c r="G8339" s="20"/>
    </row>
    <row r="8340" spans="1:7">
      <c r="A8340" s="211" t="s">
        <v>502</v>
      </c>
      <c r="B8340" s="216" t="str">
        <f ca="1">_xlfn.CONCAT(B8320,A8340)</f>
        <v>69BB9CF-S</v>
      </c>
      <c r="C8340" s="17"/>
      <c r="D8340" s="184"/>
      <c r="E8340" s="197"/>
      <c r="F8340" s="19"/>
      <c r="G8340" s="20"/>
    </row>
    <row r="8341" spans="1:7">
      <c r="A8341" s="211" t="s">
        <v>503</v>
      </c>
      <c r="B8341" s="216" t="str">
        <f ca="1">_xlfn.CONCAT(B8320,A8341)</f>
        <v>69BB9CF-T</v>
      </c>
      <c r="C8341" s="17"/>
      <c r="D8341" s="184"/>
      <c r="E8341" s="197"/>
      <c r="F8341" s="19"/>
      <c r="G8341" s="20"/>
    </row>
    <row r="8342" spans="1:7" ht="14.25" thickBot="1">
      <c r="A8342" s="211" t="s">
        <v>504</v>
      </c>
      <c r="B8342" s="216" t="str">
        <f ca="1">_xlfn.CONCAT(B8320,A8342)</f>
        <v>69BB9CF-U</v>
      </c>
      <c r="C8342" s="17"/>
      <c r="D8342" s="184"/>
      <c r="E8342" s="197"/>
      <c r="F8342" s="19"/>
      <c r="G8342" s="20"/>
    </row>
    <row r="8343" spans="1:7" ht="14.25" thickBot="1">
      <c r="A8343" s="211" t="s">
        <v>505</v>
      </c>
      <c r="B8343" s="216" t="str">
        <f ca="1">_xlfn.CONCAT(B8320,A8343)</f>
        <v>69BB9CF-V</v>
      </c>
      <c r="C8343" s="17" t="s">
        <v>17</v>
      </c>
      <c r="D8343" s="192" t="s">
        <v>17</v>
      </c>
      <c r="E8343" s="18"/>
      <c r="F8343" s="22" t="s">
        <v>18</v>
      </c>
      <c r="G8343" s="23">
        <f>SUM(G8322:G8342)</f>
        <v>56238400</v>
      </c>
    </row>
    <row r="8344" spans="1:7" ht="15.75" thickBot="1">
      <c r="A8344" s="211" t="s">
        <v>506</v>
      </c>
      <c r="B8344" s="216" t="str">
        <f ca="1">_xlfn.CONCAT(B8320,A8344)</f>
        <v>69BB9CF-W</v>
      </c>
      <c r="C8344" s="10" t="s">
        <v>19</v>
      </c>
      <c r="D8344" s="190"/>
      <c r="E8344" s="11"/>
      <c r="F8344" s="12"/>
      <c r="G8344" s="13"/>
    </row>
    <row r="8345" spans="1:7" ht="14.25" thickBot="1">
      <c r="A8345" s="211" t="s">
        <v>507</v>
      </c>
      <c r="B8345" s="216" t="str">
        <f ca="1">_xlfn.CONCAT(B8320,A8345)</f>
        <v>69BB9CF-X</v>
      </c>
      <c r="C8345" s="14" t="s">
        <v>1</v>
      </c>
      <c r="D8345" s="15"/>
      <c r="E8345" s="15" t="s">
        <v>20</v>
      </c>
      <c r="F8345" s="16" t="s">
        <v>21</v>
      </c>
      <c r="G8345" s="15" t="s">
        <v>5</v>
      </c>
    </row>
    <row r="8346" spans="1:7">
      <c r="A8346" s="211" t="s">
        <v>508</v>
      </c>
      <c r="B8346" s="216" t="str">
        <f ca="1">_xlfn.CONCAT(B8320,A8346)</f>
        <v>69BB9CF-Y</v>
      </c>
      <c r="C8346" s="24" t="s">
        <v>22</v>
      </c>
      <c r="D8346" s="184"/>
      <c r="E8346" s="25">
        <f>_xlfn.XLOOKUP(C8346,'H-MO'!B$7:B$30,'H-MO'!D$7:D$30,,0,1)</f>
        <v>2436.5624999999995</v>
      </c>
      <c r="F8346" s="19">
        <v>45</v>
      </c>
      <c r="G8346" s="33">
        <f t="shared" ref="G8346:G8351" si="238">+E8346*F8346</f>
        <v>109645.31249999999</v>
      </c>
    </row>
    <row r="8347" spans="1:7">
      <c r="A8347" s="211" t="s">
        <v>509</v>
      </c>
      <c r="B8347" s="216" t="str">
        <f ca="1">_xlfn.CONCAT(B8320,A8347)</f>
        <v>69BB9CF-Z</v>
      </c>
      <c r="C8347" s="24" t="s">
        <v>23</v>
      </c>
      <c r="D8347" s="184"/>
      <c r="E8347" s="25">
        <f>_xlfn.XLOOKUP(C8347,'H-MO'!B$7:B$30,'H-MO'!D$7:D$30,,0,1)</f>
        <v>1461.9374999999998</v>
      </c>
      <c r="F8347" s="19">
        <v>12</v>
      </c>
      <c r="G8347" s="33">
        <f t="shared" si="238"/>
        <v>17543.249999999996</v>
      </c>
    </row>
    <row r="8348" spans="1:7">
      <c r="A8348" s="211" t="s">
        <v>510</v>
      </c>
      <c r="B8348" s="216" t="str">
        <f ca="1">_xlfn.CONCAT(B8320,A8348)</f>
        <v>69BB9CF-aa</v>
      </c>
      <c r="C8348" s="24" t="s">
        <v>24</v>
      </c>
      <c r="D8348" s="185"/>
      <c r="E8348" s="25">
        <f>_xlfn.XLOOKUP(C8348,'H-MO'!B$7:B$30,'H-MO'!D$7:D$30,,0,1)</f>
        <v>29238.749999999996</v>
      </c>
      <c r="F8348" s="28">
        <v>25</v>
      </c>
      <c r="G8348" s="33">
        <f t="shared" si="238"/>
        <v>730968.74999999988</v>
      </c>
    </row>
    <row r="8349" spans="1:7">
      <c r="A8349" s="211" t="s">
        <v>511</v>
      </c>
      <c r="B8349" s="216" t="str">
        <f ca="1">_xlfn.CONCAT(B8320,A8349)</f>
        <v>69BB9CF-ab</v>
      </c>
      <c r="C8349" s="24" t="s">
        <v>25</v>
      </c>
      <c r="D8349" s="185"/>
      <c r="E8349" s="25">
        <f>_xlfn.XLOOKUP(C8349,'H-MO'!B$7:B$30,'H-MO'!D$7:D$30,,0,1)</f>
        <v>2761.4374999999995</v>
      </c>
      <c r="F8349" s="28">
        <v>25</v>
      </c>
      <c r="G8349" s="33">
        <f t="shared" si="238"/>
        <v>69035.937499999985</v>
      </c>
    </row>
    <row r="8350" spans="1:7">
      <c r="A8350" s="211" t="s">
        <v>512</v>
      </c>
      <c r="B8350" s="216" t="str">
        <f ca="1">_xlfn.CONCAT(B8320,A8350)</f>
        <v>69BB9CF-ac</v>
      </c>
      <c r="C8350" s="24"/>
      <c r="D8350" s="185"/>
      <c r="E8350" s="29"/>
      <c r="F8350" s="28"/>
      <c r="G8350" s="33">
        <f t="shared" si="238"/>
        <v>0</v>
      </c>
    </row>
    <row r="8351" spans="1:7" ht="14.25" thickBot="1">
      <c r="A8351" s="211" t="s">
        <v>513</v>
      </c>
      <c r="B8351" s="216" t="str">
        <f ca="1">_xlfn.CONCAT(B8320,A8351)</f>
        <v>69BB9CF-ad</v>
      </c>
      <c r="C8351" s="24"/>
      <c r="D8351" s="185"/>
      <c r="E8351" s="29"/>
      <c r="F8351" s="28"/>
      <c r="G8351" s="33">
        <f t="shared" si="238"/>
        <v>0</v>
      </c>
    </row>
    <row r="8352" spans="1:7" ht="14.25" thickBot="1">
      <c r="A8352" s="211" t="s">
        <v>514</v>
      </c>
      <c r="B8352" s="216" t="str">
        <f ca="1">_xlfn.CONCAT(B8320,A8352)</f>
        <v>69BB9CF-ae</v>
      </c>
      <c r="C8352" s="17"/>
      <c r="D8352" s="192"/>
      <c r="E8352" s="18"/>
      <c r="F8352" s="22" t="s">
        <v>26</v>
      </c>
      <c r="G8352" s="23">
        <f>SUM(G8346:G8351)</f>
        <v>927193.24999999988</v>
      </c>
    </row>
    <row r="8353" spans="1:8" ht="15.75" thickBot="1">
      <c r="A8353" s="211" t="s">
        <v>515</v>
      </c>
      <c r="B8353" s="216" t="str">
        <f ca="1">_xlfn.CONCAT(B8320,A8353)</f>
        <v>69BB9CF-af</v>
      </c>
      <c r="C8353" s="10" t="s">
        <v>27</v>
      </c>
      <c r="D8353" s="190"/>
      <c r="E8353" s="11"/>
      <c r="F8353" s="12"/>
      <c r="G8353" s="13"/>
    </row>
    <row r="8354" spans="1:8" ht="14.25" thickBot="1">
      <c r="A8354" s="211" t="s">
        <v>516</v>
      </c>
      <c r="B8354" s="216" t="str">
        <f ca="1">_xlfn.CONCAT(B8320,A8354)</f>
        <v>69BB9CF-ag</v>
      </c>
      <c r="C8354" s="14" t="s">
        <v>1</v>
      </c>
      <c r="D8354" s="15" t="s">
        <v>28</v>
      </c>
      <c r="E8354" s="15" t="s">
        <v>20</v>
      </c>
      <c r="F8354" s="16" t="s">
        <v>21</v>
      </c>
      <c r="G8354" s="15" t="s">
        <v>5</v>
      </c>
    </row>
    <row r="8355" spans="1:8">
      <c r="A8355" s="211" t="s">
        <v>517</v>
      </c>
      <c r="B8355" s="216" t="str">
        <f ca="1">_xlfn.CONCAT(B8320,A8355)</f>
        <v>69BB9CF-ah</v>
      </c>
      <c r="C8355" s="30" t="s">
        <v>29</v>
      </c>
      <c r="D8355" s="186">
        <f>'H-MO'!$N$77</f>
        <v>725918.52892505517</v>
      </c>
      <c r="E8355" s="31">
        <f>+D8355/8</f>
        <v>90739.816115631897</v>
      </c>
      <c r="F8355" s="32">
        <v>45</v>
      </c>
      <c r="G8355" s="33">
        <f>+E8355*F8355</f>
        <v>4083291.7252034354</v>
      </c>
    </row>
    <row r="8356" spans="1:8">
      <c r="A8356" s="211" t="s">
        <v>518</v>
      </c>
      <c r="B8356" s="216" t="str">
        <f ca="1">_xlfn.CONCAT(B8320,A8356)</f>
        <v>69BB9CF-ai</v>
      </c>
      <c r="C8356" s="34" t="s">
        <v>30</v>
      </c>
      <c r="D8356" s="187">
        <f>'H-MO'!$N$86</f>
        <v>685561.39085756091</v>
      </c>
      <c r="E8356" s="29">
        <f>+D8356/8</f>
        <v>85695.173857195114</v>
      </c>
      <c r="F8356" s="28">
        <v>0</v>
      </c>
      <c r="G8356" s="33">
        <f>+E8356*F8356</f>
        <v>0</v>
      </c>
    </row>
    <row r="8357" spans="1:8" ht="14.25" thickBot="1">
      <c r="A8357" s="211" t="s">
        <v>519</v>
      </c>
      <c r="B8357" s="216" t="str">
        <f ca="1">_xlfn.CONCAT(B8320,A8357)</f>
        <v>69BB9CF-aj</v>
      </c>
      <c r="C8357" s="34"/>
      <c r="D8357" s="187"/>
      <c r="E8357" s="29"/>
      <c r="F8357" s="28"/>
      <c r="G8357" s="33">
        <f>+E8357*F8357</f>
        <v>0</v>
      </c>
    </row>
    <row r="8358" spans="1:8" ht="14.25" thickBot="1">
      <c r="A8358" s="211" t="s">
        <v>520</v>
      </c>
      <c r="B8358" s="216" t="str">
        <f ca="1">_xlfn.CONCAT(B8320,A8358)</f>
        <v>69BB9CF-ak</v>
      </c>
      <c r="C8358" s="34"/>
      <c r="D8358" s="185"/>
      <c r="E8358" s="26"/>
      <c r="F8358" s="36" t="s">
        <v>31</v>
      </c>
      <c r="G8358" s="23">
        <f>SUM(G8355:G8357)</f>
        <v>4083291.7252034354</v>
      </c>
    </row>
    <row r="8359" spans="1:8" ht="14.25" thickBot="1">
      <c r="A8359" s="211" t="s">
        <v>521</v>
      </c>
      <c r="B8359" s="216" t="str">
        <f ca="1">_xlfn.CONCAT(B8320,A8359)</f>
        <v>69BB9CF-al</v>
      </c>
      <c r="C8359" s="37"/>
      <c r="E8359" s="38"/>
      <c r="F8359" s="22"/>
      <c r="G8359" s="39"/>
    </row>
    <row r="8360" spans="1:8" ht="16.5" thickBot="1">
      <c r="A8360" s="211" t="s">
        <v>522</v>
      </c>
      <c r="B8360" s="216" t="str">
        <f ca="1">_xlfn.CONCAT(B8320,A8360)</f>
        <v>69BB9CF-am</v>
      </c>
      <c r="C8360" s="40"/>
      <c r="D8360" s="193"/>
      <c r="E8360" s="41"/>
      <c r="F8360" s="42"/>
      <c r="G8360" s="43">
        <f>+G8343+G8352+G8358</f>
        <v>61248884.975203432</v>
      </c>
    </row>
    <row r="8361" spans="1:8" ht="21.75" thickBot="1">
      <c r="B8361" s="212" t="s">
        <v>550</v>
      </c>
      <c r="C8361" s="2"/>
      <c r="D8361" s="183"/>
      <c r="F8361" s="4"/>
      <c r="G8361" s="5"/>
    </row>
    <row r="8362" spans="1:8" ht="18.75">
      <c r="A8362" s="213"/>
      <c r="B8362" s="214">
        <v>190</v>
      </c>
      <c r="C8362" s="242" t="str">
        <f ca="1">_xlfn.XLOOKUP(B8362,Cantidades!$A$10:$A$314,Cantidades!$C$10:$C$314,,0,1)</f>
        <v>Suministro e instalacion de celda para transformador 300kVA</v>
      </c>
      <c r="D8362" s="243"/>
      <c r="E8362" s="243"/>
      <c r="F8362" s="243"/>
      <c r="G8362" s="244"/>
    </row>
    <row r="8363" spans="1:8" ht="19.5" thickBot="1">
      <c r="A8363" s="215"/>
      <c r="B8363" s="216" t="s">
        <v>550</v>
      </c>
      <c r="C8363" s="177"/>
      <c r="D8363" s="189"/>
      <c r="E8363" s="178"/>
      <c r="F8363" s="179" t="s">
        <v>636</v>
      </c>
      <c r="G8363" s="209" t="str">
        <f ca="1">B8364</f>
        <v>10FCD6BB-</v>
      </c>
    </row>
    <row r="8364" spans="1:8" ht="15.75" thickBot="1">
      <c r="B8364" s="212" t="str">
        <f ca="1">_xlfn.XLOOKUP(C8362,Cantidades!$C$1:$C$314,Cantidades!$B$1:$B$314,"",0,1)</f>
        <v>10FCD6BB-</v>
      </c>
      <c r="C8364" s="10" t="s">
        <v>0</v>
      </c>
      <c r="D8364" s="190"/>
      <c r="E8364" s="11"/>
      <c r="F8364" s="12"/>
      <c r="G8364" s="13"/>
    </row>
    <row r="8365" spans="1:8" ht="14.25" thickBot="1">
      <c r="A8365" s="215"/>
      <c r="B8365" s="216" t="s">
        <v>550</v>
      </c>
      <c r="C8365" s="14" t="s">
        <v>1</v>
      </c>
      <c r="D8365" s="15" t="s">
        <v>2</v>
      </c>
      <c r="E8365" s="15" t="s">
        <v>3</v>
      </c>
      <c r="F8365" s="16" t="s">
        <v>4</v>
      </c>
      <c r="G8365" s="15" t="s">
        <v>5</v>
      </c>
    </row>
    <row r="8366" spans="1:8">
      <c r="A8366" s="211" t="s">
        <v>484</v>
      </c>
      <c r="B8366" s="216" t="str">
        <f ca="1">_xlfn.CONCAT(B8364,A8366)</f>
        <v>10FCD6BB-A</v>
      </c>
      <c r="C8366" s="17" t="str">
        <f>_xlfn.XLOOKUP(H8366,'Materiales unitario'!$A$1:$A$2500,'Materiales unitario'!B$1:B$2500,,0,1)</f>
        <v>Celda para transformador de 300/500 KVA</v>
      </c>
      <c r="D8366" s="184" t="str">
        <f>_xlfn.XLOOKUP(H8366,'Materiales unitario'!A$1:A$2500,'Materiales unitario'!C$1:C$2500,,0,1)</f>
        <v>un</v>
      </c>
      <c r="E8366" s="197">
        <f>_xlfn.XLOOKUP(H8366,'Materiales unitario'!$A$1:$A$2500,'Materiales unitario'!D$1:D$2500,,0,1)</f>
        <v>9675300</v>
      </c>
      <c r="F8366" s="19">
        <v>1</v>
      </c>
      <c r="G8366" s="20">
        <f>+E8366*F8366</f>
        <v>9675300</v>
      </c>
      <c r="H8366" s="211" t="s">
        <v>1493</v>
      </c>
    </row>
    <row r="8367" spans="1:8">
      <c r="A8367" s="211" t="s">
        <v>485</v>
      </c>
      <c r="B8367" s="216" t="str">
        <f ca="1">_xlfn.CONCAT(B8364,A8367)</f>
        <v>10FCD6BB-B</v>
      </c>
      <c r="C8367" s="17" t="str">
        <f>_xlfn.XLOOKUP(H8367,'Materiales unitario'!$A$1:$A$2500,'Materiales unitario'!B$1:B$2500,,0,1)</f>
        <v>Accesorios de anclaje y fijacion.</v>
      </c>
      <c r="D8367" s="184" t="str">
        <f>_xlfn.XLOOKUP(H8367,'Materiales unitario'!A$1:A$2500,'Materiales unitario'!C$1:C$2500,,0,1)</f>
        <v>un</v>
      </c>
      <c r="E8367" s="197">
        <f>_xlfn.XLOOKUP(H8367,'Materiales unitario'!$A$1:$A$2500,'Materiales unitario'!D$1:D$2500,,0,1)</f>
        <v>10000</v>
      </c>
      <c r="F8367" s="19">
        <v>8</v>
      </c>
      <c r="G8367" s="20">
        <f>+E8367*F8367</f>
        <v>80000</v>
      </c>
      <c r="H8367" s="211" t="s">
        <v>222</v>
      </c>
    </row>
    <row r="8368" spans="1:8">
      <c r="A8368" s="211" t="s">
        <v>486</v>
      </c>
      <c r="B8368" s="216" t="str">
        <f ca="1">_xlfn.CONCAT(B8364,A8368)</f>
        <v>10FCD6BB-C</v>
      </c>
      <c r="C8368" s="17" t="str">
        <f>_xlfn.XLOOKUP(H8368,'Materiales unitario'!$A$1:$A$2500,'Materiales unitario'!B$1:B$2500,,0,1)</f>
        <v>Insumos menores</v>
      </c>
      <c r="D8368" s="184" t="str">
        <f>_xlfn.XLOOKUP(H8368,'Materiales unitario'!A$1:A$2500,'Materiales unitario'!C$1:C$2500,,0,1)</f>
        <v>un</v>
      </c>
      <c r="E8368" s="197">
        <f>_xlfn.XLOOKUP(H8368,'Materiales unitario'!$A$1:$A$2500,'Materiales unitario'!D$1:D$2500,,0,1)</f>
        <v>7300</v>
      </c>
      <c r="F8368" s="19">
        <v>12</v>
      </c>
      <c r="G8368" s="20">
        <f>+E8368*F8368</f>
        <v>87600</v>
      </c>
      <c r="H8368" s="211" t="s">
        <v>532</v>
      </c>
    </row>
    <row r="8369" spans="1:7">
      <c r="A8369" s="211" t="s">
        <v>487</v>
      </c>
      <c r="B8369" s="216" t="str">
        <f ca="1">_xlfn.CONCAT(B8364,A8369)</f>
        <v>10FCD6BB-D</v>
      </c>
      <c r="C8369" s="17"/>
      <c r="D8369" s="184"/>
      <c r="E8369" s="197"/>
      <c r="F8369" s="19"/>
      <c r="G8369" s="20"/>
    </row>
    <row r="8370" spans="1:7">
      <c r="A8370" s="211" t="s">
        <v>488</v>
      </c>
      <c r="B8370" s="216" t="str">
        <f ca="1">_xlfn.CONCAT(B8364,A8370)</f>
        <v>10FCD6BB-E</v>
      </c>
      <c r="C8370" s="17"/>
      <c r="D8370" s="184"/>
      <c r="E8370" s="197"/>
      <c r="F8370" s="19"/>
      <c r="G8370" s="20"/>
    </row>
    <row r="8371" spans="1:7">
      <c r="A8371" s="211" t="s">
        <v>489</v>
      </c>
      <c r="B8371" s="216" t="str">
        <f ca="1">_xlfn.CONCAT(B8364,A8371)</f>
        <v>10FCD6BB-F</v>
      </c>
      <c r="C8371" s="17"/>
      <c r="D8371" s="184"/>
      <c r="E8371" s="197"/>
      <c r="F8371" s="19"/>
      <c r="G8371" s="20"/>
    </row>
    <row r="8372" spans="1:7">
      <c r="A8372" s="211" t="s">
        <v>490</v>
      </c>
      <c r="B8372" s="216" t="str">
        <f ca="1">_xlfn.CONCAT(B8364,A8372)</f>
        <v>10FCD6BB-G</v>
      </c>
      <c r="C8372" s="17"/>
      <c r="D8372" s="184"/>
      <c r="E8372" s="197"/>
      <c r="F8372" s="19"/>
      <c r="G8372" s="20"/>
    </row>
    <row r="8373" spans="1:7">
      <c r="A8373" s="211" t="s">
        <v>491</v>
      </c>
      <c r="B8373" s="216" t="str">
        <f ca="1">_xlfn.CONCAT(B8364,A8373)</f>
        <v>10FCD6BB-H</v>
      </c>
      <c r="C8373" s="17"/>
      <c r="D8373" s="184"/>
      <c r="E8373" s="197"/>
      <c r="F8373" s="19"/>
      <c r="G8373" s="20"/>
    </row>
    <row r="8374" spans="1:7">
      <c r="A8374" s="211" t="s">
        <v>492</v>
      </c>
      <c r="B8374" s="216" t="str">
        <f ca="1">_xlfn.CONCAT(B8364,A8374)</f>
        <v>10FCD6BB-I</v>
      </c>
      <c r="C8374" s="17"/>
      <c r="D8374" s="184"/>
      <c r="E8374" s="197"/>
      <c r="F8374" s="19"/>
      <c r="G8374" s="20"/>
    </row>
    <row r="8375" spans="1:7">
      <c r="A8375" s="211" t="s">
        <v>493</v>
      </c>
      <c r="B8375" s="216" t="str">
        <f ca="1">_xlfn.CONCAT(B8364,A8375)</f>
        <v>10FCD6BB-J</v>
      </c>
      <c r="C8375" s="17"/>
      <c r="D8375" s="184"/>
      <c r="E8375" s="197"/>
      <c r="F8375" s="19"/>
      <c r="G8375" s="20"/>
    </row>
    <row r="8376" spans="1:7">
      <c r="A8376" s="211" t="s">
        <v>494</v>
      </c>
      <c r="B8376" s="216" t="str">
        <f ca="1">_xlfn.CONCAT(B8364,A8376)</f>
        <v>10FCD6BB-K</v>
      </c>
      <c r="C8376" s="17"/>
      <c r="D8376" s="184"/>
      <c r="E8376" s="197"/>
      <c r="F8376" s="19"/>
      <c r="G8376" s="20"/>
    </row>
    <row r="8377" spans="1:7">
      <c r="A8377" s="211" t="s">
        <v>495</v>
      </c>
      <c r="B8377" s="216" t="str">
        <f ca="1">_xlfn.CONCAT(B8364,A8377)</f>
        <v>10FCD6BB-L</v>
      </c>
      <c r="C8377" s="17"/>
      <c r="D8377" s="184"/>
      <c r="E8377" s="197"/>
      <c r="F8377" s="19"/>
      <c r="G8377" s="20"/>
    </row>
    <row r="8378" spans="1:7">
      <c r="A8378" s="211" t="s">
        <v>496</v>
      </c>
      <c r="B8378" s="216" t="str">
        <f ca="1">_xlfn.CONCAT(B8364,A8378)</f>
        <v>10FCD6BB-M</v>
      </c>
      <c r="C8378" s="17"/>
      <c r="D8378" s="184"/>
      <c r="E8378" s="197"/>
      <c r="F8378" s="19"/>
      <c r="G8378" s="20"/>
    </row>
    <row r="8379" spans="1:7">
      <c r="A8379" s="211" t="s">
        <v>497</v>
      </c>
      <c r="B8379" s="216" t="str">
        <f ca="1">_xlfn.CONCAT(B8364,A8379)</f>
        <v>10FCD6BB-N</v>
      </c>
      <c r="C8379" s="17"/>
      <c r="D8379" s="184"/>
      <c r="E8379" s="197"/>
      <c r="F8379" s="19"/>
      <c r="G8379" s="20"/>
    </row>
    <row r="8380" spans="1:7">
      <c r="A8380" s="211" t="s">
        <v>498</v>
      </c>
      <c r="B8380" s="216" t="str">
        <f ca="1">_xlfn.CONCAT(B8364,A8380)</f>
        <v>10FCD6BB-O</v>
      </c>
      <c r="C8380" s="17"/>
      <c r="D8380" s="184"/>
      <c r="E8380" s="197"/>
      <c r="F8380" s="19"/>
      <c r="G8380" s="20"/>
    </row>
    <row r="8381" spans="1:7">
      <c r="A8381" s="211" t="s">
        <v>499</v>
      </c>
      <c r="B8381" s="216" t="str">
        <f ca="1">_xlfn.CONCAT(B8364,A8381)</f>
        <v>10FCD6BB-P</v>
      </c>
      <c r="C8381" s="17"/>
      <c r="D8381" s="184"/>
      <c r="E8381" s="197"/>
      <c r="F8381" s="19"/>
      <c r="G8381" s="20"/>
    </row>
    <row r="8382" spans="1:7">
      <c r="A8382" s="211" t="s">
        <v>500</v>
      </c>
      <c r="B8382" s="216" t="str">
        <f ca="1">_xlfn.CONCAT(B8364,A8382)</f>
        <v>10FCD6BB-Q</v>
      </c>
      <c r="C8382" s="17"/>
      <c r="D8382" s="184"/>
      <c r="E8382" s="197"/>
      <c r="F8382" s="19"/>
      <c r="G8382" s="20"/>
    </row>
    <row r="8383" spans="1:7">
      <c r="A8383" s="211" t="s">
        <v>501</v>
      </c>
      <c r="B8383" s="216" t="str">
        <f ca="1">_xlfn.CONCAT(B8364,A8383)</f>
        <v>10FCD6BB-R</v>
      </c>
      <c r="C8383" s="17"/>
      <c r="D8383" s="184"/>
      <c r="E8383" s="197"/>
      <c r="F8383" s="19"/>
      <c r="G8383" s="20"/>
    </row>
    <row r="8384" spans="1:7">
      <c r="A8384" s="211" t="s">
        <v>502</v>
      </c>
      <c r="B8384" s="216" t="str">
        <f ca="1">_xlfn.CONCAT(B8364,A8384)</f>
        <v>10FCD6BB-S</v>
      </c>
      <c r="C8384" s="17"/>
      <c r="D8384" s="184"/>
      <c r="E8384" s="197"/>
      <c r="F8384" s="19"/>
      <c r="G8384" s="20"/>
    </row>
    <row r="8385" spans="1:7">
      <c r="A8385" s="211" t="s">
        <v>503</v>
      </c>
      <c r="B8385" s="216" t="str">
        <f ca="1">_xlfn.CONCAT(B8364,A8385)</f>
        <v>10FCD6BB-T</v>
      </c>
      <c r="C8385" s="17"/>
      <c r="D8385" s="184"/>
      <c r="E8385" s="197"/>
      <c r="F8385" s="19"/>
      <c r="G8385" s="20"/>
    </row>
    <row r="8386" spans="1:7" ht="14.25" thickBot="1">
      <c r="A8386" s="211" t="s">
        <v>504</v>
      </c>
      <c r="B8386" s="216" t="str">
        <f ca="1">_xlfn.CONCAT(B8364,A8386)</f>
        <v>10FCD6BB-U</v>
      </c>
      <c r="C8386" s="17"/>
      <c r="D8386" s="184"/>
      <c r="E8386" s="197"/>
      <c r="F8386" s="19"/>
      <c r="G8386" s="20"/>
    </row>
    <row r="8387" spans="1:7" ht="14.25" thickBot="1">
      <c r="A8387" s="211" t="s">
        <v>505</v>
      </c>
      <c r="B8387" s="216" t="str">
        <f ca="1">_xlfn.CONCAT(B8364,A8387)</f>
        <v>10FCD6BB-V</v>
      </c>
      <c r="C8387" s="17" t="s">
        <v>17</v>
      </c>
      <c r="D8387" s="192" t="s">
        <v>17</v>
      </c>
      <c r="E8387" s="18"/>
      <c r="F8387" s="22" t="s">
        <v>18</v>
      </c>
      <c r="G8387" s="23">
        <f>SUM(G8366:G8386)</f>
        <v>9842900</v>
      </c>
    </row>
    <row r="8388" spans="1:7" ht="15.75" thickBot="1">
      <c r="A8388" s="211" t="s">
        <v>506</v>
      </c>
      <c r="B8388" s="216" t="str">
        <f ca="1">_xlfn.CONCAT(B8364,A8388)</f>
        <v>10FCD6BB-W</v>
      </c>
      <c r="C8388" s="10" t="s">
        <v>19</v>
      </c>
      <c r="D8388" s="190"/>
      <c r="E8388" s="11"/>
      <c r="F8388" s="12"/>
      <c r="G8388" s="13"/>
    </row>
    <row r="8389" spans="1:7" ht="14.25" thickBot="1">
      <c r="A8389" s="211" t="s">
        <v>507</v>
      </c>
      <c r="B8389" s="216" t="str">
        <f ca="1">_xlfn.CONCAT(B8364,A8389)</f>
        <v>10FCD6BB-X</v>
      </c>
      <c r="C8389" s="14" t="s">
        <v>1</v>
      </c>
      <c r="D8389" s="15"/>
      <c r="E8389" s="15" t="s">
        <v>20</v>
      </c>
      <c r="F8389" s="16" t="s">
        <v>21</v>
      </c>
      <c r="G8389" s="15" t="s">
        <v>5</v>
      </c>
    </row>
    <row r="8390" spans="1:7">
      <c r="A8390" s="211" t="s">
        <v>508</v>
      </c>
      <c r="B8390" s="216" t="str">
        <f ca="1">_xlfn.CONCAT(B8364,A8390)</f>
        <v>10FCD6BB-Y</v>
      </c>
      <c r="C8390" s="24" t="s">
        <v>22</v>
      </c>
      <c r="D8390" s="184"/>
      <c r="E8390" s="25">
        <f>_xlfn.XLOOKUP(C8390,'H-MO'!B$7:B$30,'H-MO'!D$7:D$30,,0,1)</f>
        <v>2436.5624999999995</v>
      </c>
      <c r="F8390" s="19">
        <v>15</v>
      </c>
      <c r="G8390" s="33">
        <f t="shared" ref="G8390:G8395" si="239">+E8390*F8390</f>
        <v>36548.437499999993</v>
      </c>
    </row>
    <row r="8391" spans="1:7">
      <c r="A8391" s="211" t="s">
        <v>509</v>
      </c>
      <c r="B8391" s="216" t="str">
        <f ca="1">_xlfn.CONCAT(B8364,A8391)</f>
        <v>10FCD6BB-Z</v>
      </c>
      <c r="C8391" s="24" t="s">
        <v>23</v>
      </c>
      <c r="D8391" s="184"/>
      <c r="E8391" s="25">
        <f>_xlfn.XLOOKUP(C8391,'H-MO'!B$7:B$30,'H-MO'!D$7:D$30,,0,1)</f>
        <v>1461.9374999999998</v>
      </c>
      <c r="F8391" s="19">
        <v>10</v>
      </c>
      <c r="G8391" s="33">
        <f t="shared" si="239"/>
        <v>14619.374999999998</v>
      </c>
    </row>
    <row r="8392" spans="1:7">
      <c r="A8392" s="211" t="s">
        <v>510</v>
      </c>
      <c r="B8392" s="216" t="str">
        <f ca="1">_xlfn.CONCAT(B8364,A8392)</f>
        <v>10FCD6BB-aa</v>
      </c>
      <c r="C8392" s="24" t="s">
        <v>24</v>
      </c>
      <c r="D8392" s="185"/>
      <c r="E8392" s="25">
        <f>_xlfn.XLOOKUP(C8392,'H-MO'!B$7:B$30,'H-MO'!D$7:D$30,,0,1)</f>
        <v>29238.749999999996</v>
      </c>
      <c r="F8392" s="28">
        <v>8</v>
      </c>
      <c r="G8392" s="33">
        <f t="shared" si="239"/>
        <v>233909.99999999997</v>
      </c>
    </row>
    <row r="8393" spans="1:7">
      <c r="A8393" s="211" t="s">
        <v>511</v>
      </c>
      <c r="B8393" s="216" t="str">
        <f ca="1">_xlfn.CONCAT(B8364,A8393)</f>
        <v>10FCD6BB-ab</v>
      </c>
      <c r="C8393" s="24" t="s">
        <v>25</v>
      </c>
      <c r="D8393" s="185"/>
      <c r="E8393" s="25">
        <f>_xlfn.XLOOKUP(C8393,'H-MO'!B$7:B$30,'H-MO'!D$7:D$30,,0,1)</f>
        <v>2761.4374999999995</v>
      </c>
      <c r="F8393" s="28">
        <v>2</v>
      </c>
      <c r="G8393" s="33">
        <f t="shared" si="239"/>
        <v>5522.8749999999991</v>
      </c>
    </row>
    <row r="8394" spans="1:7">
      <c r="A8394" s="211" t="s">
        <v>512</v>
      </c>
      <c r="B8394" s="216" t="str">
        <f ca="1">_xlfn.CONCAT(B8364,A8394)</f>
        <v>10FCD6BB-ac</v>
      </c>
      <c r="C8394" s="24"/>
      <c r="D8394" s="185"/>
      <c r="E8394" s="29"/>
      <c r="F8394" s="28"/>
      <c r="G8394" s="33">
        <f t="shared" si="239"/>
        <v>0</v>
      </c>
    </row>
    <row r="8395" spans="1:7" ht="14.25" thickBot="1">
      <c r="A8395" s="211" t="s">
        <v>513</v>
      </c>
      <c r="B8395" s="216" t="str">
        <f ca="1">_xlfn.CONCAT(B8364,A8395)</f>
        <v>10FCD6BB-ad</v>
      </c>
      <c r="C8395" s="24"/>
      <c r="D8395" s="185"/>
      <c r="E8395" s="29"/>
      <c r="F8395" s="28"/>
      <c r="G8395" s="33">
        <f t="shared" si="239"/>
        <v>0</v>
      </c>
    </row>
    <row r="8396" spans="1:7" ht="14.25" thickBot="1">
      <c r="A8396" s="211" t="s">
        <v>514</v>
      </c>
      <c r="B8396" s="216" t="str">
        <f ca="1">_xlfn.CONCAT(B8364,A8396)</f>
        <v>10FCD6BB-ae</v>
      </c>
      <c r="C8396" s="17"/>
      <c r="D8396" s="192"/>
      <c r="E8396" s="18"/>
      <c r="F8396" s="22" t="s">
        <v>26</v>
      </c>
      <c r="G8396" s="23">
        <f>SUM(G8390:G8395)</f>
        <v>290600.68749999994</v>
      </c>
    </row>
    <row r="8397" spans="1:7" ht="15.75" thickBot="1">
      <c r="A8397" s="211" t="s">
        <v>515</v>
      </c>
      <c r="B8397" s="216" t="str">
        <f ca="1">_xlfn.CONCAT(B8364,A8397)</f>
        <v>10FCD6BB-af</v>
      </c>
      <c r="C8397" s="10" t="s">
        <v>27</v>
      </c>
      <c r="D8397" s="190"/>
      <c r="E8397" s="11"/>
      <c r="F8397" s="12"/>
      <c r="G8397" s="13"/>
    </row>
    <row r="8398" spans="1:7" ht="14.25" thickBot="1">
      <c r="A8398" s="211" t="s">
        <v>516</v>
      </c>
      <c r="B8398" s="216" t="str">
        <f ca="1">_xlfn.CONCAT(B8364,A8398)</f>
        <v>10FCD6BB-ag</v>
      </c>
      <c r="C8398" s="14" t="s">
        <v>1</v>
      </c>
      <c r="D8398" s="15" t="s">
        <v>28</v>
      </c>
      <c r="E8398" s="15" t="s">
        <v>20</v>
      </c>
      <c r="F8398" s="16" t="s">
        <v>21</v>
      </c>
      <c r="G8398" s="15" t="s">
        <v>5</v>
      </c>
    </row>
    <row r="8399" spans="1:7">
      <c r="A8399" s="211" t="s">
        <v>517</v>
      </c>
      <c r="B8399" s="216" t="str">
        <f ca="1">_xlfn.CONCAT(B8364,A8399)</f>
        <v>10FCD6BB-ah</v>
      </c>
      <c r="C8399" s="30" t="s">
        <v>29</v>
      </c>
      <c r="D8399" s="186">
        <f>'H-MO'!$N$77</f>
        <v>725918.52892505517</v>
      </c>
      <c r="E8399" s="31">
        <f>+D8399/8</f>
        <v>90739.816115631897</v>
      </c>
      <c r="F8399" s="32">
        <v>12</v>
      </c>
      <c r="G8399" s="33">
        <f>+E8399*F8399</f>
        <v>1088877.7933875828</v>
      </c>
    </row>
    <row r="8400" spans="1:7">
      <c r="A8400" s="211" t="s">
        <v>518</v>
      </c>
      <c r="B8400" s="216" t="str">
        <f ca="1">_xlfn.CONCAT(B8364,A8400)</f>
        <v>10FCD6BB-ai</v>
      </c>
      <c r="C8400" s="34" t="s">
        <v>30</v>
      </c>
      <c r="D8400" s="187">
        <f>'H-MO'!$N$86</f>
        <v>685561.39085756091</v>
      </c>
      <c r="E8400" s="29">
        <f>+D8400/8</f>
        <v>85695.173857195114</v>
      </c>
      <c r="F8400" s="28">
        <v>0</v>
      </c>
      <c r="G8400" s="33">
        <f>+E8400*F8400</f>
        <v>0</v>
      </c>
    </row>
    <row r="8401" spans="1:8" ht="14.25" thickBot="1">
      <c r="A8401" s="211" t="s">
        <v>519</v>
      </c>
      <c r="B8401" s="216" t="str">
        <f ca="1">_xlfn.CONCAT(B8364,A8401)</f>
        <v>10FCD6BB-aj</v>
      </c>
      <c r="C8401" s="34"/>
      <c r="D8401" s="187"/>
      <c r="E8401" s="29"/>
      <c r="F8401" s="28"/>
      <c r="G8401" s="33">
        <f>+E8401*F8401</f>
        <v>0</v>
      </c>
    </row>
    <row r="8402" spans="1:8" ht="14.25" thickBot="1">
      <c r="A8402" s="211" t="s">
        <v>520</v>
      </c>
      <c r="B8402" s="216" t="str">
        <f ca="1">_xlfn.CONCAT(B8364,A8402)</f>
        <v>10FCD6BB-ak</v>
      </c>
      <c r="C8402" s="34"/>
      <c r="D8402" s="185"/>
      <c r="E8402" s="26"/>
      <c r="F8402" s="36" t="s">
        <v>31</v>
      </c>
      <c r="G8402" s="23">
        <f>SUM(G8399:G8401)</f>
        <v>1088877.7933875828</v>
      </c>
    </row>
    <row r="8403" spans="1:8" ht="14.25" thickBot="1">
      <c r="A8403" s="211" t="s">
        <v>521</v>
      </c>
      <c r="B8403" s="216" t="str">
        <f ca="1">_xlfn.CONCAT(B8364,A8403)</f>
        <v>10FCD6BB-al</v>
      </c>
      <c r="C8403" s="37"/>
      <c r="E8403" s="38"/>
      <c r="F8403" s="22"/>
      <c r="G8403" s="39"/>
    </row>
    <row r="8404" spans="1:8" ht="16.5" thickBot="1">
      <c r="A8404" s="211" t="s">
        <v>522</v>
      </c>
      <c r="B8404" s="216" t="str">
        <f ca="1">_xlfn.CONCAT(B8364,A8404)</f>
        <v>10FCD6BB-am</v>
      </c>
      <c r="C8404" s="40"/>
      <c r="D8404" s="193"/>
      <c r="E8404" s="41"/>
      <c r="F8404" s="42"/>
      <c r="G8404" s="43">
        <f>+G8387+G8396+G8402</f>
        <v>11222378.480887583</v>
      </c>
    </row>
    <row r="8405" spans="1:8" ht="21.75" thickBot="1">
      <c r="B8405" s="212" t="s">
        <v>550</v>
      </c>
      <c r="C8405" s="2"/>
      <c r="D8405" s="183"/>
      <c r="F8405" s="4"/>
      <c r="G8405" s="5"/>
    </row>
    <row r="8406" spans="1:8" ht="18.75">
      <c r="A8406" s="213"/>
      <c r="B8406" s="214">
        <v>191</v>
      </c>
      <c r="C8406" s="242" t="str">
        <f ca="1">_xlfn.XLOOKUP(B8406,Cantidades!$A$10:$A$314,Cantidades!$C$10:$C$314,,0,1)</f>
        <v>Suministro e instalacion de transferencia automatica de 400A</v>
      </c>
      <c r="D8406" s="243"/>
      <c r="E8406" s="243"/>
      <c r="F8406" s="243"/>
      <c r="G8406" s="244"/>
    </row>
    <row r="8407" spans="1:8" ht="19.5" thickBot="1">
      <c r="A8407" s="215"/>
      <c r="B8407" s="216" t="s">
        <v>550</v>
      </c>
      <c r="C8407" s="177"/>
      <c r="D8407" s="189"/>
      <c r="E8407" s="178"/>
      <c r="F8407" s="179" t="s">
        <v>636</v>
      </c>
      <c r="G8407" s="209" t="str">
        <f ca="1">B8408</f>
        <v>39941F8E-</v>
      </c>
    </row>
    <row r="8408" spans="1:8" ht="15.75" thickBot="1">
      <c r="B8408" s="212" t="str">
        <f ca="1">_xlfn.XLOOKUP(C8406,Cantidades!$C$1:$C$314,Cantidades!$B$1:$B$314,"",0,1)</f>
        <v>39941F8E-</v>
      </c>
      <c r="C8408" s="10" t="s">
        <v>0</v>
      </c>
      <c r="D8408" s="190"/>
      <c r="E8408" s="11"/>
      <c r="F8408" s="12"/>
      <c r="G8408" s="13"/>
    </row>
    <row r="8409" spans="1:8" ht="14.25" thickBot="1">
      <c r="A8409" s="215"/>
      <c r="B8409" s="216" t="s">
        <v>550</v>
      </c>
      <c r="C8409" s="14" t="s">
        <v>1</v>
      </c>
      <c r="D8409" s="15" t="s">
        <v>2</v>
      </c>
      <c r="E8409" s="15" t="s">
        <v>3</v>
      </c>
      <c r="F8409" s="16" t="s">
        <v>4</v>
      </c>
      <c r="G8409" s="15" t="s">
        <v>5</v>
      </c>
    </row>
    <row r="8410" spans="1:8">
      <c r="A8410" s="211" t="s">
        <v>484</v>
      </c>
      <c r="B8410" s="216" t="str">
        <f ca="1">_xlfn.CONCAT(B8408,A8410)</f>
        <v>39941F8E-A</v>
      </c>
      <c r="C8410" s="17" t="str">
        <f>_xlfn.XLOOKUP(H8410,'Materiales unitario'!$A$1:$A$2500,'Materiales unitario'!B$1:B$2500,,0,1)</f>
        <v>Gabinete metalico para tablero cal 16</v>
      </c>
      <c r="D8410" s="184" t="str">
        <f>_xlfn.XLOOKUP(H8410,'Materiales unitario'!A$1:A$2500,'Materiales unitario'!C$1:C$2500,,0,1)</f>
        <v>un</v>
      </c>
      <c r="E8410" s="197">
        <f>_xlfn.XLOOKUP(H8410,'Materiales unitario'!$A$1:$A$2500,'Materiales unitario'!D$1:D$2500,,0,1)</f>
        <v>1600000</v>
      </c>
      <c r="F8410" s="19">
        <v>1</v>
      </c>
      <c r="G8410" s="20">
        <f t="shared" ref="G8410:G8416" si="240">+E8410*F8410</f>
        <v>1600000</v>
      </c>
      <c r="H8410" s="211" t="s">
        <v>1367</v>
      </c>
    </row>
    <row r="8411" spans="1:8">
      <c r="A8411" s="211" t="s">
        <v>485</v>
      </c>
      <c r="B8411" s="216" t="str">
        <f ca="1">_xlfn.CONCAT(B8408,A8411)</f>
        <v>39941F8E-B</v>
      </c>
      <c r="C8411" s="17" t="str">
        <f>_xlfn.XLOOKUP(H8411,'Materiales unitario'!$A$1:$A$2500,'Materiales unitario'!B$1:B$2500,,0,1)</f>
        <v>Transferencia automatica 400A</v>
      </c>
      <c r="D8411" s="184" t="str">
        <f>_xlfn.XLOOKUP(H8411,'Materiales unitario'!A$1:A$2500,'Materiales unitario'!C$1:C$2500,,0,1)</f>
        <v>un</v>
      </c>
      <c r="E8411" s="197">
        <f>_xlfn.XLOOKUP(H8411,'Materiales unitario'!$A$1:$A$2500,'Materiales unitario'!D$1:D$2500,,0,1)</f>
        <v>9863500</v>
      </c>
      <c r="F8411" s="19">
        <v>1</v>
      </c>
      <c r="G8411" s="20">
        <f t="shared" si="240"/>
        <v>9863500</v>
      </c>
      <c r="H8411" s="211" t="s">
        <v>1499</v>
      </c>
    </row>
    <row r="8412" spans="1:8">
      <c r="A8412" s="211" t="s">
        <v>486</v>
      </c>
      <c r="B8412" s="216" t="str">
        <f ca="1">_xlfn.CONCAT(B8408,A8412)</f>
        <v>39941F8E-C</v>
      </c>
      <c r="C8412" s="17" t="str">
        <f>_xlfn.XLOOKUP(H8412,'Materiales unitario'!$A$1:$A$2500,'Materiales unitario'!B$1:B$2500,,0,1)</f>
        <v>Interruptor industrial 400A</v>
      </c>
      <c r="D8412" s="184" t="str">
        <f>_xlfn.XLOOKUP(H8412,'Materiales unitario'!A$1:A$2500,'Materiales unitario'!C$1:C$2500,,0,1)</f>
        <v>un</v>
      </c>
      <c r="E8412" s="197">
        <f>_xlfn.XLOOKUP(H8412,'Materiales unitario'!$A$1:$A$2500,'Materiales unitario'!D$1:D$2500,,0,1)</f>
        <v>2266740</v>
      </c>
      <c r="F8412" s="19">
        <v>1</v>
      </c>
      <c r="G8412" s="20">
        <f t="shared" si="240"/>
        <v>2266740</v>
      </c>
      <c r="H8412" s="211" t="s">
        <v>1501</v>
      </c>
    </row>
    <row r="8413" spans="1:8">
      <c r="A8413" s="211" t="s">
        <v>487</v>
      </c>
      <c r="B8413" s="216" t="str">
        <f ca="1">_xlfn.CONCAT(B8408,A8413)</f>
        <v>39941F8E-D</v>
      </c>
      <c r="C8413" s="17" t="str">
        <f>_xlfn.XLOOKUP(H8413,'Materiales unitario'!$A$1:$A$2500,'Materiales unitario'!B$1:B$2500,,0,1)</f>
        <v>Módulo de transferencia para conmutación automática ATL600</v>
      </c>
      <c r="D8413" s="184" t="str">
        <f>_xlfn.XLOOKUP(H8413,'Materiales unitario'!A$1:A$2500,'Materiales unitario'!C$1:C$2500,,0,1)</f>
        <v>un</v>
      </c>
      <c r="E8413" s="197">
        <f>_xlfn.XLOOKUP(H8413,'Materiales unitario'!$A$1:$A$2500,'Materiales unitario'!D$1:D$2500,,0,1)</f>
        <v>1670400</v>
      </c>
      <c r="F8413" s="19">
        <v>1</v>
      </c>
      <c r="G8413" s="20">
        <f t="shared" si="240"/>
        <v>1670400</v>
      </c>
      <c r="H8413" s="211" t="s">
        <v>1485</v>
      </c>
    </row>
    <row r="8414" spans="1:8">
      <c r="A8414" s="211" t="s">
        <v>488</v>
      </c>
      <c r="B8414" s="216" t="str">
        <f ca="1">_xlfn.CONCAT(B8408,A8414)</f>
        <v>39941F8E-E</v>
      </c>
      <c r="C8414" s="17" t="str">
        <f>_xlfn.XLOOKUP(H8414,'Materiales unitario'!$A$1:$A$2500,'Materiales unitario'!B$1:B$2500,,0,1)</f>
        <v>Platina de cobre 100A</v>
      </c>
      <c r="D8414" s="184" t="str">
        <f>_xlfn.XLOOKUP(H8414,'Materiales unitario'!A$1:A$2500,'Materiales unitario'!C$1:C$2500,,0,1)</f>
        <v>ml</v>
      </c>
      <c r="E8414" s="197">
        <f>_xlfn.XLOOKUP(H8414,'Materiales unitario'!$A$1:$A$2500,'Materiales unitario'!D$1:D$2500,,0,1)</f>
        <v>234600</v>
      </c>
      <c r="F8414" s="19">
        <v>8</v>
      </c>
      <c r="G8414" s="20">
        <f t="shared" si="240"/>
        <v>1876800</v>
      </c>
      <c r="H8414" s="211" t="s">
        <v>1502</v>
      </c>
    </row>
    <row r="8415" spans="1:8">
      <c r="A8415" s="211" t="s">
        <v>489</v>
      </c>
      <c r="B8415" s="216" t="str">
        <f ca="1">_xlfn.CONCAT(B8408,A8415)</f>
        <v>39941F8E-F</v>
      </c>
      <c r="C8415" s="17" t="str">
        <f>_xlfn.XLOOKUP(H8415,'Materiales unitario'!$A$1:$A$2500,'Materiales unitario'!B$1:B$2500,,0,1)</f>
        <v>Insumos Mayores</v>
      </c>
      <c r="D8415" s="184" t="str">
        <f>_xlfn.XLOOKUP(H8415,'Materiales unitario'!A$1:A$2500,'Materiales unitario'!C$1:C$2500,,0,1)</f>
        <v>gb</v>
      </c>
      <c r="E8415" s="197">
        <f>_xlfn.XLOOKUP(H8415,'Materiales unitario'!$A$1:$A$2500,'Materiales unitario'!D$1:D$2500,,0,1)</f>
        <v>1000000</v>
      </c>
      <c r="F8415" s="19">
        <v>3</v>
      </c>
      <c r="G8415" s="20">
        <f t="shared" si="240"/>
        <v>3000000</v>
      </c>
      <c r="H8415" s="211" t="s">
        <v>1489</v>
      </c>
    </row>
    <row r="8416" spans="1:8">
      <c r="A8416" s="211" t="s">
        <v>490</v>
      </c>
      <c r="B8416" s="216" t="str">
        <f ca="1">_xlfn.CONCAT(B8408,A8416)</f>
        <v>39941F8E-G</v>
      </c>
      <c r="C8416" s="17" t="str">
        <f>_xlfn.XLOOKUP(H8416,'Materiales unitario'!$A$1:$A$2500,'Materiales unitario'!B$1:B$2500,,0,1)</f>
        <v>Construccion</v>
      </c>
      <c r="D8416" s="184" t="str">
        <f>_xlfn.XLOOKUP(H8416,'Materiales unitario'!A$1:A$2500,'Materiales unitario'!C$1:C$2500,,0,1)</f>
        <v>gb</v>
      </c>
      <c r="E8416" s="197">
        <f>_xlfn.XLOOKUP(H8416,'Materiales unitario'!$A$1:$A$2500,'Materiales unitario'!D$1:D$2500,,0,1)</f>
        <v>5000000</v>
      </c>
      <c r="F8416" s="19">
        <v>1.2</v>
      </c>
      <c r="G8416" s="20">
        <f t="shared" si="240"/>
        <v>6000000</v>
      </c>
      <c r="H8416" s="211" t="s">
        <v>1491</v>
      </c>
    </row>
    <row r="8417" spans="1:7">
      <c r="A8417" s="211" t="s">
        <v>491</v>
      </c>
      <c r="B8417" s="216" t="str">
        <f ca="1">_xlfn.CONCAT(B8408,A8417)</f>
        <v>39941F8E-H</v>
      </c>
      <c r="C8417" s="17"/>
      <c r="D8417" s="184"/>
      <c r="E8417" s="197"/>
      <c r="F8417" s="19"/>
      <c r="G8417" s="20"/>
    </row>
    <row r="8418" spans="1:7">
      <c r="A8418" s="211" t="s">
        <v>492</v>
      </c>
      <c r="B8418" s="216" t="str">
        <f ca="1">_xlfn.CONCAT(B8408,A8418)</f>
        <v>39941F8E-I</v>
      </c>
      <c r="C8418" s="17"/>
      <c r="D8418" s="184"/>
      <c r="E8418" s="197"/>
      <c r="F8418" s="19"/>
      <c r="G8418" s="20"/>
    </row>
    <row r="8419" spans="1:7">
      <c r="A8419" s="211" t="s">
        <v>493</v>
      </c>
      <c r="B8419" s="216" t="str">
        <f ca="1">_xlfn.CONCAT(B8408,A8419)</f>
        <v>39941F8E-J</v>
      </c>
      <c r="C8419" s="17"/>
      <c r="D8419" s="184"/>
      <c r="E8419" s="197"/>
      <c r="F8419" s="19"/>
      <c r="G8419" s="20"/>
    </row>
    <row r="8420" spans="1:7">
      <c r="A8420" s="211" t="s">
        <v>494</v>
      </c>
      <c r="B8420" s="216" t="str">
        <f ca="1">_xlfn.CONCAT(B8408,A8420)</f>
        <v>39941F8E-K</v>
      </c>
      <c r="C8420" s="17"/>
      <c r="D8420" s="184"/>
      <c r="E8420" s="197"/>
      <c r="F8420" s="19"/>
      <c r="G8420" s="20"/>
    </row>
    <row r="8421" spans="1:7">
      <c r="A8421" s="211" t="s">
        <v>495</v>
      </c>
      <c r="B8421" s="216" t="str">
        <f ca="1">_xlfn.CONCAT(B8408,A8421)</f>
        <v>39941F8E-L</v>
      </c>
      <c r="C8421" s="17"/>
      <c r="D8421" s="184"/>
      <c r="E8421" s="197"/>
      <c r="F8421" s="19"/>
      <c r="G8421" s="20"/>
    </row>
    <row r="8422" spans="1:7">
      <c r="A8422" s="211" t="s">
        <v>496</v>
      </c>
      <c r="B8422" s="216" t="str">
        <f ca="1">_xlfn.CONCAT(B8408,A8422)</f>
        <v>39941F8E-M</v>
      </c>
      <c r="C8422" s="17"/>
      <c r="D8422" s="184"/>
      <c r="E8422" s="197"/>
      <c r="F8422" s="19"/>
      <c r="G8422" s="20"/>
    </row>
    <row r="8423" spans="1:7">
      <c r="A8423" s="211" t="s">
        <v>497</v>
      </c>
      <c r="B8423" s="216" t="str">
        <f ca="1">_xlfn.CONCAT(B8408,A8423)</f>
        <v>39941F8E-N</v>
      </c>
      <c r="C8423" s="17"/>
      <c r="D8423" s="184"/>
      <c r="E8423" s="197"/>
      <c r="F8423" s="19"/>
      <c r="G8423" s="20"/>
    </row>
    <row r="8424" spans="1:7">
      <c r="A8424" s="211" t="s">
        <v>498</v>
      </c>
      <c r="B8424" s="216" t="str">
        <f ca="1">_xlfn.CONCAT(B8408,A8424)</f>
        <v>39941F8E-O</v>
      </c>
      <c r="C8424" s="17"/>
      <c r="D8424" s="184"/>
      <c r="E8424" s="197"/>
      <c r="F8424" s="19"/>
      <c r="G8424" s="20"/>
    </row>
    <row r="8425" spans="1:7">
      <c r="A8425" s="211" t="s">
        <v>499</v>
      </c>
      <c r="B8425" s="216" t="str">
        <f ca="1">_xlfn.CONCAT(B8408,A8425)</f>
        <v>39941F8E-P</v>
      </c>
      <c r="C8425" s="17"/>
      <c r="D8425" s="184"/>
      <c r="E8425" s="197"/>
      <c r="F8425" s="19"/>
      <c r="G8425" s="20"/>
    </row>
    <row r="8426" spans="1:7">
      <c r="A8426" s="211" t="s">
        <v>500</v>
      </c>
      <c r="B8426" s="216" t="str">
        <f ca="1">_xlfn.CONCAT(B8408,A8426)</f>
        <v>39941F8E-Q</v>
      </c>
      <c r="C8426" s="17"/>
      <c r="D8426" s="184"/>
      <c r="E8426" s="197"/>
      <c r="F8426" s="19"/>
      <c r="G8426" s="20"/>
    </row>
    <row r="8427" spans="1:7">
      <c r="A8427" s="211" t="s">
        <v>501</v>
      </c>
      <c r="B8427" s="216" t="str">
        <f ca="1">_xlfn.CONCAT(B8408,A8427)</f>
        <v>39941F8E-R</v>
      </c>
      <c r="C8427" s="17"/>
      <c r="D8427" s="184"/>
      <c r="E8427" s="197"/>
      <c r="F8427" s="19"/>
      <c r="G8427" s="20"/>
    </row>
    <row r="8428" spans="1:7">
      <c r="A8428" s="211" t="s">
        <v>502</v>
      </c>
      <c r="B8428" s="216" t="str">
        <f ca="1">_xlfn.CONCAT(B8408,A8428)</f>
        <v>39941F8E-S</v>
      </c>
      <c r="C8428" s="17"/>
      <c r="D8428" s="184"/>
      <c r="E8428" s="197"/>
      <c r="F8428" s="19"/>
      <c r="G8428" s="20"/>
    </row>
    <row r="8429" spans="1:7">
      <c r="A8429" s="211" t="s">
        <v>503</v>
      </c>
      <c r="B8429" s="216" t="str">
        <f ca="1">_xlfn.CONCAT(B8408,A8429)</f>
        <v>39941F8E-T</v>
      </c>
      <c r="C8429" s="17"/>
      <c r="D8429" s="184"/>
      <c r="E8429" s="197"/>
      <c r="F8429" s="19"/>
      <c r="G8429" s="20"/>
    </row>
    <row r="8430" spans="1:7" ht="14.25" thickBot="1">
      <c r="A8430" s="211" t="s">
        <v>504</v>
      </c>
      <c r="B8430" s="216" t="str">
        <f ca="1">_xlfn.CONCAT(B8408,A8430)</f>
        <v>39941F8E-U</v>
      </c>
      <c r="C8430" s="17"/>
      <c r="D8430" s="184"/>
      <c r="E8430" s="197"/>
      <c r="F8430" s="19"/>
      <c r="G8430" s="20"/>
    </row>
    <row r="8431" spans="1:7" ht="14.25" thickBot="1">
      <c r="A8431" s="211" t="s">
        <v>505</v>
      </c>
      <c r="B8431" s="216" t="str">
        <f ca="1">_xlfn.CONCAT(B8408,A8431)</f>
        <v>39941F8E-V</v>
      </c>
      <c r="C8431" s="17" t="s">
        <v>17</v>
      </c>
      <c r="D8431" s="192" t="s">
        <v>17</v>
      </c>
      <c r="E8431" s="18"/>
      <c r="F8431" s="22" t="s">
        <v>18</v>
      </c>
      <c r="G8431" s="23">
        <f>SUM(G8410:G8430)</f>
        <v>26277440</v>
      </c>
    </row>
    <row r="8432" spans="1:7" ht="15.75" thickBot="1">
      <c r="A8432" s="211" t="s">
        <v>506</v>
      </c>
      <c r="B8432" s="216" t="str">
        <f ca="1">_xlfn.CONCAT(B8408,A8432)</f>
        <v>39941F8E-W</v>
      </c>
      <c r="C8432" s="10" t="s">
        <v>19</v>
      </c>
      <c r="D8432" s="190"/>
      <c r="E8432" s="11"/>
      <c r="F8432" s="12"/>
      <c r="G8432" s="13"/>
    </row>
    <row r="8433" spans="1:7" ht="14.25" thickBot="1">
      <c r="A8433" s="211" t="s">
        <v>507</v>
      </c>
      <c r="B8433" s="216" t="str">
        <f ca="1">_xlfn.CONCAT(B8408,A8433)</f>
        <v>39941F8E-X</v>
      </c>
      <c r="C8433" s="14" t="s">
        <v>1</v>
      </c>
      <c r="D8433" s="15"/>
      <c r="E8433" s="15" t="s">
        <v>20</v>
      </c>
      <c r="F8433" s="16" t="s">
        <v>21</v>
      </c>
      <c r="G8433" s="15" t="s">
        <v>5</v>
      </c>
    </row>
    <row r="8434" spans="1:7">
      <c r="A8434" s="211" t="s">
        <v>508</v>
      </c>
      <c r="B8434" s="216" t="str">
        <f ca="1">_xlfn.CONCAT(B8408,A8434)</f>
        <v>39941F8E-Y</v>
      </c>
      <c r="C8434" s="24" t="s">
        <v>22</v>
      </c>
      <c r="D8434" s="184"/>
      <c r="E8434" s="25">
        <f>_xlfn.XLOOKUP(C8434,'H-MO'!B$7:B$30,'H-MO'!D$7:D$30,,0,1)</f>
        <v>2436.5624999999995</v>
      </c>
      <c r="F8434" s="19">
        <v>15</v>
      </c>
      <c r="G8434" s="33">
        <f t="shared" ref="G8434:G8439" si="241">+E8434*F8434</f>
        <v>36548.437499999993</v>
      </c>
    </row>
    <row r="8435" spans="1:7">
      <c r="A8435" s="211" t="s">
        <v>509</v>
      </c>
      <c r="B8435" s="216" t="str">
        <f ca="1">_xlfn.CONCAT(B8408,A8435)</f>
        <v>39941F8E-Z</v>
      </c>
      <c r="C8435" s="24" t="s">
        <v>23</v>
      </c>
      <c r="D8435" s="184"/>
      <c r="E8435" s="25">
        <f>_xlfn.XLOOKUP(C8435,'H-MO'!B$7:B$30,'H-MO'!D$7:D$30,,0,1)</f>
        <v>1461.9374999999998</v>
      </c>
      <c r="F8435" s="19">
        <v>8</v>
      </c>
      <c r="G8435" s="33">
        <f t="shared" si="241"/>
        <v>11695.499999999998</v>
      </c>
    </row>
    <row r="8436" spans="1:7">
      <c r="A8436" s="211" t="s">
        <v>510</v>
      </c>
      <c r="B8436" s="216" t="str">
        <f ca="1">_xlfn.CONCAT(B8408,A8436)</f>
        <v>39941F8E-aa</v>
      </c>
      <c r="C8436" s="24" t="s">
        <v>24</v>
      </c>
      <c r="D8436" s="185"/>
      <c r="E8436" s="25">
        <f>_xlfn.XLOOKUP(C8436,'H-MO'!B$7:B$30,'H-MO'!D$7:D$30,,0,1)</f>
        <v>29238.749999999996</v>
      </c>
      <c r="F8436" s="28">
        <v>10</v>
      </c>
      <c r="G8436" s="33">
        <f t="shared" si="241"/>
        <v>292387.49999999994</v>
      </c>
    </row>
    <row r="8437" spans="1:7">
      <c r="A8437" s="211" t="s">
        <v>511</v>
      </c>
      <c r="B8437" s="216" t="str">
        <f ca="1">_xlfn.CONCAT(B8408,A8437)</f>
        <v>39941F8E-ab</v>
      </c>
      <c r="C8437" s="24" t="s">
        <v>25</v>
      </c>
      <c r="D8437" s="185"/>
      <c r="E8437" s="25">
        <f>_xlfn.XLOOKUP(C8437,'H-MO'!B$7:B$30,'H-MO'!D$7:D$30,,0,1)</f>
        <v>2761.4374999999995</v>
      </c>
      <c r="F8437" s="28">
        <v>25</v>
      </c>
      <c r="G8437" s="33">
        <f t="shared" si="241"/>
        <v>69035.937499999985</v>
      </c>
    </row>
    <row r="8438" spans="1:7">
      <c r="A8438" s="211" t="s">
        <v>512</v>
      </c>
      <c r="B8438" s="216" t="str">
        <f ca="1">_xlfn.CONCAT(B8408,A8438)</f>
        <v>39941F8E-ac</v>
      </c>
      <c r="C8438" s="24"/>
      <c r="D8438" s="185"/>
      <c r="E8438" s="29"/>
      <c r="F8438" s="28"/>
      <c r="G8438" s="33">
        <f t="shared" si="241"/>
        <v>0</v>
      </c>
    </row>
    <row r="8439" spans="1:7" ht="14.25" thickBot="1">
      <c r="A8439" s="211" t="s">
        <v>513</v>
      </c>
      <c r="B8439" s="216" t="str">
        <f ca="1">_xlfn.CONCAT(B8408,A8439)</f>
        <v>39941F8E-ad</v>
      </c>
      <c r="C8439" s="24"/>
      <c r="D8439" s="185"/>
      <c r="E8439" s="29"/>
      <c r="F8439" s="28"/>
      <c r="G8439" s="33">
        <f t="shared" si="241"/>
        <v>0</v>
      </c>
    </row>
    <row r="8440" spans="1:7" ht="14.25" thickBot="1">
      <c r="A8440" s="211" t="s">
        <v>514</v>
      </c>
      <c r="B8440" s="216" t="str">
        <f ca="1">_xlfn.CONCAT(B8408,A8440)</f>
        <v>39941F8E-ae</v>
      </c>
      <c r="C8440" s="17"/>
      <c r="D8440" s="192"/>
      <c r="E8440" s="18"/>
      <c r="F8440" s="22" t="s">
        <v>26</v>
      </c>
      <c r="G8440" s="23">
        <f>SUM(G8434:G8439)</f>
        <v>409667.37499999994</v>
      </c>
    </row>
    <row r="8441" spans="1:7" ht="15.75" thickBot="1">
      <c r="A8441" s="211" t="s">
        <v>515</v>
      </c>
      <c r="B8441" s="216" t="str">
        <f ca="1">_xlfn.CONCAT(B8408,A8441)</f>
        <v>39941F8E-af</v>
      </c>
      <c r="C8441" s="10" t="s">
        <v>27</v>
      </c>
      <c r="D8441" s="190"/>
      <c r="E8441" s="11"/>
      <c r="F8441" s="12"/>
      <c r="G8441" s="13"/>
    </row>
    <row r="8442" spans="1:7" ht="14.25" thickBot="1">
      <c r="A8442" s="211" t="s">
        <v>516</v>
      </c>
      <c r="B8442" s="216" t="str">
        <f ca="1">_xlfn.CONCAT(B8408,A8442)</f>
        <v>39941F8E-ag</v>
      </c>
      <c r="C8442" s="14" t="s">
        <v>1</v>
      </c>
      <c r="D8442" s="15" t="s">
        <v>28</v>
      </c>
      <c r="E8442" s="15" t="s">
        <v>20</v>
      </c>
      <c r="F8442" s="16" t="s">
        <v>21</v>
      </c>
      <c r="G8442" s="15" t="s">
        <v>5</v>
      </c>
    </row>
    <row r="8443" spans="1:7">
      <c r="A8443" s="211" t="s">
        <v>517</v>
      </c>
      <c r="B8443" s="216" t="str">
        <f ca="1">_xlfn.CONCAT(B8408,A8443)</f>
        <v>39941F8E-ah</v>
      </c>
      <c r="C8443" s="30" t="s">
        <v>29</v>
      </c>
      <c r="D8443" s="186">
        <f>'H-MO'!$N$77</f>
        <v>725918.52892505517</v>
      </c>
      <c r="E8443" s="31">
        <f>+D8443/8</f>
        <v>90739.816115631897</v>
      </c>
      <c r="F8443" s="32">
        <v>20</v>
      </c>
      <c r="G8443" s="33">
        <f>+E8443*F8443</f>
        <v>1814796.3223126379</v>
      </c>
    </row>
    <row r="8444" spans="1:7">
      <c r="A8444" s="211" t="s">
        <v>518</v>
      </c>
      <c r="B8444" s="216" t="str">
        <f ca="1">_xlfn.CONCAT(B8408,A8444)</f>
        <v>39941F8E-ai</v>
      </c>
      <c r="C8444" s="34" t="s">
        <v>30</v>
      </c>
      <c r="D8444" s="187">
        <f>'H-MO'!$N$86</f>
        <v>685561.39085756091</v>
      </c>
      <c r="E8444" s="29">
        <f>+D8444/8</f>
        <v>85695.173857195114</v>
      </c>
      <c r="F8444" s="28">
        <v>0</v>
      </c>
      <c r="G8444" s="33">
        <f>+E8444*F8444</f>
        <v>0</v>
      </c>
    </row>
    <row r="8445" spans="1:7" ht="14.25" thickBot="1">
      <c r="A8445" s="211" t="s">
        <v>519</v>
      </c>
      <c r="B8445" s="216" t="str">
        <f ca="1">_xlfn.CONCAT(B8408,A8445)</f>
        <v>39941F8E-aj</v>
      </c>
      <c r="C8445" s="34"/>
      <c r="D8445" s="187"/>
      <c r="E8445" s="29"/>
      <c r="F8445" s="28"/>
      <c r="G8445" s="33">
        <f>+E8445*F8445</f>
        <v>0</v>
      </c>
    </row>
    <row r="8446" spans="1:7" ht="14.25" thickBot="1">
      <c r="A8446" s="211" t="s">
        <v>520</v>
      </c>
      <c r="B8446" s="216" t="str">
        <f ca="1">_xlfn.CONCAT(B8408,A8446)</f>
        <v>39941F8E-ak</v>
      </c>
      <c r="C8446" s="34"/>
      <c r="D8446" s="185"/>
      <c r="E8446" s="26"/>
      <c r="F8446" s="36" t="s">
        <v>31</v>
      </c>
      <c r="G8446" s="23">
        <f>SUM(G8443:G8445)</f>
        <v>1814796.3223126379</v>
      </c>
    </row>
    <row r="8447" spans="1:7" ht="14.25" thickBot="1">
      <c r="A8447" s="211" t="s">
        <v>521</v>
      </c>
      <c r="B8447" s="216" t="str">
        <f ca="1">_xlfn.CONCAT(B8408,A8447)</f>
        <v>39941F8E-al</v>
      </c>
      <c r="C8447" s="37"/>
      <c r="E8447" s="38"/>
      <c r="F8447" s="22"/>
      <c r="G8447" s="39"/>
    </row>
    <row r="8448" spans="1:7" ht="16.5" thickBot="1">
      <c r="A8448" s="211" t="s">
        <v>522</v>
      </c>
      <c r="B8448" s="216" t="str">
        <f ca="1">_xlfn.CONCAT(B8408,A8448)</f>
        <v>39941F8E-am</v>
      </c>
      <c r="C8448" s="40"/>
      <c r="D8448" s="193"/>
      <c r="E8448" s="41"/>
      <c r="F8448" s="42"/>
      <c r="G8448" s="43">
        <f>+G8431+G8440+G8446</f>
        <v>28501903.697312638</v>
      </c>
    </row>
    <row r="8449" spans="1:8" ht="21.75" thickBot="1">
      <c r="B8449" s="212" t="s">
        <v>550</v>
      </c>
      <c r="C8449" s="2"/>
      <c r="D8449" s="183"/>
      <c r="F8449" s="4"/>
      <c r="G8449" s="5"/>
    </row>
    <row r="8450" spans="1:8" ht="18.75">
      <c r="A8450" s="213"/>
      <c r="B8450" s="214">
        <v>192</v>
      </c>
      <c r="C8450" s="242" t="str">
        <f ca="1">_xlfn.XLOOKUP(B8450,Cantidades!$A$10:$A$314,Cantidades!$C$10:$C$314,,0,1)</f>
        <v>Suministro e instalación de salida para Tomacorriente doble monofásica Regulada. Incliye tubería EMT, accesorios, caja de conexiones, cableado, señalización y demás elementos para su puesta en servicio.</v>
      </c>
      <c r="D8450" s="243"/>
      <c r="E8450" s="243"/>
      <c r="F8450" s="243"/>
      <c r="G8450" s="244"/>
      <c r="H8450" s="213"/>
    </row>
    <row r="8451" spans="1:8" ht="19.5" thickBot="1">
      <c r="A8451" s="215"/>
      <c r="B8451" s="216" t="s">
        <v>550</v>
      </c>
      <c r="C8451" s="177"/>
      <c r="D8451" s="189"/>
      <c r="E8451" s="178"/>
      <c r="F8451" s="179" t="s">
        <v>636</v>
      </c>
      <c r="G8451" s="209" t="str">
        <f ca="1">B8452</f>
        <v>13BA4BD-</v>
      </c>
      <c r="H8451" s="215"/>
    </row>
    <row r="8452" spans="1:8" ht="15.75" thickBot="1">
      <c r="B8452" s="212" t="str">
        <f ca="1">_xlfn.XLOOKUP(C8450,Cantidades!$C$1:$C$314,Cantidades!$B$1:$B$314,"",0,1)</f>
        <v>13BA4BD-</v>
      </c>
      <c r="C8452" s="10" t="s">
        <v>0</v>
      </c>
      <c r="D8452" s="190"/>
      <c r="E8452" s="11"/>
      <c r="F8452" s="12"/>
      <c r="G8452" s="13"/>
    </row>
    <row r="8453" spans="1:8" ht="14.25" thickBot="1">
      <c r="A8453" s="215"/>
      <c r="B8453" s="216" t="s">
        <v>550</v>
      </c>
      <c r="C8453" s="14" t="s">
        <v>1</v>
      </c>
      <c r="D8453" s="15" t="s">
        <v>2</v>
      </c>
      <c r="E8453" s="15" t="s">
        <v>3</v>
      </c>
      <c r="F8453" s="16" t="s">
        <v>4</v>
      </c>
      <c r="G8453" s="15" t="s">
        <v>5</v>
      </c>
      <c r="H8453" s="215"/>
    </row>
    <row r="8454" spans="1:8">
      <c r="A8454" s="211" t="s">
        <v>484</v>
      </c>
      <c r="B8454" s="216" t="str">
        <f ca="1">_xlfn.CONCAT(B8452,A8454)</f>
        <v>13BA4BD-A</v>
      </c>
      <c r="C8454" s="17" t="str">
        <f>_xlfn.XLOOKUP(H8454,'Materiales unitario'!$A$1:$A$2500,'Materiales unitario'!B$1:B$2500,,0,1)</f>
        <v>Tubo metálico ø3/4" EMT</v>
      </c>
      <c r="D8454" s="184" t="str">
        <f>_xlfn.XLOOKUP(H8454,'Materiales unitario'!A$1:A$2500,'Materiales unitario'!C$1:C$2500,,0,1)</f>
        <v>ml</v>
      </c>
      <c r="E8454" s="197">
        <f>_xlfn.XLOOKUP(H8454,'Materiales unitario'!$A$1:$A$2500,'Materiales unitario'!D$1:D$2500,,0,1)</f>
        <v>11733</v>
      </c>
      <c r="F8454" s="19">
        <v>5</v>
      </c>
      <c r="G8454" s="20">
        <f t="shared" ref="G8454:G8463" si="242">+E8454*F8454</f>
        <v>58665</v>
      </c>
      <c r="H8454" s="211" t="s">
        <v>388</v>
      </c>
    </row>
    <row r="8455" spans="1:8">
      <c r="A8455" s="211" t="s">
        <v>485</v>
      </c>
      <c r="B8455" s="216" t="str">
        <f ca="1">_xlfn.CONCAT(B8452,A8455)</f>
        <v>13BA4BD-B</v>
      </c>
      <c r="C8455" s="17" t="str">
        <f>_xlfn.XLOOKUP(H8455,'Materiales unitario'!$A$1:$A$2500,'Materiales unitario'!B$1:B$2500,,0,1)</f>
        <v>Unión metálica ø3/4" EMT</v>
      </c>
      <c r="D8455" s="184" t="str">
        <f>_xlfn.XLOOKUP(H8455,'Materiales unitario'!A$1:A$2500,'Materiales unitario'!C$1:C$2500,,0,1)</f>
        <v>un</v>
      </c>
      <c r="E8455" s="197">
        <f>_xlfn.XLOOKUP(H8455,'Materiales unitario'!$A$1:$A$2500,'Materiales unitario'!D$1:D$2500,,0,1)</f>
        <v>1800</v>
      </c>
      <c r="F8455" s="19">
        <v>2</v>
      </c>
      <c r="G8455" s="20">
        <f t="shared" si="242"/>
        <v>3600</v>
      </c>
      <c r="H8455" s="211" t="s">
        <v>392</v>
      </c>
    </row>
    <row r="8456" spans="1:8">
      <c r="A8456" s="211" t="s">
        <v>486</v>
      </c>
      <c r="B8456" s="216" t="str">
        <f ca="1">_xlfn.CONCAT(B8452,A8456)</f>
        <v>13BA4BD-C</v>
      </c>
      <c r="C8456" s="17" t="str">
        <f>_xlfn.XLOOKUP(H8456,'Materiales unitario'!$A$1:$A$2500,'Materiales unitario'!B$1:B$2500,,0,1)</f>
        <v xml:space="preserve">Terminal metálico ø3/4" EMT </v>
      </c>
      <c r="D8456" s="184" t="str">
        <f>_xlfn.XLOOKUP(H8456,'Materiales unitario'!A$1:A$2500,'Materiales unitario'!C$1:C$2500,,0,1)</f>
        <v>un</v>
      </c>
      <c r="E8456" s="197">
        <f>_xlfn.XLOOKUP(H8456,'Materiales unitario'!$A$1:$A$2500,'Materiales unitario'!D$1:D$2500,,0,1)</f>
        <v>2200</v>
      </c>
      <c r="F8456" s="19">
        <v>2</v>
      </c>
      <c r="G8456" s="20">
        <f t="shared" si="242"/>
        <v>4400</v>
      </c>
      <c r="H8456" s="211" t="s">
        <v>371</v>
      </c>
    </row>
    <row r="8457" spans="1:8">
      <c r="A8457" s="211" t="s">
        <v>487</v>
      </c>
      <c r="B8457" s="216" t="str">
        <f ca="1">_xlfn.CONCAT(B8452,A8457)</f>
        <v>13BA4BD-D</v>
      </c>
      <c r="C8457" s="17" t="str">
        <f>_xlfn.XLOOKUP(H8457,'Materiales unitario'!$A$1:$A$2500,'Materiales unitario'!B$1:B$2500,,0,1)</f>
        <v xml:space="preserve">Soporte Metálico Uniestruc Tubería ø3/4" </v>
      </c>
      <c r="D8457" s="184" t="str">
        <f>_xlfn.XLOOKUP(H8457,'Materiales unitario'!A$1:A$2500,'Materiales unitario'!C$1:C$2500,,0,1)</f>
        <v>un</v>
      </c>
      <c r="E8457" s="197">
        <f>_xlfn.XLOOKUP(H8457,'Materiales unitario'!$A$1:$A$2500,'Materiales unitario'!D$1:D$2500,,0,1)</f>
        <v>630</v>
      </c>
      <c r="F8457" s="19">
        <v>3</v>
      </c>
      <c r="G8457" s="20">
        <f t="shared" si="242"/>
        <v>1890</v>
      </c>
      <c r="H8457" s="211" t="s">
        <v>356</v>
      </c>
    </row>
    <row r="8458" spans="1:8">
      <c r="A8458" s="211" t="s">
        <v>488</v>
      </c>
      <c r="B8458" s="216" t="str">
        <f ca="1">_xlfn.CONCAT(B8452,A8458)</f>
        <v>13BA4BD-E</v>
      </c>
      <c r="C8458" s="17" t="str">
        <f>_xlfn.XLOOKUP(H8458,'Materiales unitario'!$A$1:$A$2500,'Materiales unitario'!B$1:B$2500,,0,1)</f>
        <v>Alambre de cobre desnudo #12 AWG-ED</v>
      </c>
      <c r="D8458" s="184" t="str">
        <f>_xlfn.XLOOKUP(H8458,'Materiales unitario'!A$1:A$2500,'Materiales unitario'!C$1:C$2500,,0,1)</f>
        <v>ml</v>
      </c>
      <c r="E8458" s="197">
        <f>_xlfn.XLOOKUP(H8458,'Materiales unitario'!$A$1:$A$2500,'Materiales unitario'!D$1:D$2500,,0,1)</f>
        <v>2558.5</v>
      </c>
      <c r="F8458" s="19">
        <v>6</v>
      </c>
      <c r="G8458" s="20">
        <f t="shared" si="242"/>
        <v>15351</v>
      </c>
      <c r="H8458" s="211" t="s">
        <v>227</v>
      </c>
    </row>
    <row r="8459" spans="1:8">
      <c r="A8459" s="211" t="s">
        <v>489</v>
      </c>
      <c r="B8459" s="216" t="str">
        <f ca="1">_xlfn.CONCAT(B8452,A8459)</f>
        <v>13BA4BD-F</v>
      </c>
      <c r="C8459" s="17" t="str">
        <f>_xlfn.XLOOKUP(H8459,'Materiales unitario'!$A$1:$A$2500,'Materiales unitario'!B$1:B$2500,,0,1)</f>
        <v>Alambre de cobre aislado #12 AWG-THHN/THWN Color negro</v>
      </c>
      <c r="D8459" s="184" t="str">
        <f>_xlfn.XLOOKUP(H8459,'Materiales unitario'!A$1:A$2500,'Materiales unitario'!C$1:C$2500,,0,1)</f>
        <v>ml</v>
      </c>
      <c r="E8459" s="197">
        <f>_xlfn.XLOOKUP(H8459,'Materiales unitario'!$A$1:$A$2500,'Materiales unitario'!D$1:D$2500,,0,1)</f>
        <v>2975</v>
      </c>
      <c r="F8459" s="19">
        <v>18</v>
      </c>
      <c r="G8459" s="20">
        <f t="shared" si="242"/>
        <v>53550</v>
      </c>
      <c r="H8459" s="211" t="s">
        <v>524</v>
      </c>
    </row>
    <row r="8460" spans="1:8">
      <c r="A8460" s="211" t="s">
        <v>490</v>
      </c>
      <c r="B8460" s="216" t="str">
        <f ca="1">_xlfn.CONCAT(B8452,A8460)</f>
        <v>13BA4BD-G</v>
      </c>
      <c r="C8460" s="17" t="str">
        <f>_xlfn.XLOOKUP(H8460,'Materiales unitario'!$A$1:$A$2500,'Materiales unitario'!B$1:B$2500,,0,1)</f>
        <v>Conector de resorte rojo "R" 18-10 AWG</v>
      </c>
      <c r="D8460" s="184" t="str">
        <f>_xlfn.XLOOKUP(H8460,'Materiales unitario'!A$1:A$2500,'Materiales unitario'!C$1:C$2500,,0,1)</f>
        <v>un</v>
      </c>
      <c r="E8460" s="197">
        <f>_xlfn.XLOOKUP(H8460,'Materiales unitario'!$A$1:$A$2500,'Materiales unitario'!D$1:D$2500,,0,1)</f>
        <v>280</v>
      </c>
      <c r="F8460" s="19">
        <v>3</v>
      </c>
      <c r="G8460" s="20">
        <f t="shared" si="242"/>
        <v>840</v>
      </c>
      <c r="H8460" s="211" t="s">
        <v>302</v>
      </c>
    </row>
    <row r="8461" spans="1:8">
      <c r="A8461" s="211" t="s">
        <v>491</v>
      </c>
      <c r="B8461" s="216" t="str">
        <f ca="1">_xlfn.CONCAT(B8452,A8461)</f>
        <v>13BA4BD-H</v>
      </c>
      <c r="C8461" s="17" t="str">
        <f>_xlfn.XLOOKUP(H8461,'Materiales unitario'!$A$1:$A$2500,'Materiales unitario'!B$1:B$2500,,0,1)</f>
        <v>Toma doble tierra aislada 15A 125V Nema 5-15R ref. 5262-IG Color Naranja, LEVITON + Tapa.</v>
      </c>
      <c r="D8461" s="184" t="str">
        <f>_xlfn.XLOOKUP(H8461,'Materiales unitario'!A$1:A$2500,'Materiales unitario'!C$1:C$2500,,0,1)</f>
        <v>un</v>
      </c>
      <c r="E8461" s="197">
        <f>_xlfn.XLOOKUP(H8461,'Materiales unitario'!$A$1:$A$2500,'Materiales unitario'!D$1:D$2500,,0,1)</f>
        <v>18196.2</v>
      </c>
      <c r="F8461" s="19">
        <v>1</v>
      </c>
      <c r="G8461" s="20">
        <f t="shared" si="242"/>
        <v>18196.2</v>
      </c>
      <c r="H8461" s="211" t="s">
        <v>376</v>
      </c>
    </row>
    <row r="8462" spans="1:8">
      <c r="A8462" s="211" t="s">
        <v>492</v>
      </c>
      <c r="B8462" s="216" t="str">
        <f ca="1">_xlfn.CONCAT(B8452,A8462)</f>
        <v>13BA4BD-I</v>
      </c>
      <c r="C8462" s="17" t="str">
        <f>_xlfn.XLOOKUP(H8462,'Materiales unitario'!$A$1:$A$2500,'Materiales unitario'!B$1:B$2500,,0,1)</f>
        <v xml:space="preserve">Caja galvanizada ref. 2400 + suplemento (Cal. 20) </v>
      </c>
      <c r="D8462" s="184" t="str">
        <f>_xlfn.XLOOKUP(H8462,'Materiales unitario'!A$1:A$2500,'Materiales unitario'!C$1:C$2500,,0,1)</f>
        <v>un</v>
      </c>
      <c r="E8462" s="197">
        <f>_xlfn.XLOOKUP(H8462,'Materiales unitario'!$A$1:$A$2500,'Materiales unitario'!D$1:D$2500,,0,1)</f>
        <v>4522</v>
      </c>
      <c r="F8462" s="19">
        <v>1</v>
      </c>
      <c r="G8462" s="20">
        <f t="shared" si="242"/>
        <v>4522</v>
      </c>
      <c r="H8462" s="211" t="s">
        <v>283</v>
      </c>
    </row>
    <row r="8463" spans="1:8">
      <c r="A8463" s="211" t="s">
        <v>493</v>
      </c>
      <c r="B8463" s="216" t="str">
        <f ca="1">_xlfn.CONCAT(B8452,A8463)</f>
        <v>13BA4BD-J</v>
      </c>
      <c r="C8463" s="17" t="str">
        <f>_xlfn.XLOOKUP(H8463,'Materiales unitario'!$A$1:$A$2500,'Materiales unitario'!B$1:B$2500,,0,1)</f>
        <v>Marquillas para circuito</v>
      </c>
      <c r="D8463" s="184" t="str">
        <f>_xlfn.XLOOKUP(H8463,'Materiales unitario'!A$1:A$2500,'Materiales unitario'!C$1:C$2500,,0,1)</f>
        <v>un</v>
      </c>
      <c r="E8463" s="197">
        <f>_xlfn.XLOOKUP(H8463,'Materiales unitario'!$A$1:$A$2500,'Materiales unitario'!D$1:D$2500,,0,1)</f>
        <v>1000</v>
      </c>
      <c r="F8463" s="19">
        <v>3</v>
      </c>
      <c r="G8463" s="20">
        <f t="shared" si="242"/>
        <v>3000</v>
      </c>
      <c r="H8463" s="211" t="s">
        <v>339</v>
      </c>
    </row>
    <row r="8464" spans="1:8">
      <c r="A8464" s="211" t="s">
        <v>494</v>
      </c>
      <c r="B8464" s="216" t="str">
        <f ca="1">_xlfn.CONCAT(B8452,A8464)</f>
        <v>13BA4BD-K</v>
      </c>
      <c r="C8464" s="17"/>
      <c r="D8464" s="184"/>
      <c r="E8464" s="197"/>
      <c r="F8464" s="19"/>
      <c r="G8464" s="20"/>
    </row>
    <row r="8465" spans="1:8">
      <c r="A8465" s="211" t="s">
        <v>495</v>
      </c>
      <c r="B8465" s="216" t="str">
        <f ca="1">_xlfn.CONCAT(B8452,A8465)</f>
        <v>13BA4BD-L</v>
      </c>
      <c r="C8465" s="17"/>
      <c r="D8465" s="184"/>
      <c r="E8465" s="197"/>
      <c r="F8465" s="19"/>
      <c r="G8465" s="20"/>
    </row>
    <row r="8466" spans="1:8">
      <c r="A8466" s="211" t="s">
        <v>496</v>
      </c>
      <c r="B8466" s="216" t="str">
        <f ca="1">_xlfn.CONCAT(B8452,A8466)</f>
        <v>13BA4BD-M</v>
      </c>
      <c r="C8466" s="17"/>
      <c r="D8466" s="184"/>
      <c r="E8466" s="197"/>
      <c r="F8466" s="19"/>
      <c r="G8466" s="20"/>
    </row>
    <row r="8467" spans="1:8">
      <c r="A8467" s="211" t="s">
        <v>497</v>
      </c>
      <c r="B8467" s="216" t="str">
        <f ca="1">_xlfn.CONCAT(B8452,A8467)</f>
        <v>13BA4BD-N</v>
      </c>
      <c r="C8467" s="17"/>
      <c r="D8467" s="184"/>
      <c r="E8467" s="197"/>
      <c r="F8467" s="19"/>
      <c r="G8467" s="20"/>
    </row>
    <row r="8468" spans="1:8">
      <c r="A8468" s="211" t="s">
        <v>498</v>
      </c>
      <c r="B8468" s="216" t="str">
        <f ca="1">_xlfn.CONCAT(B8452,A8468)</f>
        <v>13BA4BD-O</v>
      </c>
      <c r="C8468" s="17"/>
      <c r="D8468" s="184"/>
      <c r="E8468" s="197"/>
      <c r="F8468" s="19"/>
      <c r="G8468" s="20"/>
    </row>
    <row r="8469" spans="1:8">
      <c r="A8469" s="211" t="s">
        <v>499</v>
      </c>
      <c r="B8469" s="216" t="str">
        <f ca="1">_xlfn.CONCAT(B8452,A8469)</f>
        <v>13BA4BD-P</v>
      </c>
      <c r="C8469" s="17"/>
      <c r="D8469" s="184"/>
      <c r="E8469" s="197"/>
      <c r="F8469" s="19"/>
      <c r="G8469" s="20"/>
    </row>
    <row r="8470" spans="1:8">
      <c r="A8470" s="211" t="s">
        <v>500</v>
      </c>
      <c r="B8470" s="216" t="str">
        <f ca="1">_xlfn.CONCAT(B8452,A8470)</f>
        <v>13BA4BD-Q</v>
      </c>
      <c r="C8470" s="17"/>
      <c r="D8470" s="184"/>
      <c r="E8470" s="197"/>
      <c r="F8470" s="19"/>
      <c r="G8470" s="20"/>
    </row>
    <row r="8471" spans="1:8">
      <c r="A8471" s="211" t="s">
        <v>501</v>
      </c>
      <c r="B8471" s="216" t="str">
        <f ca="1">_xlfn.CONCAT(B8452,A8471)</f>
        <v>13BA4BD-R</v>
      </c>
      <c r="C8471" s="17"/>
      <c r="D8471" s="184"/>
      <c r="E8471" s="197"/>
      <c r="F8471" s="19"/>
      <c r="G8471" s="20"/>
    </row>
    <row r="8472" spans="1:8">
      <c r="A8472" s="211" t="s">
        <v>502</v>
      </c>
      <c r="B8472" s="216" t="str">
        <f ca="1">_xlfn.CONCAT(B8452,A8472)</f>
        <v>13BA4BD-S</v>
      </c>
      <c r="C8472" s="17"/>
      <c r="D8472" s="184"/>
      <c r="E8472" s="197"/>
      <c r="F8472" s="19"/>
      <c r="G8472" s="20"/>
    </row>
    <row r="8473" spans="1:8">
      <c r="A8473" s="211" t="s">
        <v>503</v>
      </c>
      <c r="B8473" s="216" t="str">
        <f ca="1">_xlfn.CONCAT(B8452,A8473)</f>
        <v>13BA4BD-T</v>
      </c>
      <c r="C8473" s="17"/>
      <c r="D8473" s="184"/>
      <c r="E8473" s="197"/>
      <c r="F8473" s="19"/>
      <c r="G8473" s="20"/>
    </row>
    <row r="8474" spans="1:8" ht="14.25" thickBot="1">
      <c r="A8474" s="211" t="s">
        <v>504</v>
      </c>
      <c r="B8474" s="216" t="str">
        <f ca="1">_xlfn.CONCAT(B8452,A8474)</f>
        <v>13BA4BD-U</v>
      </c>
      <c r="C8474" s="17"/>
      <c r="D8474" s="184"/>
      <c r="E8474" s="197"/>
      <c r="F8474" s="19"/>
      <c r="G8474" s="20"/>
    </row>
    <row r="8475" spans="1:8" ht="14.25" thickBot="1">
      <c r="A8475" s="211" t="s">
        <v>505</v>
      </c>
      <c r="B8475" s="216" t="str">
        <f ca="1">_xlfn.CONCAT(B8452,A8475)</f>
        <v>13BA4BD-V</v>
      </c>
      <c r="C8475" s="17" t="s">
        <v>17</v>
      </c>
      <c r="D8475" s="192" t="s">
        <v>17</v>
      </c>
      <c r="E8475" s="18"/>
      <c r="F8475" s="22" t="s">
        <v>18</v>
      </c>
      <c r="G8475" s="23">
        <f>SUM(G8454:G8474)</f>
        <v>164014.20000000001</v>
      </c>
    </row>
    <row r="8476" spans="1:8" ht="15.75" thickBot="1">
      <c r="A8476" s="211" t="s">
        <v>506</v>
      </c>
      <c r="B8476" s="216" t="str">
        <f ca="1">_xlfn.CONCAT(B8452,A8476)</f>
        <v>13BA4BD-W</v>
      </c>
      <c r="C8476" s="10" t="s">
        <v>19</v>
      </c>
      <c r="D8476" s="190"/>
      <c r="E8476" s="11"/>
      <c r="F8476" s="12"/>
      <c r="G8476" s="13"/>
    </row>
    <row r="8477" spans="1:8" ht="14.25" thickBot="1">
      <c r="A8477" s="211" t="s">
        <v>507</v>
      </c>
      <c r="B8477" s="216" t="str">
        <f ca="1">_xlfn.CONCAT(B8452,A8477)</f>
        <v>13BA4BD-X</v>
      </c>
      <c r="C8477" s="14" t="s">
        <v>1</v>
      </c>
      <c r="D8477" s="15"/>
      <c r="E8477" s="15" t="s">
        <v>20</v>
      </c>
      <c r="F8477" s="16" t="s">
        <v>21</v>
      </c>
      <c r="G8477" s="15" t="s">
        <v>5</v>
      </c>
      <c r="H8477" s="215"/>
    </row>
    <row r="8478" spans="1:8">
      <c r="A8478" s="211" t="s">
        <v>508</v>
      </c>
      <c r="B8478" s="216" t="str">
        <f ca="1">_xlfn.CONCAT(B8452,A8478)</f>
        <v>13BA4BD-Y</v>
      </c>
      <c r="C8478" s="24" t="s">
        <v>22</v>
      </c>
      <c r="D8478" s="184"/>
      <c r="E8478" s="25">
        <f>_xlfn.XLOOKUP(C8478,'H-MO'!B$7:B$30,'H-MO'!D$7:D$30,,0,1)</f>
        <v>2436.5624999999995</v>
      </c>
      <c r="F8478" s="19">
        <v>0.45</v>
      </c>
      <c r="G8478" s="33">
        <f t="shared" ref="G8478:G8483" si="243">+E8478*F8478</f>
        <v>1096.4531249999998</v>
      </c>
    </row>
    <row r="8479" spans="1:8">
      <c r="A8479" s="211" t="s">
        <v>509</v>
      </c>
      <c r="B8479" s="216" t="str">
        <f ca="1">_xlfn.CONCAT(B8452,A8479)</f>
        <v>13BA4BD-Z</v>
      </c>
      <c r="C8479" s="24" t="s">
        <v>23</v>
      </c>
      <c r="D8479" s="184"/>
      <c r="E8479" s="25">
        <f>_xlfn.XLOOKUP(C8479,'H-MO'!B$7:B$30,'H-MO'!D$7:D$30,,0,1)</f>
        <v>1461.9374999999998</v>
      </c>
      <c r="F8479" s="19">
        <v>9.7711304347826086E-2</v>
      </c>
      <c r="G8479" s="33">
        <f t="shared" si="243"/>
        <v>142.84781999999998</v>
      </c>
    </row>
    <row r="8480" spans="1:8">
      <c r="A8480" s="211" t="s">
        <v>510</v>
      </c>
      <c r="B8480" s="216" t="str">
        <f ca="1">_xlfn.CONCAT(B8452,A8480)</f>
        <v>13BA4BD-aa</v>
      </c>
      <c r="C8480" s="24" t="s">
        <v>24</v>
      </c>
      <c r="D8480" s="185"/>
      <c r="E8480" s="25">
        <f>_xlfn.XLOOKUP(C8480,'H-MO'!B$7:B$30,'H-MO'!D$7:D$30,,0,1)</f>
        <v>29238.749999999996</v>
      </c>
      <c r="F8480" s="28">
        <v>1.6285217391304348E-3</v>
      </c>
      <c r="G8480" s="33">
        <f t="shared" si="243"/>
        <v>47.615939999999995</v>
      </c>
    </row>
    <row r="8481" spans="1:8">
      <c r="A8481" s="211" t="s">
        <v>511</v>
      </c>
      <c r="B8481" s="216" t="str">
        <f ca="1">_xlfn.CONCAT(B8452,A8481)</f>
        <v>13BA4BD-ab</v>
      </c>
      <c r="C8481" s="24" t="s">
        <v>25</v>
      </c>
      <c r="D8481" s="185"/>
      <c r="E8481" s="25">
        <f>_xlfn.XLOOKUP(C8481,'H-MO'!B$7:B$30,'H-MO'!D$7:D$30,,0,1)</f>
        <v>2761.4374999999995</v>
      </c>
      <c r="F8481" s="28">
        <v>0.6</v>
      </c>
      <c r="G8481" s="33">
        <f t="shared" si="243"/>
        <v>1656.8624999999997</v>
      </c>
    </row>
    <row r="8482" spans="1:8">
      <c r="A8482" s="211" t="s">
        <v>512</v>
      </c>
      <c r="B8482" s="216" t="str">
        <f ca="1">_xlfn.CONCAT(B8452,A8482)</f>
        <v>13BA4BD-ac</v>
      </c>
      <c r="C8482" s="24"/>
      <c r="D8482" s="185"/>
      <c r="E8482" s="29"/>
      <c r="F8482" s="28"/>
      <c r="G8482" s="33">
        <f t="shared" si="243"/>
        <v>0</v>
      </c>
    </row>
    <row r="8483" spans="1:8" ht="14.25" thickBot="1">
      <c r="A8483" s="211" t="s">
        <v>513</v>
      </c>
      <c r="B8483" s="216" t="str">
        <f ca="1">_xlfn.CONCAT(B8452,A8483)</f>
        <v>13BA4BD-ad</v>
      </c>
      <c r="C8483" s="24"/>
      <c r="D8483" s="185"/>
      <c r="E8483" s="29"/>
      <c r="F8483" s="28"/>
      <c r="G8483" s="33">
        <f t="shared" si="243"/>
        <v>0</v>
      </c>
    </row>
    <row r="8484" spans="1:8" ht="14.25" thickBot="1">
      <c r="A8484" s="211" t="s">
        <v>514</v>
      </c>
      <c r="B8484" s="216" t="str">
        <f ca="1">_xlfn.CONCAT(B8452,A8484)</f>
        <v>13BA4BD-ae</v>
      </c>
      <c r="C8484" s="17"/>
      <c r="D8484" s="192"/>
      <c r="E8484" s="18"/>
      <c r="F8484" s="22" t="s">
        <v>26</v>
      </c>
      <c r="G8484" s="23">
        <f>SUM(G8478:G8483)</f>
        <v>2943.7793849999994</v>
      </c>
    </row>
    <row r="8485" spans="1:8" ht="15.75" thickBot="1">
      <c r="A8485" s="211" t="s">
        <v>515</v>
      </c>
      <c r="B8485" s="216" t="str">
        <f ca="1">_xlfn.CONCAT(B8452,A8485)</f>
        <v>13BA4BD-af</v>
      </c>
      <c r="C8485" s="10" t="s">
        <v>27</v>
      </c>
      <c r="D8485" s="190"/>
      <c r="E8485" s="11"/>
      <c r="F8485" s="12"/>
      <c r="G8485" s="13"/>
    </row>
    <row r="8486" spans="1:8" ht="14.25" thickBot="1">
      <c r="A8486" s="211" t="s">
        <v>516</v>
      </c>
      <c r="B8486" s="216" t="str">
        <f ca="1">_xlfn.CONCAT(B8452,A8486)</f>
        <v>13BA4BD-ag</v>
      </c>
      <c r="C8486" s="14" t="s">
        <v>1</v>
      </c>
      <c r="D8486" s="15" t="s">
        <v>28</v>
      </c>
      <c r="E8486" s="15" t="s">
        <v>20</v>
      </c>
      <c r="F8486" s="16" t="s">
        <v>21</v>
      </c>
      <c r="G8486" s="15" t="s">
        <v>5</v>
      </c>
      <c r="H8486" s="215"/>
    </row>
    <row r="8487" spans="1:8">
      <c r="A8487" s="211" t="s">
        <v>517</v>
      </c>
      <c r="B8487" s="216" t="str">
        <f ca="1">_xlfn.CONCAT(B8452,A8487)</f>
        <v>13BA4BD-ah</v>
      </c>
      <c r="C8487" s="30" t="s">
        <v>29</v>
      </c>
      <c r="D8487" s="186">
        <f>'H-MO'!$N$77</f>
        <v>725918.52892505517</v>
      </c>
      <c r="E8487" s="31">
        <f>+D8487/8</f>
        <v>90739.816115631897</v>
      </c>
      <c r="F8487" s="32">
        <v>0.45</v>
      </c>
      <c r="G8487" s="33">
        <f>+E8487*F8487</f>
        <v>40832.917252034356</v>
      </c>
    </row>
    <row r="8488" spans="1:8">
      <c r="A8488" s="211" t="s">
        <v>518</v>
      </c>
      <c r="B8488" s="216" t="str">
        <f ca="1">_xlfn.CONCAT(B8452,A8488)</f>
        <v>13BA4BD-ai</v>
      </c>
      <c r="C8488" s="34" t="s">
        <v>30</v>
      </c>
      <c r="D8488" s="187">
        <f>'H-MO'!$N$86</f>
        <v>685561.39085756091</v>
      </c>
      <c r="E8488" s="29">
        <f>+D8488/8</f>
        <v>85695.173857195114</v>
      </c>
      <c r="F8488" s="28">
        <v>0</v>
      </c>
      <c r="G8488" s="33">
        <f>+E8488*F8488</f>
        <v>0</v>
      </c>
    </row>
    <row r="8489" spans="1:8" ht="14.25" thickBot="1">
      <c r="A8489" s="211" t="s">
        <v>519</v>
      </c>
      <c r="B8489" s="216" t="str">
        <f ca="1">_xlfn.CONCAT(B8452,A8489)</f>
        <v>13BA4BD-aj</v>
      </c>
      <c r="C8489" s="34"/>
      <c r="D8489" s="187"/>
      <c r="E8489" s="29"/>
      <c r="F8489" s="28"/>
      <c r="G8489" s="33">
        <f>+E8489*F8489</f>
        <v>0</v>
      </c>
    </row>
    <row r="8490" spans="1:8" ht="14.25" thickBot="1">
      <c r="A8490" s="211" t="s">
        <v>520</v>
      </c>
      <c r="B8490" s="216" t="str">
        <f ca="1">_xlfn.CONCAT(B8452,A8490)</f>
        <v>13BA4BD-ak</v>
      </c>
      <c r="C8490" s="34"/>
      <c r="D8490" s="185"/>
      <c r="E8490" s="26"/>
      <c r="F8490" s="36" t="s">
        <v>31</v>
      </c>
      <c r="G8490" s="23">
        <f>SUM(G8487:G8489)</f>
        <v>40832.917252034356</v>
      </c>
    </row>
    <row r="8491" spans="1:8" ht="14.25" thickBot="1">
      <c r="A8491" s="211" t="s">
        <v>521</v>
      </c>
      <c r="B8491" s="216" t="str">
        <f ca="1">_xlfn.CONCAT(B8452,A8491)</f>
        <v>13BA4BD-al</v>
      </c>
      <c r="C8491" s="37"/>
      <c r="E8491" s="38"/>
      <c r="F8491" s="22"/>
      <c r="G8491" s="39"/>
    </row>
    <row r="8492" spans="1:8" ht="16.5" thickBot="1">
      <c r="A8492" s="211" t="s">
        <v>522</v>
      </c>
      <c r="B8492" s="216" t="str">
        <f ca="1">_xlfn.CONCAT(B8452,A8492)</f>
        <v>13BA4BD-am</v>
      </c>
      <c r="C8492" s="40"/>
      <c r="D8492" s="193"/>
      <c r="E8492" s="41"/>
      <c r="F8492" s="42"/>
      <c r="G8492" s="43">
        <f>+G8475+G8484+G8490</f>
        <v>207790.89663703437</v>
      </c>
    </row>
    <row r="8493" spans="1:8" ht="21.75" thickBot="1">
      <c r="B8493" s="212" t="s">
        <v>550</v>
      </c>
      <c r="C8493" s="2"/>
      <c r="D8493" s="183"/>
      <c r="F8493" s="4"/>
      <c r="G8493" s="5"/>
    </row>
    <row r="8494" spans="1:8" ht="18.75">
      <c r="A8494" s="213"/>
      <c r="B8494" s="214">
        <v>193</v>
      </c>
      <c r="C8494" s="242" t="str">
        <f ca="1">_xlfn.XLOOKUP(B8494,Cantidades!$A$10:$A$314,Cantidades!$C$10:$C$314,,0,1)</f>
        <v>Suministro e instalación de salida para roseta. Incluye roseta de 4"en porcelana. Incluye caja de conexión, cable #12 AWG de cobre, tubería EMT y demás accesorios para su correcta instalación,  fincionamiento y señalización.</v>
      </c>
      <c r="D8494" s="243"/>
      <c r="E8494" s="243"/>
      <c r="F8494" s="243"/>
      <c r="G8494" s="244"/>
      <c r="H8494" s="213"/>
    </row>
    <row r="8495" spans="1:8" ht="19.5" thickBot="1">
      <c r="A8495" s="215"/>
      <c r="B8495" s="216" t="s">
        <v>550</v>
      </c>
      <c r="C8495" s="177"/>
      <c r="D8495" s="189"/>
      <c r="E8495" s="178"/>
      <c r="F8495" s="179" t="s">
        <v>636</v>
      </c>
      <c r="G8495" s="209" t="str">
        <f ca="1">B8496</f>
        <v>1F6D91D5-</v>
      </c>
      <c r="H8495" s="215"/>
    </row>
    <row r="8496" spans="1:8" ht="15.75" thickBot="1">
      <c r="B8496" s="212" t="str">
        <f ca="1">_xlfn.XLOOKUP(C8494,Cantidades!$C$1:$C$314,Cantidades!$B$1:$B$314,"",0,1)</f>
        <v>1F6D91D5-</v>
      </c>
      <c r="C8496" s="10" t="s">
        <v>0</v>
      </c>
      <c r="D8496" s="190"/>
      <c r="E8496" s="11"/>
      <c r="F8496" s="12"/>
      <c r="G8496" s="13"/>
    </row>
    <row r="8497" spans="1:8" ht="14.25" thickBot="1">
      <c r="A8497" s="215"/>
      <c r="B8497" s="216" t="s">
        <v>550</v>
      </c>
      <c r="C8497" s="14" t="s">
        <v>1</v>
      </c>
      <c r="D8497" s="15" t="s">
        <v>2</v>
      </c>
      <c r="E8497" s="15" t="s">
        <v>3</v>
      </c>
      <c r="F8497" s="16" t="s">
        <v>4</v>
      </c>
      <c r="G8497" s="15" t="s">
        <v>5</v>
      </c>
      <c r="H8497" s="215"/>
    </row>
    <row r="8498" spans="1:8">
      <c r="A8498" s="211" t="s">
        <v>484</v>
      </c>
      <c r="B8498" s="216" t="str">
        <f ca="1">_xlfn.CONCAT(B8496,A8498)</f>
        <v>1F6D91D5-A</v>
      </c>
      <c r="C8498" s="17" t="str">
        <f>_xlfn.XLOOKUP(H8498,'Materiales unitario'!$A$1:$A$2500,'Materiales unitario'!B$1:B$2500,,0,1)</f>
        <v>Tubo metálico ø3/4" EMT</v>
      </c>
      <c r="D8498" s="184" t="str">
        <f>_xlfn.XLOOKUP(H8498,'Materiales unitario'!A$1:A$2500,'Materiales unitario'!C$1:C$2500,,0,1)</f>
        <v>ml</v>
      </c>
      <c r="E8498" s="197">
        <f>_xlfn.XLOOKUP(H8498,'Materiales unitario'!$A$1:$A$2500,'Materiales unitario'!D$1:D$2500,,0,1)</f>
        <v>11733</v>
      </c>
      <c r="F8498" s="19">
        <v>3</v>
      </c>
      <c r="G8498" s="20">
        <f t="shared" ref="G8498:G8507" si="244">+E8498*F8498</f>
        <v>35199</v>
      </c>
      <c r="H8498" s="211" t="s">
        <v>388</v>
      </c>
    </row>
    <row r="8499" spans="1:8">
      <c r="A8499" s="211" t="s">
        <v>485</v>
      </c>
      <c r="B8499" s="216" t="str">
        <f ca="1">_xlfn.CONCAT(B8496,A8499)</f>
        <v>1F6D91D5-B</v>
      </c>
      <c r="C8499" s="17" t="str">
        <f>_xlfn.XLOOKUP(H8499,'Materiales unitario'!$A$1:$A$2500,'Materiales unitario'!B$1:B$2500,,0,1)</f>
        <v>Unión metálica ø3/4" EMT</v>
      </c>
      <c r="D8499" s="184" t="str">
        <f>_xlfn.XLOOKUP(H8499,'Materiales unitario'!A$1:A$2500,'Materiales unitario'!C$1:C$2500,,0,1)</f>
        <v>un</v>
      </c>
      <c r="E8499" s="197">
        <f>_xlfn.XLOOKUP(H8499,'Materiales unitario'!$A$1:$A$2500,'Materiales unitario'!D$1:D$2500,,0,1)</f>
        <v>1800</v>
      </c>
      <c r="F8499" s="19">
        <v>1</v>
      </c>
      <c r="G8499" s="20">
        <f t="shared" si="244"/>
        <v>1800</v>
      </c>
      <c r="H8499" s="211" t="s">
        <v>392</v>
      </c>
    </row>
    <row r="8500" spans="1:8">
      <c r="A8500" s="211" t="s">
        <v>486</v>
      </c>
      <c r="B8500" s="216" t="str">
        <f ca="1">_xlfn.CONCAT(B8496,A8500)</f>
        <v>1F6D91D5-C</v>
      </c>
      <c r="C8500" s="17" t="str">
        <f>_xlfn.XLOOKUP(H8500,'Materiales unitario'!$A$1:$A$2500,'Materiales unitario'!B$1:B$2500,,0,1)</f>
        <v xml:space="preserve">Terminal metálico ø3/4" EMT </v>
      </c>
      <c r="D8500" s="184" t="str">
        <f>_xlfn.XLOOKUP(H8500,'Materiales unitario'!A$1:A$2500,'Materiales unitario'!C$1:C$2500,,0,1)</f>
        <v>un</v>
      </c>
      <c r="E8500" s="197">
        <f>_xlfn.XLOOKUP(H8500,'Materiales unitario'!$A$1:$A$2500,'Materiales unitario'!D$1:D$2500,,0,1)</f>
        <v>2200</v>
      </c>
      <c r="F8500" s="19">
        <v>2</v>
      </c>
      <c r="G8500" s="20">
        <f t="shared" si="244"/>
        <v>4400</v>
      </c>
      <c r="H8500" s="211" t="s">
        <v>371</v>
      </c>
    </row>
    <row r="8501" spans="1:8">
      <c r="A8501" s="211" t="s">
        <v>487</v>
      </c>
      <c r="B8501" s="216" t="str">
        <f ca="1">_xlfn.CONCAT(B8496,A8501)</f>
        <v>1F6D91D5-D</v>
      </c>
      <c r="C8501" s="17" t="str">
        <f>_xlfn.XLOOKUP(H8501,'Materiales unitario'!$A$1:$A$2500,'Materiales unitario'!B$1:B$2500,,0,1)</f>
        <v xml:space="preserve">Soporte Metálico Uniestruc Tubería ø3/4" </v>
      </c>
      <c r="D8501" s="184" t="str">
        <f>_xlfn.XLOOKUP(H8501,'Materiales unitario'!A$1:A$2500,'Materiales unitario'!C$1:C$2500,,0,1)</f>
        <v>un</v>
      </c>
      <c r="E8501" s="197">
        <f>_xlfn.XLOOKUP(H8501,'Materiales unitario'!$A$1:$A$2500,'Materiales unitario'!D$1:D$2500,,0,1)</f>
        <v>630</v>
      </c>
      <c r="F8501" s="19">
        <v>3</v>
      </c>
      <c r="G8501" s="20">
        <f t="shared" si="244"/>
        <v>1890</v>
      </c>
      <c r="H8501" s="211" t="s">
        <v>356</v>
      </c>
    </row>
    <row r="8502" spans="1:8">
      <c r="A8502" s="211" t="s">
        <v>488</v>
      </c>
      <c r="B8502" s="216" t="str">
        <f ca="1">_xlfn.CONCAT(B8496,A8502)</f>
        <v>1F6D91D5-E</v>
      </c>
      <c r="C8502" s="17" t="str">
        <f>_xlfn.XLOOKUP(H8502,'Materiales unitario'!$A$1:$A$2500,'Materiales unitario'!B$1:B$2500,,0,1)</f>
        <v>Alambre de cobre desnudo #12 AWG-ED</v>
      </c>
      <c r="D8502" s="184" t="str">
        <f>_xlfn.XLOOKUP(H8502,'Materiales unitario'!A$1:A$2500,'Materiales unitario'!C$1:C$2500,,0,1)</f>
        <v>ml</v>
      </c>
      <c r="E8502" s="197">
        <f>_xlfn.XLOOKUP(H8502,'Materiales unitario'!$A$1:$A$2500,'Materiales unitario'!D$1:D$2500,,0,1)</f>
        <v>2558.5</v>
      </c>
      <c r="F8502" s="19">
        <v>4</v>
      </c>
      <c r="G8502" s="20">
        <f t="shared" si="244"/>
        <v>10234</v>
      </c>
      <c r="H8502" s="211" t="s">
        <v>227</v>
      </c>
    </row>
    <row r="8503" spans="1:8">
      <c r="A8503" s="211" t="s">
        <v>489</v>
      </c>
      <c r="B8503" s="216" t="str">
        <f ca="1">_xlfn.CONCAT(B8496,A8503)</f>
        <v>1F6D91D5-F</v>
      </c>
      <c r="C8503" s="17" t="str">
        <f>_xlfn.XLOOKUP(H8503,'Materiales unitario'!$A$1:$A$2500,'Materiales unitario'!B$1:B$2500,,0,1)</f>
        <v>Alambre de cobre aislado #12 AWG-THHN/THWN Color negro</v>
      </c>
      <c r="D8503" s="184" t="str">
        <f>_xlfn.XLOOKUP(H8503,'Materiales unitario'!A$1:A$2500,'Materiales unitario'!C$1:C$2500,,0,1)</f>
        <v>ml</v>
      </c>
      <c r="E8503" s="197">
        <f>_xlfn.XLOOKUP(H8503,'Materiales unitario'!$A$1:$A$2500,'Materiales unitario'!D$1:D$2500,,0,1)</f>
        <v>2975</v>
      </c>
      <c r="F8503" s="19">
        <v>8</v>
      </c>
      <c r="G8503" s="20">
        <f t="shared" si="244"/>
        <v>23800</v>
      </c>
      <c r="H8503" s="211" t="s">
        <v>524</v>
      </c>
    </row>
    <row r="8504" spans="1:8">
      <c r="A8504" s="211" t="s">
        <v>490</v>
      </c>
      <c r="B8504" s="216" t="str">
        <f ca="1">_xlfn.CONCAT(B8496,A8504)</f>
        <v>1F6D91D5-G</v>
      </c>
      <c r="C8504" s="17" t="str">
        <f>_xlfn.XLOOKUP(H8504,'Materiales unitario'!$A$1:$A$2500,'Materiales unitario'!B$1:B$2500,,0,1)</f>
        <v>Conector de resorte rojo "R" 18-10 AWG</v>
      </c>
      <c r="D8504" s="184" t="str">
        <f>_xlfn.XLOOKUP(H8504,'Materiales unitario'!A$1:A$2500,'Materiales unitario'!C$1:C$2500,,0,1)</f>
        <v>un</v>
      </c>
      <c r="E8504" s="197">
        <f>_xlfn.XLOOKUP(H8504,'Materiales unitario'!$A$1:$A$2500,'Materiales unitario'!D$1:D$2500,,0,1)</f>
        <v>280</v>
      </c>
      <c r="F8504" s="19">
        <v>3</v>
      </c>
      <c r="G8504" s="20">
        <f t="shared" si="244"/>
        <v>840</v>
      </c>
      <c r="H8504" s="211" t="s">
        <v>302</v>
      </c>
    </row>
    <row r="8505" spans="1:8">
      <c r="A8505" s="211" t="s">
        <v>491</v>
      </c>
      <c r="B8505" s="216" t="str">
        <f ca="1">_xlfn.CONCAT(B8496,A8505)</f>
        <v>1F6D91D5-H</v>
      </c>
      <c r="C8505" s="17" t="str">
        <f>_xlfn.XLOOKUP(H8505,'Materiales unitario'!$A$1:$A$2500,'Materiales unitario'!B$1:B$2500,,0,1)</f>
        <v>Roseta de porcelana</v>
      </c>
      <c r="D8505" s="184" t="str">
        <f>_xlfn.XLOOKUP(H8505,'Materiales unitario'!A$1:A$2500,'Materiales unitario'!C$1:C$2500,,0,1)</f>
        <v>un</v>
      </c>
      <c r="E8505" s="197">
        <f>_xlfn.XLOOKUP(H8505,'Materiales unitario'!$A$1:$A$2500,'Materiales unitario'!D$1:D$2500,,0,1)</f>
        <v>5100</v>
      </c>
      <c r="F8505" s="19">
        <v>1</v>
      </c>
      <c r="G8505" s="20">
        <f t="shared" si="244"/>
        <v>5100</v>
      </c>
      <c r="H8505" s="211" t="s">
        <v>631</v>
      </c>
    </row>
    <row r="8506" spans="1:8">
      <c r="A8506" s="211" t="s">
        <v>492</v>
      </c>
      <c r="B8506" s="216" t="str">
        <f ca="1">_xlfn.CONCAT(B8496,A8506)</f>
        <v>1F6D91D5-I</v>
      </c>
      <c r="C8506" s="17" t="str">
        <f>_xlfn.XLOOKUP(H8506,'Materiales unitario'!$A$1:$A$2500,'Materiales unitario'!B$1:B$2500,,0,1)</f>
        <v>Caja galvanizada octagonal (Cal. 20)</v>
      </c>
      <c r="D8506" s="184" t="str">
        <f>_xlfn.XLOOKUP(H8506,'Materiales unitario'!A$1:A$2500,'Materiales unitario'!C$1:C$2500,,0,1)</f>
        <v>un</v>
      </c>
      <c r="E8506" s="197">
        <f>_xlfn.XLOOKUP(H8506,'Materiales unitario'!$A$1:$A$2500,'Materiales unitario'!D$1:D$2500,,0,1)</f>
        <v>2900</v>
      </c>
      <c r="F8506" s="19">
        <v>1</v>
      </c>
      <c r="G8506" s="20">
        <f t="shared" si="244"/>
        <v>2900</v>
      </c>
      <c r="H8506" s="211" t="s">
        <v>607</v>
      </c>
    </row>
    <row r="8507" spans="1:8">
      <c r="A8507" s="211" t="s">
        <v>493</v>
      </c>
      <c r="B8507" s="216" t="str">
        <f ca="1">_xlfn.CONCAT(B8496,A8507)</f>
        <v>1F6D91D5-J</v>
      </c>
      <c r="C8507" s="17" t="str">
        <f>_xlfn.XLOOKUP(H8507,'Materiales unitario'!$A$1:$A$2500,'Materiales unitario'!B$1:B$2500,,0,1)</f>
        <v>Marquillas para circuito</v>
      </c>
      <c r="D8507" s="184" t="str">
        <f>_xlfn.XLOOKUP(H8507,'Materiales unitario'!A$1:A$2500,'Materiales unitario'!C$1:C$2500,,0,1)</f>
        <v>un</v>
      </c>
      <c r="E8507" s="197">
        <f>_xlfn.XLOOKUP(H8507,'Materiales unitario'!$A$1:$A$2500,'Materiales unitario'!D$1:D$2500,,0,1)</f>
        <v>1000</v>
      </c>
      <c r="F8507" s="19">
        <v>3</v>
      </c>
      <c r="G8507" s="20">
        <f t="shared" si="244"/>
        <v>3000</v>
      </c>
      <c r="H8507" s="211" t="s">
        <v>339</v>
      </c>
    </row>
    <row r="8508" spans="1:8">
      <c r="A8508" s="211" t="s">
        <v>494</v>
      </c>
      <c r="B8508" s="216" t="str">
        <f ca="1">_xlfn.CONCAT(B8496,A8508)</f>
        <v>1F6D91D5-K</v>
      </c>
      <c r="C8508" s="17"/>
      <c r="D8508" s="184"/>
      <c r="E8508" s="197"/>
      <c r="F8508" s="19"/>
      <c r="G8508" s="20"/>
    </row>
    <row r="8509" spans="1:8">
      <c r="A8509" s="211" t="s">
        <v>495</v>
      </c>
      <c r="B8509" s="216" t="str">
        <f ca="1">_xlfn.CONCAT(B8496,A8509)</f>
        <v>1F6D91D5-L</v>
      </c>
      <c r="C8509" s="17"/>
      <c r="D8509" s="184"/>
      <c r="E8509" s="197"/>
      <c r="F8509" s="19"/>
      <c r="G8509" s="20"/>
    </row>
    <row r="8510" spans="1:8">
      <c r="A8510" s="211" t="s">
        <v>496</v>
      </c>
      <c r="B8510" s="216" t="str">
        <f ca="1">_xlfn.CONCAT(B8496,A8510)</f>
        <v>1F6D91D5-M</v>
      </c>
      <c r="C8510" s="17"/>
      <c r="D8510" s="184"/>
      <c r="E8510" s="197"/>
      <c r="F8510" s="19"/>
      <c r="G8510" s="20"/>
    </row>
    <row r="8511" spans="1:8">
      <c r="A8511" s="211" t="s">
        <v>497</v>
      </c>
      <c r="B8511" s="216" t="str">
        <f ca="1">_xlfn.CONCAT(B8496,A8511)</f>
        <v>1F6D91D5-N</v>
      </c>
      <c r="C8511" s="17"/>
      <c r="D8511" s="184"/>
      <c r="E8511" s="197"/>
      <c r="F8511" s="19"/>
      <c r="G8511" s="20"/>
    </row>
    <row r="8512" spans="1:8">
      <c r="A8512" s="211" t="s">
        <v>498</v>
      </c>
      <c r="B8512" s="216" t="str">
        <f ca="1">_xlfn.CONCAT(B8496,A8512)</f>
        <v>1F6D91D5-O</v>
      </c>
      <c r="C8512" s="17"/>
      <c r="D8512" s="184"/>
      <c r="E8512" s="197"/>
      <c r="F8512" s="19"/>
      <c r="G8512" s="20"/>
    </row>
    <row r="8513" spans="1:8">
      <c r="A8513" s="211" t="s">
        <v>499</v>
      </c>
      <c r="B8513" s="216" t="str">
        <f ca="1">_xlfn.CONCAT(B8496,A8513)</f>
        <v>1F6D91D5-P</v>
      </c>
      <c r="C8513" s="17"/>
      <c r="D8513" s="184"/>
      <c r="E8513" s="197"/>
      <c r="F8513" s="19"/>
      <c r="G8513" s="20"/>
    </row>
    <row r="8514" spans="1:8">
      <c r="A8514" s="211" t="s">
        <v>500</v>
      </c>
      <c r="B8514" s="216" t="str">
        <f ca="1">_xlfn.CONCAT(B8496,A8514)</f>
        <v>1F6D91D5-Q</v>
      </c>
      <c r="C8514" s="17"/>
      <c r="D8514" s="184"/>
      <c r="E8514" s="197"/>
      <c r="F8514" s="19"/>
      <c r="G8514" s="20"/>
    </row>
    <row r="8515" spans="1:8">
      <c r="A8515" s="211" t="s">
        <v>501</v>
      </c>
      <c r="B8515" s="216" t="str">
        <f ca="1">_xlfn.CONCAT(B8496,A8515)</f>
        <v>1F6D91D5-R</v>
      </c>
      <c r="C8515" s="17"/>
      <c r="D8515" s="184"/>
      <c r="E8515" s="197"/>
      <c r="F8515" s="19"/>
      <c r="G8515" s="20"/>
    </row>
    <row r="8516" spans="1:8">
      <c r="A8516" s="211" t="s">
        <v>502</v>
      </c>
      <c r="B8516" s="216" t="str">
        <f ca="1">_xlfn.CONCAT(B8496,A8516)</f>
        <v>1F6D91D5-S</v>
      </c>
      <c r="C8516" s="17"/>
      <c r="D8516" s="184"/>
      <c r="E8516" s="197"/>
      <c r="F8516" s="19"/>
      <c r="G8516" s="20"/>
    </row>
    <row r="8517" spans="1:8">
      <c r="A8517" s="211" t="s">
        <v>503</v>
      </c>
      <c r="B8517" s="216" t="str">
        <f ca="1">_xlfn.CONCAT(B8496,A8517)</f>
        <v>1F6D91D5-T</v>
      </c>
      <c r="C8517" s="17"/>
      <c r="D8517" s="184"/>
      <c r="E8517" s="197"/>
      <c r="F8517" s="19"/>
      <c r="G8517" s="20"/>
    </row>
    <row r="8518" spans="1:8" ht="14.25" thickBot="1">
      <c r="A8518" s="211" t="s">
        <v>504</v>
      </c>
      <c r="B8518" s="216" t="str">
        <f ca="1">_xlfn.CONCAT(B8496,A8518)</f>
        <v>1F6D91D5-U</v>
      </c>
      <c r="C8518" s="17"/>
      <c r="D8518" s="184"/>
      <c r="E8518" s="197"/>
      <c r="F8518" s="19"/>
      <c r="G8518" s="20"/>
    </row>
    <row r="8519" spans="1:8" ht="14.25" thickBot="1">
      <c r="A8519" s="211" t="s">
        <v>505</v>
      </c>
      <c r="B8519" s="216" t="str">
        <f ca="1">_xlfn.CONCAT(B8496,A8519)</f>
        <v>1F6D91D5-V</v>
      </c>
      <c r="C8519" s="17" t="s">
        <v>17</v>
      </c>
      <c r="D8519" s="192" t="s">
        <v>17</v>
      </c>
      <c r="E8519" s="18"/>
      <c r="F8519" s="22" t="s">
        <v>18</v>
      </c>
      <c r="G8519" s="23">
        <f>SUM(G8498:G8518)</f>
        <v>89163</v>
      </c>
    </row>
    <row r="8520" spans="1:8" ht="15.75" thickBot="1">
      <c r="A8520" s="211" t="s">
        <v>506</v>
      </c>
      <c r="B8520" s="216" t="str">
        <f ca="1">_xlfn.CONCAT(B8496,A8520)</f>
        <v>1F6D91D5-W</v>
      </c>
      <c r="C8520" s="10" t="s">
        <v>19</v>
      </c>
      <c r="D8520" s="190"/>
      <c r="E8520" s="11"/>
      <c r="F8520" s="12"/>
      <c r="G8520" s="13"/>
    </row>
    <row r="8521" spans="1:8" ht="14.25" thickBot="1">
      <c r="A8521" s="211" t="s">
        <v>507</v>
      </c>
      <c r="B8521" s="216" t="str">
        <f ca="1">_xlfn.CONCAT(B8496,A8521)</f>
        <v>1F6D91D5-X</v>
      </c>
      <c r="C8521" s="14" t="s">
        <v>1</v>
      </c>
      <c r="D8521" s="15"/>
      <c r="E8521" s="15" t="s">
        <v>20</v>
      </c>
      <c r="F8521" s="16" t="s">
        <v>21</v>
      </c>
      <c r="G8521" s="15" t="s">
        <v>5</v>
      </c>
      <c r="H8521" s="215"/>
    </row>
    <row r="8522" spans="1:8">
      <c r="A8522" s="211" t="s">
        <v>508</v>
      </c>
      <c r="B8522" s="216" t="str">
        <f ca="1">_xlfn.CONCAT(B8496,A8522)</f>
        <v>1F6D91D5-Y</v>
      </c>
      <c r="C8522" s="24" t="s">
        <v>22</v>
      </c>
      <c r="D8522" s="184"/>
      <c r="E8522" s="25">
        <f>_xlfn.XLOOKUP(C8522,'H-MO'!B$7:B$30,'H-MO'!D$7:D$30,,0,1)</f>
        <v>2436.5624999999995</v>
      </c>
      <c r="F8522" s="19">
        <v>0.45</v>
      </c>
      <c r="G8522" s="33">
        <f t="shared" ref="G8522:G8527" si="245">+E8522*F8522</f>
        <v>1096.4531249999998</v>
      </c>
    </row>
    <row r="8523" spans="1:8">
      <c r="A8523" s="211" t="s">
        <v>509</v>
      </c>
      <c r="B8523" s="216" t="str">
        <f ca="1">_xlfn.CONCAT(B8496,A8523)</f>
        <v>1F6D91D5-Z</v>
      </c>
      <c r="C8523" s="24" t="s">
        <v>23</v>
      </c>
      <c r="D8523" s="184"/>
      <c r="E8523" s="25">
        <f>_xlfn.XLOOKUP(C8523,'H-MO'!B$7:B$30,'H-MO'!D$7:D$30,,0,1)</f>
        <v>1461.9374999999998</v>
      </c>
      <c r="F8523" s="19">
        <v>9.7711304347826086E-2</v>
      </c>
      <c r="G8523" s="33">
        <f t="shared" si="245"/>
        <v>142.84781999999998</v>
      </c>
    </row>
    <row r="8524" spans="1:8">
      <c r="A8524" s="211" t="s">
        <v>510</v>
      </c>
      <c r="B8524" s="216" t="str">
        <f ca="1">_xlfn.CONCAT(B8496,A8524)</f>
        <v>1F6D91D5-aa</v>
      </c>
      <c r="C8524" s="24" t="s">
        <v>24</v>
      </c>
      <c r="D8524" s="185"/>
      <c r="E8524" s="25">
        <f>_xlfn.XLOOKUP(C8524,'H-MO'!B$7:B$30,'H-MO'!D$7:D$30,,0,1)</f>
        <v>29238.749999999996</v>
      </c>
      <c r="F8524" s="28">
        <v>1.6285217391304348E-3</v>
      </c>
      <c r="G8524" s="33">
        <f t="shared" si="245"/>
        <v>47.615939999999995</v>
      </c>
    </row>
    <row r="8525" spans="1:8">
      <c r="A8525" s="211" t="s">
        <v>511</v>
      </c>
      <c r="B8525" s="216" t="str">
        <f ca="1">_xlfn.CONCAT(B8496,A8525)</f>
        <v>1F6D91D5-ab</v>
      </c>
      <c r="C8525" s="24" t="s">
        <v>25</v>
      </c>
      <c r="D8525" s="185"/>
      <c r="E8525" s="25">
        <f>_xlfn.XLOOKUP(C8525,'H-MO'!B$7:B$30,'H-MO'!D$7:D$30,,0,1)</f>
        <v>2761.4374999999995</v>
      </c>
      <c r="F8525" s="28">
        <v>0.6</v>
      </c>
      <c r="G8525" s="33">
        <f t="shared" si="245"/>
        <v>1656.8624999999997</v>
      </c>
    </row>
    <row r="8526" spans="1:8">
      <c r="A8526" s="211" t="s">
        <v>512</v>
      </c>
      <c r="B8526" s="216" t="str">
        <f ca="1">_xlfn.CONCAT(B8496,A8526)</f>
        <v>1F6D91D5-ac</v>
      </c>
      <c r="C8526" s="24"/>
      <c r="D8526" s="185"/>
      <c r="E8526" s="29"/>
      <c r="F8526" s="28"/>
      <c r="G8526" s="33">
        <f t="shared" si="245"/>
        <v>0</v>
      </c>
    </row>
    <row r="8527" spans="1:8" ht="14.25" thickBot="1">
      <c r="A8527" s="211" t="s">
        <v>513</v>
      </c>
      <c r="B8527" s="216" t="str">
        <f ca="1">_xlfn.CONCAT(B8496,A8527)</f>
        <v>1F6D91D5-ad</v>
      </c>
      <c r="C8527" s="24"/>
      <c r="D8527" s="185"/>
      <c r="E8527" s="29"/>
      <c r="F8527" s="28"/>
      <c r="G8527" s="33">
        <f t="shared" si="245"/>
        <v>0</v>
      </c>
    </row>
    <row r="8528" spans="1:8" ht="14.25" thickBot="1">
      <c r="A8528" s="211" t="s">
        <v>514</v>
      </c>
      <c r="B8528" s="216" t="str">
        <f ca="1">_xlfn.CONCAT(B8496,A8528)</f>
        <v>1F6D91D5-ae</v>
      </c>
      <c r="C8528" s="17"/>
      <c r="D8528" s="192"/>
      <c r="E8528" s="18"/>
      <c r="F8528" s="22" t="s">
        <v>26</v>
      </c>
      <c r="G8528" s="23">
        <f>SUM(G8522:G8527)</f>
        <v>2943.7793849999994</v>
      </c>
    </row>
    <row r="8529" spans="1:8" ht="15.75" thickBot="1">
      <c r="A8529" s="211" t="s">
        <v>515</v>
      </c>
      <c r="B8529" s="216" t="str">
        <f ca="1">_xlfn.CONCAT(B8496,A8529)</f>
        <v>1F6D91D5-af</v>
      </c>
      <c r="C8529" s="10" t="s">
        <v>27</v>
      </c>
      <c r="D8529" s="190"/>
      <c r="E8529" s="11"/>
      <c r="F8529" s="12"/>
      <c r="G8529" s="13"/>
    </row>
    <row r="8530" spans="1:8" ht="14.25" thickBot="1">
      <c r="A8530" s="211" t="s">
        <v>516</v>
      </c>
      <c r="B8530" s="216" t="str">
        <f ca="1">_xlfn.CONCAT(B8496,A8530)</f>
        <v>1F6D91D5-ag</v>
      </c>
      <c r="C8530" s="14" t="s">
        <v>1</v>
      </c>
      <c r="D8530" s="15" t="s">
        <v>28</v>
      </c>
      <c r="E8530" s="15" t="s">
        <v>20</v>
      </c>
      <c r="F8530" s="16" t="s">
        <v>21</v>
      </c>
      <c r="G8530" s="15" t="s">
        <v>5</v>
      </c>
      <c r="H8530" s="215"/>
    </row>
    <row r="8531" spans="1:8">
      <c r="A8531" s="211" t="s">
        <v>517</v>
      </c>
      <c r="B8531" s="216" t="str">
        <f ca="1">_xlfn.CONCAT(B8496,A8531)</f>
        <v>1F6D91D5-ah</v>
      </c>
      <c r="C8531" s="30" t="s">
        <v>29</v>
      </c>
      <c r="D8531" s="186">
        <f>'H-MO'!$N$77</f>
        <v>725918.52892505517</v>
      </c>
      <c r="E8531" s="31">
        <f>+D8531/8</f>
        <v>90739.816115631897</v>
      </c>
      <c r="F8531" s="32">
        <v>0.45</v>
      </c>
      <c r="G8531" s="33">
        <f>+E8531*F8531</f>
        <v>40832.917252034356</v>
      </c>
    </row>
    <row r="8532" spans="1:8">
      <c r="A8532" s="211" t="s">
        <v>518</v>
      </c>
      <c r="B8532" s="216" t="str">
        <f ca="1">_xlfn.CONCAT(B8496,A8532)</f>
        <v>1F6D91D5-ai</v>
      </c>
      <c r="C8532" s="34" t="s">
        <v>30</v>
      </c>
      <c r="D8532" s="187">
        <f>'H-MO'!$N$86</f>
        <v>685561.39085756091</v>
      </c>
      <c r="E8532" s="29">
        <f>+D8532/8</f>
        <v>85695.173857195114</v>
      </c>
      <c r="F8532" s="28">
        <v>0</v>
      </c>
      <c r="G8532" s="33">
        <f>+E8532*F8532</f>
        <v>0</v>
      </c>
    </row>
    <row r="8533" spans="1:8" ht="14.25" thickBot="1">
      <c r="A8533" s="211" t="s">
        <v>519</v>
      </c>
      <c r="B8533" s="216" t="str">
        <f ca="1">_xlfn.CONCAT(B8496,A8533)</f>
        <v>1F6D91D5-aj</v>
      </c>
      <c r="C8533" s="34"/>
      <c r="D8533" s="187"/>
      <c r="E8533" s="29"/>
      <c r="F8533" s="28"/>
      <c r="G8533" s="33">
        <f>+E8533*F8533</f>
        <v>0</v>
      </c>
    </row>
    <row r="8534" spans="1:8" ht="14.25" thickBot="1">
      <c r="A8534" s="211" t="s">
        <v>520</v>
      </c>
      <c r="B8534" s="216" t="str">
        <f ca="1">_xlfn.CONCAT(B8496,A8534)</f>
        <v>1F6D91D5-ak</v>
      </c>
      <c r="C8534" s="34"/>
      <c r="D8534" s="185"/>
      <c r="E8534" s="26"/>
      <c r="F8534" s="36" t="s">
        <v>31</v>
      </c>
      <c r="G8534" s="23">
        <f>SUM(G8531:G8533)</f>
        <v>40832.917252034356</v>
      </c>
    </row>
    <row r="8535" spans="1:8" ht="14.25" thickBot="1">
      <c r="A8535" s="211" t="s">
        <v>521</v>
      </c>
      <c r="B8535" s="216" t="str">
        <f ca="1">_xlfn.CONCAT(B8496,A8535)</f>
        <v>1F6D91D5-al</v>
      </c>
      <c r="C8535" s="37"/>
      <c r="E8535" s="38"/>
      <c r="F8535" s="22"/>
      <c r="G8535" s="39"/>
    </row>
    <row r="8536" spans="1:8" ht="16.5" thickBot="1">
      <c r="A8536" s="211" t="s">
        <v>522</v>
      </c>
      <c r="B8536" s="216" t="str">
        <f ca="1">_xlfn.CONCAT(B8496,A8536)</f>
        <v>1F6D91D5-am</v>
      </c>
      <c r="C8536" s="40"/>
      <c r="D8536" s="193"/>
      <c r="E8536" s="41"/>
      <c r="F8536" s="42"/>
      <c r="G8536" s="43">
        <f>+G8519+G8528+G8534</f>
        <v>132939.69663703436</v>
      </c>
    </row>
    <row r="8537" spans="1:8" ht="21.75" thickBot="1">
      <c r="B8537" s="212" t="s">
        <v>550</v>
      </c>
      <c r="C8537" s="2"/>
      <c r="D8537" s="183"/>
      <c r="F8537" s="4"/>
      <c r="G8537" s="5"/>
    </row>
    <row r="8538" spans="1:8" ht="18.75">
      <c r="A8538" s="213"/>
      <c r="B8538" s="214">
        <v>194</v>
      </c>
      <c r="C8538" s="242" t="str">
        <f ca="1">_xlfn.XLOOKUP(B8538,Cantidades!$A$10:$A$314,Cantidades!$C$10:$C$314,,0,1)</f>
        <v>Suministro e instalación de interruptor automático 3x30A en caja moldeada</v>
      </c>
      <c r="D8538" s="243"/>
      <c r="E8538" s="243"/>
      <c r="F8538" s="243"/>
      <c r="G8538" s="244"/>
      <c r="H8538" s="213"/>
    </row>
    <row r="8539" spans="1:8" ht="19.5" thickBot="1">
      <c r="A8539" s="215"/>
      <c r="B8539" s="216" t="s">
        <v>550</v>
      </c>
      <c r="C8539" s="177"/>
      <c r="D8539" s="189"/>
      <c r="E8539" s="178"/>
      <c r="F8539" s="179" t="s">
        <v>636</v>
      </c>
      <c r="G8539" s="209" t="str">
        <f ca="1">B8540</f>
        <v>34F286E2-</v>
      </c>
      <c r="H8539" s="215"/>
    </row>
    <row r="8540" spans="1:8" ht="15.75" thickBot="1">
      <c r="B8540" s="212" t="str">
        <f ca="1">_xlfn.XLOOKUP(C8538,Cantidades!$C$1:$C$314,Cantidades!$B$1:$B$314,"",0,1)</f>
        <v>34F286E2-</v>
      </c>
      <c r="C8540" s="10" t="s">
        <v>0</v>
      </c>
      <c r="D8540" s="190"/>
      <c r="E8540" s="11"/>
      <c r="F8540" s="12"/>
      <c r="G8540" s="13"/>
    </row>
    <row r="8541" spans="1:8" ht="14.25" thickBot="1">
      <c r="A8541" s="215"/>
      <c r="B8541" s="216" t="s">
        <v>550</v>
      </c>
      <c r="C8541" s="14" t="s">
        <v>1</v>
      </c>
      <c r="D8541" s="15" t="s">
        <v>2</v>
      </c>
      <c r="E8541" s="15" t="s">
        <v>3</v>
      </c>
      <c r="F8541" s="16" t="s">
        <v>4</v>
      </c>
      <c r="G8541" s="15" t="s">
        <v>5</v>
      </c>
      <c r="H8541" s="215"/>
    </row>
    <row r="8542" spans="1:8" ht="15">
      <c r="A8542" s="211" t="s">
        <v>484</v>
      </c>
      <c r="B8542" s="216" t="str">
        <f ca="1">_xlfn.CONCAT(B8540,A8542)</f>
        <v>34F286E2-A</v>
      </c>
      <c r="C8542" s="17" t="str">
        <f>_xlfn.XLOOKUP(H8542,'Materiales unitario'!$A$1:$A$2500,'Materiales unitario'!B$1:B$2500,,0,1)</f>
        <v>Totalizador industrial 3x30 amperios en caja moldeada</v>
      </c>
      <c r="D8542" s="184" t="str">
        <f>_xlfn.XLOOKUP(H8542,'Materiales unitario'!A$1:A$2500,'Materiales unitario'!C$1:C$2500,,0,1)</f>
        <v>un</v>
      </c>
      <c r="E8542" s="197">
        <f>_xlfn.XLOOKUP(H8542,'Materiales unitario'!$A$1:$A$2500,'Materiales unitario'!D$1:D$2500,,0,1)</f>
        <v>286700</v>
      </c>
      <c r="F8542" s="19">
        <v>1</v>
      </c>
      <c r="G8542" s="20">
        <f>+E8542*F8542</f>
        <v>286700</v>
      </c>
      <c r="H8542" s="217" t="s">
        <v>1513</v>
      </c>
    </row>
    <row r="8543" spans="1:8" ht="15">
      <c r="A8543" s="211" t="s">
        <v>485</v>
      </c>
      <c r="B8543" s="216" t="str">
        <f ca="1">_xlfn.CONCAT(B8540,A8543)</f>
        <v>34F286E2-B</v>
      </c>
      <c r="C8543" s="17"/>
      <c r="D8543" s="184"/>
      <c r="E8543" s="197"/>
      <c r="F8543" s="19"/>
      <c r="G8543" s="20"/>
      <c r="H8543" s="217"/>
    </row>
    <row r="8544" spans="1:8">
      <c r="A8544" s="211" t="s">
        <v>486</v>
      </c>
      <c r="B8544" s="216" t="str">
        <f ca="1">_xlfn.CONCAT(B8540,A8544)</f>
        <v>34F286E2-C</v>
      </c>
      <c r="C8544" s="17"/>
      <c r="D8544" s="184"/>
      <c r="E8544" s="197"/>
      <c r="F8544" s="19"/>
      <c r="G8544" s="20"/>
    </row>
    <row r="8545" spans="1:7">
      <c r="A8545" s="211" t="s">
        <v>487</v>
      </c>
      <c r="B8545" s="216" t="str">
        <f ca="1">_xlfn.CONCAT(B8540,A8545)</f>
        <v>34F286E2-D</v>
      </c>
      <c r="C8545" s="17"/>
      <c r="D8545" s="184"/>
      <c r="E8545" s="197"/>
      <c r="F8545" s="19"/>
      <c r="G8545" s="20"/>
    </row>
    <row r="8546" spans="1:7">
      <c r="A8546" s="211" t="s">
        <v>488</v>
      </c>
      <c r="B8546" s="216" t="str">
        <f ca="1">_xlfn.CONCAT(B8540,A8546)</f>
        <v>34F286E2-E</v>
      </c>
      <c r="C8546" s="17"/>
      <c r="D8546" s="184"/>
      <c r="E8546" s="197"/>
      <c r="F8546" s="19"/>
      <c r="G8546" s="20"/>
    </row>
    <row r="8547" spans="1:7">
      <c r="A8547" s="211" t="s">
        <v>489</v>
      </c>
      <c r="B8547" s="216" t="str">
        <f ca="1">_xlfn.CONCAT(B8540,A8547)</f>
        <v>34F286E2-F</v>
      </c>
      <c r="C8547" s="17"/>
      <c r="D8547" s="184"/>
      <c r="E8547" s="197"/>
      <c r="F8547" s="19"/>
      <c r="G8547" s="20"/>
    </row>
    <row r="8548" spans="1:7">
      <c r="A8548" s="211" t="s">
        <v>490</v>
      </c>
      <c r="B8548" s="216" t="str">
        <f ca="1">_xlfn.CONCAT(B8540,A8548)</f>
        <v>34F286E2-G</v>
      </c>
      <c r="C8548" s="17"/>
      <c r="D8548" s="184"/>
      <c r="E8548" s="197"/>
      <c r="F8548" s="19"/>
      <c r="G8548" s="20"/>
    </row>
    <row r="8549" spans="1:7">
      <c r="A8549" s="211" t="s">
        <v>491</v>
      </c>
      <c r="B8549" s="216" t="str">
        <f ca="1">_xlfn.CONCAT(B8540,A8549)</f>
        <v>34F286E2-H</v>
      </c>
      <c r="C8549" s="17"/>
      <c r="D8549" s="184"/>
      <c r="E8549" s="197"/>
      <c r="F8549" s="19"/>
      <c r="G8549" s="20"/>
    </row>
    <row r="8550" spans="1:7">
      <c r="A8550" s="211" t="s">
        <v>492</v>
      </c>
      <c r="B8550" s="216" t="str">
        <f ca="1">_xlfn.CONCAT(B8540,A8550)</f>
        <v>34F286E2-I</v>
      </c>
      <c r="C8550" s="17"/>
      <c r="D8550" s="184"/>
      <c r="E8550" s="197"/>
      <c r="F8550" s="19"/>
      <c r="G8550" s="20"/>
    </row>
    <row r="8551" spans="1:7">
      <c r="A8551" s="211" t="s">
        <v>493</v>
      </c>
      <c r="B8551" s="216" t="str">
        <f ca="1">_xlfn.CONCAT(B8540,A8551)</f>
        <v>34F286E2-J</v>
      </c>
      <c r="C8551" s="17"/>
      <c r="D8551" s="184"/>
      <c r="E8551" s="197"/>
      <c r="F8551" s="19"/>
      <c r="G8551" s="20"/>
    </row>
    <row r="8552" spans="1:7">
      <c r="A8552" s="211" t="s">
        <v>494</v>
      </c>
      <c r="B8552" s="216" t="str">
        <f ca="1">_xlfn.CONCAT(B8540,A8552)</f>
        <v>34F286E2-K</v>
      </c>
      <c r="C8552" s="17"/>
      <c r="D8552" s="184"/>
      <c r="E8552" s="197"/>
      <c r="F8552" s="19"/>
      <c r="G8552" s="20"/>
    </row>
    <row r="8553" spans="1:7">
      <c r="A8553" s="211" t="s">
        <v>495</v>
      </c>
      <c r="B8553" s="216" t="str">
        <f ca="1">_xlfn.CONCAT(B8540,A8553)</f>
        <v>34F286E2-L</v>
      </c>
      <c r="C8553" s="17"/>
      <c r="D8553" s="184"/>
      <c r="E8553" s="197"/>
      <c r="F8553" s="19"/>
      <c r="G8553" s="20"/>
    </row>
    <row r="8554" spans="1:7">
      <c r="A8554" s="211" t="s">
        <v>496</v>
      </c>
      <c r="B8554" s="216" t="str">
        <f ca="1">_xlfn.CONCAT(B8540,A8554)</f>
        <v>34F286E2-M</v>
      </c>
      <c r="C8554" s="17"/>
      <c r="D8554" s="184"/>
      <c r="E8554" s="197"/>
      <c r="F8554" s="19"/>
      <c r="G8554" s="20"/>
    </row>
    <row r="8555" spans="1:7">
      <c r="A8555" s="211" t="s">
        <v>497</v>
      </c>
      <c r="B8555" s="216" t="str">
        <f ca="1">_xlfn.CONCAT(B8540,A8555)</f>
        <v>34F286E2-N</v>
      </c>
      <c r="C8555" s="17"/>
      <c r="D8555" s="184"/>
      <c r="E8555" s="197"/>
      <c r="F8555" s="19"/>
      <c r="G8555" s="20"/>
    </row>
    <row r="8556" spans="1:7">
      <c r="A8556" s="211" t="s">
        <v>498</v>
      </c>
      <c r="B8556" s="216" t="str">
        <f ca="1">_xlfn.CONCAT(B8540,A8556)</f>
        <v>34F286E2-O</v>
      </c>
      <c r="C8556" s="17"/>
      <c r="D8556" s="184"/>
      <c r="E8556" s="197"/>
      <c r="F8556" s="19"/>
      <c r="G8556" s="20"/>
    </row>
    <row r="8557" spans="1:7">
      <c r="A8557" s="211" t="s">
        <v>499</v>
      </c>
      <c r="B8557" s="216" t="str">
        <f ca="1">_xlfn.CONCAT(B8540,A8557)</f>
        <v>34F286E2-P</v>
      </c>
      <c r="C8557" s="17"/>
      <c r="D8557" s="184"/>
      <c r="E8557" s="197"/>
      <c r="F8557" s="19"/>
      <c r="G8557" s="20"/>
    </row>
    <row r="8558" spans="1:7">
      <c r="A8558" s="211" t="s">
        <v>500</v>
      </c>
      <c r="B8558" s="216" t="str">
        <f ca="1">_xlfn.CONCAT(B8540,A8558)</f>
        <v>34F286E2-Q</v>
      </c>
      <c r="C8558" s="17"/>
      <c r="D8558" s="184"/>
      <c r="E8558" s="197"/>
      <c r="F8558" s="19"/>
      <c r="G8558" s="20"/>
    </row>
    <row r="8559" spans="1:7">
      <c r="A8559" s="211" t="s">
        <v>501</v>
      </c>
      <c r="B8559" s="216" t="str">
        <f ca="1">_xlfn.CONCAT(B8540,A8559)</f>
        <v>34F286E2-R</v>
      </c>
      <c r="C8559" s="17"/>
      <c r="D8559" s="184"/>
      <c r="E8559" s="197"/>
      <c r="F8559" s="19"/>
      <c r="G8559" s="20"/>
    </row>
    <row r="8560" spans="1:7">
      <c r="A8560" s="211" t="s">
        <v>502</v>
      </c>
      <c r="B8560" s="216" t="str">
        <f ca="1">_xlfn.CONCAT(B8540,A8560)</f>
        <v>34F286E2-S</v>
      </c>
      <c r="C8560" s="17"/>
      <c r="D8560" s="184"/>
      <c r="E8560" s="197"/>
      <c r="F8560" s="19"/>
      <c r="G8560" s="20"/>
    </row>
    <row r="8561" spans="1:8">
      <c r="A8561" s="211" t="s">
        <v>503</v>
      </c>
      <c r="B8561" s="216" t="str">
        <f ca="1">_xlfn.CONCAT(B8540,A8561)</f>
        <v>34F286E2-T</v>
      </c>
      <c r="C8561" s="17"/>
      <c r="D8561" s="184"/>
      <c r="E8561" s="197"/>
      <c r="F8561" s="19"/>
      <c r="G8561" s="20"/>
    </row>
    <row r="8562" spans="1:8" ht="14.25" thickBot="1">
      <c r="A8562" s="211" t="s">
        <v>504</v>
      </c>
      <c r="B8562" s="216" t="str">
        <f ca="1">_xlfn.CONCAT(B8540,A8562)</f>
        <v>34F286E2-U</v>
      </c>
      <c r="C8562" s="17"/>
      <c r="D8562" s="184"/>
      <c r="E8562" s="197"/>
      <c r="F8562" s="19"/>
      <c r="G8562" s="20"/>
    </row>
    <row r="8563" spans="1:8" ht="14.25" thickBot="1">
      <c r="A8563" s="211" t="s">
        <v>505</v>
      </c>
      <c r="B8563" s="216" t="str">
        <f ca="1">_xlfn.CONCAT(B8540,A8563)</f>
        <v>34F286E2-V</v>
      </c>
      <c r="C8563" s="17" t="s">
        <v>17</v>
      </c>
      <c r="D8563" s="192" t="s">
        <v>17</v>
      </c>
      <c r="E8563" s="18"/>
      <c r="F8563" s="22" t="s">
        <v>18</v>
      </c>
      <c r="G8563" s="23">
        <f>SUM(G8542:G8562)</f>
        <v>286700</v>
      </c>
    </row>
    <row r="8564" spans="1:8" ht="15.75" thickBot="1">
      <c r="A8564" s="211" t="s">
        <v>506</v>
      </c>
      <c r="B8564" s="216" t="str">
        <f ca="1">_xlfn.CONCAT(B8540,A8564)</f>
        <v>34F286E2-W</v>
      </c>
      <c r="C8564" s="10" t="s">
        <v>19</v>
      </c>
      <c r="D8564" s="190"/>
      <c r="E8564" s="11"/>
      <c r="F8564" s="12"/>
      <c r="G8564" s="13"/>
    </row>
    <row r="8565" spans="1:8" ht="14.25" thickBot="1">
      <c r="A8565" s="211" t="s">
        <v>507</v>
      </c>
      <c r="B8565" s="216" t="str">
        <f ca="1">_xlfn.CONCAT(B8540,A8565)</f>
        <v>34F286E2-X</v>
      </c>
      <c r="C8565" s="14" t="s">
        <v>1</v>
      </c>
      <c r="D8565" s="15"/>
      <c r="E8565" s="15" t="s">
        <v>20</v>
      </c>
      <c r="F8565" s="16" t="s">
        <v>21</v>
      </c>
      <c r="G8565" s="15" t="s">
        <v>5</v>
      </c>
      <c r="H8565" s="215"/>
    </row>
    <row r="8566" spans="1:8">
      <c r="A8566" s="211" t="s">
        <v>508</v>
      </c>
      <c r="B8566" s="216" t="str">
        <f ca="1">_xlfn.CONCAT(B8540,A8566)</f>
        <v>34F286E2-Y</v>
      </c>
      <c r="C8566" s="24" t="s">
        <v>22</v>
      </c>
      <c r="D8566" s="184"/>
      <c r="E8566" s="25">
        <f>_xlfn.XLOOKUP(C8566,'H-MO'!B$7:B$30,'H-MO'!D$7:D$30,,0,1)</f>
        <v>2436.5624999999995</v>
      </c>
      <c r="F8566" s="19">
        <v>0.4</v>
      </c>
      <c r="G8566" s="33">
        <f t="shared" ref="G8566:G8571" si="246">+E8566*F8566</f>
        <v>974.62499999999989</v>
      </c>
    </row>
    <row r="8567" spans="1:8">
      <c r="A8567" s="211" t="s">
        <v>509</v>
      </c>
      <c r="B8567" s="216" t="str">
        <f ca="1">_xlfn.CONCAT(B8540,A8567)</f>
        <v>34F286E2-Z</v>
      </c>
      <c r="C8567" s="24" t="s">
        <v>23</v>
      </c>
      <c r="D8567" s="184"/>
      <c r="E8567" s="25">
        <f>_xlfn.XLOOKUP(C8567,'H-MO'!B$7:B$30,'H-MO'!D$7:D$30,,0,1)</f>
        <v>1461.9374999999998</v>
      </c>
      <c r="F8567" s="19">
        <v>0.5</v>
      </c>
      <c r="G8567" s="33">
        <f t="shared" si="246"/>
        <v>730.96874999999989</v>
      </c>
    </row>
    <row r="8568" spans="1:8">
      <c r="A8568" s="211" t="s">
        <v>510</v>
      </c>
      <c r="B8568" s="216" t="str">
        <f ca="1">_xlfn.CONCAT(B8540,A8568)</f>
        <v>34F286E2-aa</v>
      </c>
      <c r="C8568" s="24" t="s">
        <v>24</v>
      </c>
      <c r="D8568" s="185"/>
      <c r="E8568" s="25">
        <f>_xlfn.XLOOKUP(C8568,'H-MO'!B$7:B$30,'H-MO'!D$7:D$30,,0,1)</f>
        <v>29238.749999999996</v>
      </c>
      <c r="F8568" s="28">
        <v>0.05</v>
      </c>
      <c r="G8568" s="33">
        <f t="shared" si="246"/>
        <v>1461.9375</v>
      </c>
    </row>
    <row r="8569" spans="1:8">
      <c r="A8569" s="211" t="s">
        <v>511</v>
      </c>
      <c r="B8569" s="216" t="str">
        <f ca="1">_xlfn.CONCAT(B8540,A8569)</f>
        <v>34F286E2-ab</v>
      </c>
      <c r="C8569" s="24" t="s">
        <v>25</v>
      </c>
      <c r="D8569" s="185"/>
      <c r="E8569" s="25">
        <f>_xlfn.XLOOKUP(C8569,'H-MO'!B$7:B$30,'H-MO'!D$7:D$30,,0,1)</f>
        <v>2761.4374999999995</v>
      </c>
      <c r="F8569" s="28">
        <v>0.01</v>
      </c>
      <c r="G8569" s="33">
        <f t="shared" si="246"/>
        <v>27.614374999999995</v>
      </c>
    </row>
    <row r="8570" spans="1:8">
      <c r="A8570" s="211" t="s">
        <v>512</v>
      </c>
      <c r="B8570" s="216" t="str">
        <f ca="1">_xlfn.CONCAT(B8540,A8570)</f>
        <v>34F286E2-ac</v>
      </c>
      <c r="C8570" s="24"/>
      <c r="D8570" s="185"/>
      <c r="E8570" s="29"/>
      <c r="F8570" s="28"/>
      <c r="G8570" s="33">
        <f t="shared" si="246"/>
        <v>0</v>
      </c>
    </row>
    <row r="8571" spans="1:8" ht="14.25" thickBot="1">
      <c r="A8571" s="211" t="s">
        <v>513</v>
      </c>
      <c r="B8571" s="216" t="str">
        <f ca="1">_xlfn.CONCAT(B8540,A8571)</f>
        <v>34F286E2-ad</v>
      </c>
      <c r="C8571" s="24"/>
      <c r="D8571" s="185"/>
      <c r="E8571" s="29"/>
      <c r="F8571" s="28"/>
      <c r="G8571" s="33">
        <f t="shared" si="246"/>
        <v>0</v>
      </c>
    </row>
    <row r="8572" spans="1:8" ht="14.25" thickBot="1">
      <c r="A8572" s="211" t="s">
        <v>514</v>
      </c>
      <c r="B8572" s="216" t="str">
        <f ca="1">_xlfn.CONCAT(B8540,A8572)</f>
        <v>34F286E2-ae</v>
      </c>
      <c r="C8572" s="17"/>
      <c r="D8572" s="192"/>
      <c r="E8572" s="18"/>
      <c r="F8572" s="22" t="s">
        <v>26</v>
      </c>
      <c r="G8572" s="23">
        <f>SUM(G8566:G8571)</f>
        <v>3195.1456250000001</v>
      </c>
    </row>
    <row r="8573" spans="1:8" ht="15.75" thickBot="1">
      <c r="A8573" s="211" t="s">
        <v>515</v>
      </c>
      <c r="B8573" s="216" t="str">
        <f ca="1">_xlfn.CONCAT(B8540,A8573)</f>
        <v>34F286E2-af</v>
      </c>
      <c r="C8573" s="10" t="s">
        <v>27</v>
      </c>
      <c r="D8573" s="190"/>
      <c r="E8573" s="11"/>
      <c r="F8573" s="12"/>
      <c r="G8573" s="13"/>
    </row>
    <row r="8574" spans="1:8" ht="14.25" thickBot="1">
      <c r="A8574" s="211" t="s">
        <v>516</v>
      </c>
      <c r="B8574" s="216" t="str">
        <f ca="1">_xlfn.CONCAT(B8540,A8574)</f>
        <v>34F286E2-ag</v>
      </c>
      <c r="C8574" s="14" t="s">
        <v>1</v>
      </c>
      <c r="D8574" s="15" t="s">
        <v>28</v>
      </c>
      <c r="E8574" s="15" t="s">
        <v>20</v>
      </c>
      <c r="F8574" s="16" t="s">
        <v>21</v>
      </c>
      <c r="G8574" s="15" t="s">
        <v>5</v>
      </c>
      <c r="H8574" s="215"/>
    </row>
    <row r="8575" spans="1:8">
      <c r="A8575" s="211" t="s">
        <v>517</v>
      </c>
      <c r="B8575" s="216" t="str">
        <f ca="1">_xlfn.CONCAT(B8540,A8575)</f>
        <v>34F286E2-ah</v>
      </c>
      <c r="C8575" s="30" t="s">
        <v>29</v>
      </c>
      <c r="D8575" s="186">
        <f>'H-MO'!$N$77</f>
        <v>725918.52892505517</v>
      </c>
      <c r="E8575" s="31">
        <f>+D8575/8</f>
        <v>90739.816115631897</v>
      </c>
      <c r="F8575" s="32">
        <v>0.45</v>
      </c>
      <c r="G8575" s="33">
        <f>+E8575*F8575</f>
        <v>40832.917252034356</v>
      </c>
    </row>
    <row r="8576" spans="1:8">
      <c r="A8576" s="211" t="s">
        <v>518</v>
      </c>
      <c r="B8576" s="216" t="str">
        <f ca="1">_xlfn.CONCAT(B8540,A8576)</f>
        <v>34F286E2-ai</v>
      </c>
      <c r="C8576" s="34" t="s">
        <v>30</v>
      </c>
      <c r="D8576" s="187">
        <f>'H-MO'!$N$86</f>
        <v>685561.39085756091</v>
      </c>
      <c r="E8576" s="29">
        <f>+D8576/8</f>
        <v>85695.173857195114</v>
      </c>
      <c r="F8576" s="28">
        <v>0</v>
      </c>
      <c r="G8576" s="33">
        <f>+E8576*F8576</f>
        <v>0</v>
      </c>
    </row>
    <row r="8577" spans="1:8" ht="14.25" thickBot="1">
      <c r="A8577" s="211" t="s">
        <v>519</v>
      </c>
      <c r="B8577" s="216" t="str">
        <f ca="1">_xlfn.CONCAT(B8540,A8577)</f>
        <v>34F286E2-aj</v>
      </c>
      <c r="C8577" s="34"/>
      <c r="D8577" s="187"/>
      <c r="E8577" s="29"/>
      <c r="F8577" s="28"/>
      <c r="G8577" s="33">
        <f>+E8577*F8577</f>
        <v>0</v>
      </c>
    </row>
    <row r="8578" spans="1:8" ht="14.25" thickBot="1">
      <c r="A8578" s="211" t="s">
        <v>520</v>
      </c>
      <c r="B8578" s="216" t="str">
        <f ca="1">_xlfn.CONCAT(B8540,A8578)</f>
        <v>34F286E2-ak</v>
      </c>
      <c r="C8578" s="34"/>
      <c r="D8578" s="185"/>
      <c r="E8578" s="26"/>
      <c r="F8578" s="36" t="s">
        <v>31</v>
      </c>
      <c r="G8578" s="23">
        <f>SUM(G8575:G8577)</f>
        <v>40832.917252034356</v>
      </c>
    </row>
    <row r="8579" spans="1:8" ht="14.25" thickBot="1">
      <c r="A8579" s="211" t="s">
        <v>521</v>
      </c>
      <c r="B8579" s="216" t="str">
        <f ca="1">_xlfn.CONCAT(B8540,A8579)</f>
        <v>34F286E2-al</v>
      </c>
      <c r="C8579" s="37"/>
      <c r="E8579" s="38"/>
      <c r="F8579" s="22"/>
      <c r="G8579" s="39"/>
    </row>
    <row r="8580" spans="1:8" ht="16.5" thickBot="1">
      <c r="A8580" s="211" t="s">
        <v>522</v>
      </c>
      <c r="B8580" s="216" t="str">
        <f ca="1">_xlfn.CONCAT(B8540,A8580)</f>
        <v>34F286E2-am</v>
      </c>
      <c r="C8580" s="40"/>
      <c r="D8580" s="193"/>
      <c r="E8580" s="41"/>
      <c r="F8580" s="42"/>
      <c r="G8580" s="43">
        <f>+G8563+G8572+G8578</f>
        <v>330728.06287703436</v>
      </c>
    </row>
    <row r="8581" spans="1:8" ht="21.75" thickBot="1">
      <c r="B8581" s="212" t="s">
        <v>550</v>
      </c>
      <c r="C8581" s="2"/>
      <c r="D8581" s="183"/>
      <c r="F8581" s="4"/>
      <c r="G8581" s="5"/>
    </row>
    <row r="8582" spans="1:8" ht="18.75">
      <c r="A8582" s="213"/>
      <c r="B8582" s="214">
        <v>195</v>
      </c>
      <c r="C8582" s="242" t="str">
        <f ca="1">_xlfn.XLOOKUP(B8582,Cantidades!$A$10:$A$314,Cantidades!$C$10:$C$314,,0,1)</f>
        <v>Suministro e instalación de ductos  1Ø2" PVC</v>
      </c>
      <c r="D8582" s="243"/>
      <c r="E8582" s="243"/>
      <c r="F8582" s="243"/>
      <c r="G8582" s="244"/>
      <c r="H8582" s="213"/>
    </row>
    <row r="8583" spans="1:8" ht="19.5" thickBot="1">
      <c r="A8583" s="215"/>
      <c r="B8583" s="216" t="s">
        <v>550</v>
      </c>
      <c r="C8583" s="177"/>
      <c r="D8583" s="189"/>
      <c r="E8583" s="178"/>
      <c r="F8583" s="179" t="s">
        <v>636</v>
      </c>
      <c r="G8583" s="209" t="str">
        <f ca="1">B8584</f>
        <v>61A0AB0-</v>
      </c>
      <c r="H8583" s="215"/>
    </row>
    <row r="8584" spans="1:8" ht="15.75" thickBot="1">
      <c r="B8584" s="212" t="str">
        <f ca="1">_xlfn.XLOOKUP(C8582,Cantidades!$C$1:$C$314,Cantidades!$B$1:$B$314,"",0,1)</f>
        <v>61A0AB0-</v>
      </c>
      <c r="C8584" s="10" t="s">
        <v>0</v>
      </c>
      <c r="D8584" s="190"/>
      <c r="E8584" s="11"/>
      <c r="F8584" s="12"/>
      <c r="G8584" s="13"/>
    </row>
    <row r="8585" spans="1:8" ht="14.25" thickBot="1">
      <c r="A8585" s="215"/>
      <c r="B8585" s="216" t="s">
        <v>550</v>
      </c>
      <c r="C8585" s="14" t="s">
        <v>1</v>
      </c>
      <c r="D8585" s="15" t="s">
        <v>2</v>
      </c>
      <c r="E8585" s="15" t="s">
        <v>3</v>
      </c>
      <c r="F8585" s="16" t="s">
        <v>4</v>
      </c>
      <c r="G8585" s="15" t="s">
        <v>5</v>
      </c>
    </row>
    <row r="8586" spans="1:8">
      <c r="A8586" s="211" t="s">
        <v>484</v>
      </c>
      <c r="B8586" s="216" t="str">
        <f ca="1">_xlfn.CONCAT(B8584,A8586)</f>
        <v>61A0AB0-A</v>
      </c>
      <c r="C8586" s="17" t="str">
        <f>_xlfn.XLOOKUP(H8586,'Materiales unitario'!$A$1:$A$2500,'Materiales unitario'!B$1:B$2500,,0,1)</f>
        <v>Ducto telef. Y Electric. pesado TDP ø2" PVC</v>
      </c>
      <c r="D8586" s="184" t="str">
        <f>_xlfn.XLOOKUP(H8586,'Materiales unitario'!A$1:A$2500,'Materiales unitario'!C$1:C$2500,,0,1)</f>
        <v>ml</v>
      </c>
      <c r="E8586" s="197">
        <f>_xlfn.XLOOKUP(H8586,'Materiales unitario'!$A$1:$A$2500,'Materiales unitario'!D$1:D$2500,,0,1)</f>
        <v>6520</v>
      </c>
      <c r="F8586" s="19">
        <v>1.2</v>
      </c>
      <c r="G8586" s="20">
        <f>+E8586*F8586</f>
        <v>7824</v>
      </c>
      <c r="H8586" s="211" t="s">
        <v>1196</v>
      </c>
    </row>
    <row r="8587" spans="1:8">
      <c r="A8587" s="211" t="s">
        <v>485</v>
      </c>
      <c r="B8587" s="216" t="str">
        <f ca="1">_xlfn.CONCAT(B8584,A8587)</f>
        <v>61A0AB0-B</v>
      </c>
      <c r="C8587" s="17" t="str">
        <f>_xlfn.XLOOKUP(H8587,'Materiales unitario'!$A$1:$A$2500,'Materiales unitario'!B$1:B$2500,,0,1)</f>
        <v>Campana terminal ducto ø2" PVC</v>
      </c>
      <c r="D8587" s="184" t="str">
        <f>_xlfn.XLOOKUP(H8587,'Materiales unitario'!A$1:A$2500,'Materiales unitario'!C$1:C$2500,,0,1)</f>
        <v>un</v>
      </c>
      <c r="E8587" s="197">
        <f>_xlfn.XLOOKUP(H8587,'Materiales unitario'!$A$1:$A$2500,'Materiales unitario'!D$1:D$2500,,0,1)</f>
        <v>4046</v>
      </c>
      <c r="F8587" s="19">
        <v>0.6</v>
      </c>
      <c r="G8587" s="20">
        <f>+E8587*F8587</f>
        <v>2427.6</v>
      </c>
      <c r="H8587" s="211" t="s">
        <v>286</v>
      </c>
    </row>
    <row r="8588" spans="1:8">
      <c r="A8588" s="211" t="s">
        <v>486</v>
      </c>
      <c r="B8588" s="216" t="str">
        <f ca="1">_xlfn.CONCAT(B8584,A8588)</f>
        <v>61A0AB0-C</v>
      </c>
      <c r="C8588" s="17" t="str">
        <f>_xlfn.XLOOKUP(H8588,'Materiales unitario'!$A$1:$A$2500,'Materiales unitario'!B$1:B$2500,,0,1)</f>
        <v>Soldadura liquida PVC 1/4 de galón</v>
      </c>
      <c r="D8588" s="184" t="str">
        <f>_xlfn.XLOOKUP(H8588,'Materiales unitario'!A$1:A$2500,'Materiales unitario'!C$1:C$2500,,0,1)</f>
        <v>un</v>
      </c>
      <c r="E8588" s="197">
        <f>_xlfn.XLOOKUP(H8588,'Materiales unitario'!$A$1:$A$2500,'Materiales unitario'!D$1:D$2500,,0,1)</f>
        <v>60900</v>
      </c>
      <c r="F8588" s="19">
        <v>0.08</v>
      </c>
      <c r="G8588" s="20">
        <f>+E8588*F8588</f>
        <v>4872</v>
      </c>
      <c r="H8588" s="211" t="s">
        <v>530</v>
      </c>
    </row>
    <row r="8589" spans="1:8">
      <c r="A8589" s="211" t="s">
        <v>487</v>
      </c>
      <c r="B8589" s="216" t="str">
        <f ca="1">_xlfn.CONCAT(B8584,A8589)</f>
        <v>61A0AB0-D</v>
      </c>
      <c r="C8589" s="17"/>
      <c r="D8589" s="184"/>
      <c r="E8589" s="197"/>
      <c r="F8589" s="19"/>
      <c r="G8589" s="20"/>
    </row>
    <row r="8590" spans="1:8">
      <c r="A8590" s="211" t="s">
        <v>488</v>
      </c>
      <c r="B8590" s="216" t="str">
        <f ca="1">_xlfn.CONCAT(B8584,A8590)</f>
        <v>61A0AB0-E</v>
      </c>
      <c r="C8590" s="17"/>
      <c r="D8590" s="184"/>
      <c r="E8590" s="197"/>
      <c r="F8590" s="19"/>
      <c r="G8590" s="20"/>
    </row>
    <row r="8591" spans="1:8">
      <c r="A8591" s="211" t="s">
        <v>489</v>
      </c>
      <c r="B8591" s="216" t="str">
        <f ca="1">_xlfn.CONCAT(B8584,A8591)</f>
        <v>61A0AB0-F</v>
      </c>
      <c r="C8591" s="17"/>
      <c r="D8591" s="184"/>
      <c r="E8591" s="197"/>
      <c r="F8591" s="19"/>
      <c r="G8591" s="20"/>
    </row>
    <row r="8592" spans="1:8">
      <c r="A8592" s="211" t="s">
        <v>490</v>
      </c>
      <c r="B8592" s="216" t="str">
        <f ca="1">_xlfn.CONCAT(B8584,A8592)</f>
        <v>61A0AB0-G</v>
      </c>
      <c r="C8592" s="17"/>
      <c r="D8592" s="184"/>
      <c r="E8592" s="197"/>
      <c r="F8592" s="19"/>
      <c r="G8592" s="20"/>
    </row>
    <row r="8593" spans="1:7">
      <c r="A8593" s="211" t="s">
        <v>491</v>
      </c>
      <c r="B8593" s="216" t="str">
        <f ca="1">_xlfn.CONCAT(B8584,A8593)</f>
        <v>61A0AB0-H</v>
      </c>
      <c r="C8593" s="17"/>
      <c r="D8593" s="184"/>
      <c r="E8593" s="197"/>
      <c r="F8593" s="19"/>
      <c r="G8593" s="20"/>
    </row>
    <row r="8594" spans="1:7">
      <c r="A8594" s="211" t="s">
        <v>492</v>
      </c>
      <c r="B8594" s="216" t="str">
        <f ca="1">_xlfn.CONCAT(B8584,A8594)</f>
        <v>61A0AB0-I</v>
      </c>
      <c r="C8594" s="17"/>
      <c r="D8594" s="184"/>
      <c r="E8594" s="197"/>
      <c r="F8594" s="19"/>
      <c r="G8594" s="20"/>
    </row>
    <row r="8595" spans="1:7">
      <c r="A8595" s="211" t="s">
        <v>493</v>
      </c>
      <c r="B8595" s="216" t="str">
        <f ca="1">_xlfn.CONCAT(B8584,A8595)</f>
        <v>61A0AB0-J</v>
      </c>
      <c r="C8595" s="17"/>
      <c r="D8595" s="184"/>
      <c r="E8595" s="197"/>
      <c r="F8595" s="19"/>
      <c r="G8595" s="20"/>
    </row>
    <row r="8596" spans="1:7">
      <c r="A8596" s="211" t="s">
        <v>494</v>
      </c>
      <c r="B8596" s="216" t="str">
        <f ca="1">_xlfn.CONCAT(B8584,A8596)</f>
        <v>61A0AB0-K</v>
      </c>
      <c r="C8596" s="17"/>
      <c r="D8596" s="184"/>
      <c r="E8596" s="197"/>
      <c r="F8596" s="19"/>
      <c r="G8596" s="20"/>
    </row>
    <row r="8597" spans="1:7">
      <c r="A8597" s="211" t="s">
        <v>495</v>
      </c>
      <c r="B8597" s="216" t="str">
        <f ca="1">_xlfn.CONCAT(B8584,A8597)</f>
        <v>61A0AB0-L</v>
      </c>
      <c r="C8597" s="17"/>
      <c r="D8597" s="184"/>
      <c r="E8597" s="197"/>
      <c r="F8597" s="19"/>
      <c r="G8597" s="20"/>
    </row>
    <row r="8598" spans="1:7">
      <c r="A8598" s="211" t="s">
        <v>496</v>
      </c>
      <c r="B8598" s="216" t="str">
        <f ca="1">_xlfn.CONCAT(B8584,A8598)</f>
        <v>61A0AB0-M</v>
      </c>
      <c r="C8598" s="17"/>
      <c r="D8598" s="184"/>
      <c r="E8598" s="197"/>
      <c r="F8598" s="19"/>
      <c r="G8598" s="20"/>
    </row>
    <row r="8599" spans="1:7">
      <c r="A8599" s="211" t="s">
        <v>497</v>
      </c>
      <c r="B8599" s="216" t="str">
        <f ca="1">_xlfn.CONCAT(B8584,A8599)</f>
        <v>61A0AB0-N</v>
      </c>
      <c r="C8599" s="17"/>
      <c r="D8599" s="184"/>
      <c r="E8599" s="197"/>
      <c r="F8599" s="19"/>
      <c r="G8599" s="20"/>
    </row>
    <row r="8600" spans="1:7">
      <c r="A8600" s="211" t="s">
        <v>498</v>
      </c>
      <c r="B8600" s="216" t="str">
        <f ca="1">_xlfn.CONCAT(B8584,A8600)</f>
        <v>61A0AB0-O</v>
      </c>
      <c r="C8600" s="17"/>
      <c r="D8600" s="184"/>
      <c r="E8600" s="197"/>
      <c r="F8600" s="19"/>
      <c r="G8600" s="20"/>
    </row>
    <row r="8601" spans="1:7">
      <c r="A8601" s="211" t="s">
        <v>499</v>
      </c>
      <c r="B8601" s="216" t="str">
        <f ca="1">_xlfn.CONCAT(B8584,A8601)</f>
        <v>61A0AB0-P</v>
      </c>
      <c r="C8601" s="17"/>
      <c r="D8601" s="184"/>
      <c r="E8601" s="197"/>
      <c r="F8601" s="19"/>
      <c r="G8601" s="20"/>
    </row>
    <row r="8602" spans="1:7">
      <c r="A8602" s="211" t="s">
        <v>500</v>
      </c>
      <c r="B8602" s="216" t="str">
        <f ca="1">_xlfn.CONCAT(B8584,A8602)</f>
        <v>61A0AB0-Q</v>
      </c>
      <c r="C8602" s="17"/>
      <c r="D8602" s="184"/>
      <c r="E8602" s="197"/>
      <c r="F8602" s="19"/>
      <c r="G8602" s="20"/>
    </row>
    <row r="8603" spans="1:7">
      <c r="A8603" s="211" t="s">
        <v>501</v>
      </c>
      <c r="B8603" s="216" t="str">
        <f ca="1">_xlfn.CONCAT(B8584,A8603)</f>
        <v>61A0AB0-R</v>
      </c>
      <c r="C8603" s="17"/>
      <c r="D8603" s="184"/>
      <c r="E8603" s="197"/>
      <c r="F8603" s="19"/>
      <c r="G8603" s="20"/>
    </row>
    <row r="8604" spans="1:7">
      <c r="A8604" s="211" t="s">
        <v>502</v>
      </c>
      <c r="B8604" s="216" t="str">
        <f ca="1">_xlfn.CONCAT(B8584,A8604)</f>
        <v>61A0AB0-S</v>
      </c>
      <c r="C8604" s="17"/>
      <c r="D8604" s="184"/>
      <c r="E8604" s="197"/>
      <c r="F8604" s="19"/>
      <c r="G8604" s="20"/>
    </row>
    <row r="8605" spans="1:7">
      <c r="A8605" s="211" t="s">
        <v>503</v>
      </c>
      <c r="B8605" s="216" t="str">
        <f ca="1">_xlfn.CONCAT(B8584,A8605)</f>
        <v>61A0AB0-T</v>
      </c>
      <c r="C8605" s="17"/>
      <c r="D8605" s="184"/>
      <c r="E8605" s="197"/>
      <c r="F8605" s="19"/>
      <c r="G8605" s="20"/>
    </row>
    <row r="8606" spans="1:7" ht="14.25" thickBot="1">
      <c r="A8606" s="211" t="s">
        <v>504</v>
      </c>
      <c r="B8606" s="216" t="str">
        <f ca="1">_xlfn.CONCAT(B8584,A8606)</f>
        <v>61A0AB0-U</v>
      </c>
      <c r="C8606" s="17"/>
      <c r="D8606" s="184"/>
      <c r="E8606" s="197"/>
      <c r="F8606" s="19"/>
      <c r="G8606" s="20"/>
    </row>
    <row r="8607" spans="1:7" ht="14.25" thickBot="1">
      <c r="A8607" s="211" t="s">
        <v>505</v>
      </c>
      <c r="B8607" s="216" t="str">
        <f ca="1">_xlfn.CONCAT(B8584,A8607)</f>
        <v>61A0AB0-V</v>
      </c>
      <c r="C8607" s="17" t="s">
        <v>17</v>
      </c>
      <c r="D8607" s="192" t="s">
        <v>17</v>
      </c>
      <c r="E8607" s="18"/>
      <c r="F8607" s="22" t="s">
        <v>18</v>
      </c>
      <c r="G8607" s="23">
        <f>SUM(G8586:G8606)</f>
        <v>15123.6</v>
      </c>
    </row>
    <row r="8608" spans="1:7" ht="15.75" thickBot="1">
      <c r="A8608" s="211" t="s">
        <v>506</v>
      </c>
      <c r="B8608" s="216" t="str">
        <f ca="1">_xlfn.CONCAT(B8584,A8608)</f>
        <v>61A0AB0-W</v>
      </c>
      <c r="C8608" s="10" t="s">
        <v>19</v>
      </c>
      <c r="D8608" s="190"/>
      <c r="E8608" s="11"/>
      <c r="F8608" s="12"/>
      <c r="G8608" s="13"/>
    </row>
    <row r="8609" spans="1:8" ht="14.25" thickBot="1">
      <c r="A8609" s="211" t="s">
        <v>507</v>
      </c>
      <c r="B8609" s="216" t="str">
        <f ca="1">_xlfn.CONCAT(B8584,A8609)</f>
        <v>61A0AB0-X</v>
      </c>
      <c r="C8609" s="14" t="s">
        <v>1</v>
      </c>
      <c r="D8609" s="15"/>
      <c r="E8609" s="15" t="s">
        <v>20</v>
      </c>
      <c r="F8609" s="16" t="s">
        <v>21</v>
      </c>
      <c r="G8609" s="15" t="s">
        <v>5</v>
      </c>
      <c r="H8609" s="215"/>
    </row>
    <row r="8610" spans="1:8">
      <c r="A8610" s="211" t="s">
        <v>508</v>
      </c>
      <c r="B8610" s="216" t="str">
        <f ca="1">_xlfn.CONCAT(B8584,A8610)</f>
        <v>61A0AB0-Y</v>
      </c>
      <c r="C8610" s="24" t="s">
        <v>22</v>
      </c>
      <c r="D8610" s="184"/>
      <c r="E8610" s="25">
        <f>_xlfn.XLOOKUP(C8610,'H-MO'!B$7:B$30,'H-MO'!D$7:D$30,,0,1)</f>
        <v>2436.5624999999995</v>
      </c>
      <c r="F8610" s="19">
        <v>0.15</v>
      </c>
      <c r="G8610" s="33">
        <f t="shared" ref="G8610:G8615" si="247">+E8610*F8610</f>
        <v>365.48437499999994</v>
      </c>
    </row>
    <row r="8611" spans="1:8">
      <c r="A8611" s="211" t="s">
        <v>509</v>
      </c>
      <c r="B8611" s="216" t="str">
        <f ca="1">_xlfn.CONCAT(B8584,A8611)</f>
        <v>61A0AB0-Z</v>
      </c>
      <c r="C8611" s="24" t="s">
        <v>23</v>
      </c>
      <c r="D8611" s="184"/>
      <c r="E8611" s="25">
        <f>_xlfn.XLOOKUP(C8611,'H-MO'!B$7:B$30,'H-MO'!D$7:D$30,,0,1)</f>
        <v>1461.9374999999998</v>
      </c>
      <c r="F8611" s="19">
        <v>0.3</v>
      </c>
      <c r="G8611" s="33">
        <f t="shared" si="247"/>
        <v>438.5812499999999</v>
      </c>
    </row>
    <row r="8612" spans="1:8">
      <c r="A8612" s="211" t="s">
        <v>510</v>
      </c>
      <c r="B8612" s="216" t="str">
        <f ca="1">_xlfn.CONCAT(B8584,A8612)</f>
        <v>61A0AB0-aa</v>
      </c>
      <c r="C8612" s="24" t="s">
        <v>24</v>
      </c>
      <c r="D8612" s="185"/>
      <c r="E8612" s="25">
        <f>_xlfn.XLOOKUP(C8612,'H-MO'!B$7:B$30,'H-MO'!D$7:D$30,,0,1)</f>
        <v>29238.749999999996</v>
      </c>
      <c r="F8612" s="28">
        <v>0.05</v>
      </c>
      <c r="G8612" s="33">
        <f t="shared" si="247"/>
        <v>1461.9375</v>
      </c>
    </row>
    <row r="8613" spans="1:8">
      <c r="A8613" s="211" t="s">
        <v>511</v>
      </c>
      <c r="B8613" s="216" t="str">
        <f ca="1">_xlfn.CONCAT(B8584,A8613)</f>
        <v>61A0AB0-ab</v>
      </c>
      <c r="C8613" s="24" t="s">
        <v>25</v>
      </c>
      <c r="D8613" s="185"/>
      <c r="E8613" s="25">
        <f>_xlfn.XLOOKUP(C8613,'H-MO'!B$7:B$30,'H-MO'!D$7:D$30,,0,1)</f>
        <v>2761.4374999999995</v>
      </c>
      <c r="F8613" s="28">
        <v>0.2</v>
      </c>
      <c r="G8613" s="33">
        <f t="shared" si="247"/>
        <v>552.28749999999991</v>
      </c>
    </row>
    <row r="8614" spans="1:8">
      <c r="A8614" s="211" t="s">
        <v>512</v>
      </c>
      <c r="B8614" s="216" t="str">
        <f ca="1">_xlfn.CONCAT(B8584,A8614)</f>
        <v>61A0AB0-ac</v>
      </c>
      <c r="C8614" s="24"/>
      <c r="D8614" s="185"/>
      <c r="E8614" s="29"/>
      <c r="F8614" s="28">
        <v>0</v>
      </c>
      <c r="G8614" s="33">
        <f t="shared" si="247"/>
        <v>0</v>
      </c>
    </row>
    <row r="8615" spans="1:8" ht="14.25" thickBot="1">
      <c r="A8615" s="211" t="s">
        <v>513</v>
      </c>
      <c r="B8615" s="216" t="str">
        <f ca="1">_xlfn.CONCAT(B8584,A8615)</f>
        <v>61A0AB0-ad</v>
      </c>
      <c r="C8615" s="24"/>
      <c r="D8615" s="185"/>
      <c r="E8615" s="29"/>
      <c r="F8615" s="28">
        <v>0</v>
      </c>
      <c r="G8615" s="33">
        <f t="shared" si="247"/>
        <v>0</v>
      </c>
    </row>
    <row r="8616" spans="1:8" ht="14.25" thickBot="1">
      <c r="A8616" s="211" t="s">
        <v>514</v>
      </c>
      <c r="B8616" s="216" t="str">
        <f ca="1">_xlfn.CONCAT(B8584,A8616)</f>
        <v>61A0AB0-ae</v>
      </c>
      <c r="C8616" s="17"/>
      <c r="D8616" s="192"/>
      <c r="E8616" s="18"/>
      <c r="F8616" s="22" t="s">
        <v>26</v>
      </c>
      <c r="G8616" s="23">
        <f>SUM(G8610:G8615)</f>
        <v>2818.2906249999996</v>
      </c>
    </row>
    <row r="8617" spans="1:8" ht="15.75" thickBot="1">
      <c r="A8617" s="211" t="s">
        <v>515</v>
      </c>
      <c r="B8617" s="216" t="str">
        <f ca="1">_xlfn.CONCAT(B8584,A8617)</f>
        <v>61A0AB0-af</v>
      </c>
      <c r="C8617" s="10" t="s">
        <v>27</v>
      </c>
      <c r="D8617" s="190"/>
      <c r="E8617" s="11"/>
      <c r="F8617" s="12"/>
      <c r="G8617" s="13"/>
    </row>
    <row r="8618" spans="1:8" ht="14.25" thickBot="1">
      <c r="A8618" s="211" t="s">
        <v>516</v>
      </c>
      <c r="B8618" s="216" t="str">
        <f ca="1">_xlfn.CONCAT(B8584,A8618)</f>
        <v>61A0AB0-ag</v>
      </c>
      <c r="C8618" s="14" t="s">
        <v>1</v>
      </c>
      <c r="D8618" s="15" t="s">
        <v>28</v>
      </c>
      <c r="E8618" s="15" t="s">
        <v>20</v>
      </c>
      <c r="F8618" s="16" t="s">
        <v>21</v>
      </c>
      <c r="G8618" s="15" t="s">
        <v>5</v>
      </c>
      <c r="H8618" s="215"/>
    </row>
    <row r="8619" spans="1:8">
      <c r="A8619" s="211" t="s">
        <v>517</v>
      </c>
      <c r="B8619" s="216" t="str">
        <f ca="1">_xlfn.CONCAT(B8584,A8619)</f>
        <v>61A0AB0-ah</v>
      </c>
      <c r="C8619" s="30" t="s">
        <v>29</v>
      </c>
      <c r="D8619" s="186">
        <f>'H-MO'!$N$77</f>
        <v>725918.52892505517</v>
      </c>
      <c r="E8619" s="31">
        <f>+D8619/8</f>
        <v>90739.816115631897</v>
      </c>
      <c r="F8619" s="32">
        <v>1.4999999999999999E-2</v>
      </c>
      <c r="G8619" s="33">
        <f>+E8619*F8619</f>
        <v>1361.0972417344783</v>
      </c>
    </row>
    <row r="8620" spans="1:8">
      <c r="A8620" s="211" t="s">
        <v>518</v>
      </c>
      <c r="B8620" s="216" t="str">
        <f ca="1">_xlfn.CONCAT(B8584,A8620)</f>
        <v>61A0AB0-ai</v>
      </c>
      <c r="C8620" s="34" t="s">
        <v>30</v>
      </c>
      <c r="D8620" s="187">
        <f>'H-MO'!$N$86</f>
        <v>685561.39085756091</v>
      </c>
      <c r="E8620" s="29">
        <f>+D8620/8</f>
        <v>85695.173857195114</v>
      </c>
      <c r="F8620" s="28">
        <v>3.5000000000000003E-2</v>
      </c>
      <c r="G8620" s="33">
        <f>+E8620*F8620</f>
        <v>2999.3310850018293</v>
      </c>
    </row>
    <row r="8621" spans="1:8" ht="14.25" thickBot="1">
      <c r="A8621" s="211" t="s">
        <v>519</v>
      </c>
      <c r="B8621" s="216" t="str">
        <f ca="1">_xlfn.CONCAT(B8584,A8621)</f>
        <v>61A0AB0-aj</v>
      </c>
      <c r="C8621" s="34"/>
      <c r="D8621" s="187"/>
      <c r="E8621" s="29"/>
      <c r="F8621" s="28">
        <v>0</v>
      </c>
      <c r="G8621" s="33">
        <f>+E8621*F8621</f>
        <v>0</v>
      </c>
    </row>
    <row r="8622" spans="1:8" ht="14.25" thickBot="1">
      <c r="A8622" s="211" t="s">
        <v>520</v>
      </c>
      <c r="B8622" s="216" t="str">
        <f ca="1">_xlfn.CONCAT(B8584,A8622)</f>
        <v>61A0AB0-ak</v>
      </c>
      <c r="C8622" s="34"/>
      <c r="D8622" s="185"/>
      <c r="E8622" s="26"/>
      <c r="F8622" s="36" t="s">
        <v>31</v>
      </c>
      <c r="G8622" s="23">
        <f>SUM(G8619:G8621)</f>
        <v>4360.428326736308</v>
      </c>
    </row>
    <row r="8623" spans="1:8" ht="14.25" thickBot="1">
      <c r="A8623" s="211" t="s">
        <v>521</v>
      </c>
      <c r="B8623" s="216" t="str">
        <f ca="1">_xlfn.CONCAT(B8584,A8623)</f>
        <v>61A0AB0-al</v>
      </c>
      <c r="C8623" s="37"/>
      <c r="E8623" s="38"/>
      <c r="F8623" s="22"/>
      <c r="G8623" s="39"/>
    </row>
    <row r="8624" spans="1:8" ht="16.5" thickBot="1">
      <c r="A8624" s="211" t="s">
        <v>522</v>
      </c>
      <c r="B8624" s="216" t="str">
        <f ca="1">_xlfn.CONCAT(B8584,A8624)</f>
        <v>61A0AB0-am</v>
      </c>
      <c r="C8624" s="40"/>
      <c r="D8624" s="193"/>
      <c r="E8624" s="41"/>
      <c r="F8624" s="42"/>
      <c r="G8624" s="43">
        <f>+G8607+G8616+G8622</f>
        <v>22302.318951736306</v>
      </c>
    </row>
    <row r="8625" spans="1:8" ht="21.75" thickBot="1">
      <c r="B8625" s="212" t="s">
        <v>550</v>
      </c>
      <c r="C8625" s="2"/>
      <c r="D8625" s="183"/>
      <c r="F8625" s="4"/>
      <c r="G8625" s="5"/>
    </row>
    <row r="8626" spans="1:8" ht="18.75">
      <c r="A8626" s="213"/>
      <c r="B8626" s="214">
        <v>196</v>
      </c>
      <c r="C8626" s="242" t="str">
        <f ca="1">_xlfn.XLOOKUP(B8626,Cantidades!$A$10:$A$314,Cantidades!$C$10:$C$314,,0,1)</f>
        <v>Suministro e instalación de ductos  4Ø2" PVC</v>
      </c>
      <c r="D8626" s="243"/>
      <c r="E8626" s="243"/>
      <c r="F8626" s="243"/>
      <c r="G8626" s="244"/>
      <c r="H8626" s="213"/>
    </row>
    <row r="8627" spans="1:8" ht="19.5" thickBot="1">
      <c r="A8627" s="215"/>
      <c r="B8627" s="216" t="s">
        <v>550</v>
      </c>
      <c r="C8627" s="177"/>
      <c r="D8627" s="189"/>
      <c r="E8627" s="178"/>
      <c r="F8627" s="179" t="s">
        <v>636</v>
      </c>
      <c r="G8627" s="209" t="str">
        <f ca="1">B8628</f>
        <v>64A0AB0-</v>
      </c>
      <c r="H8627" s="215"/>
    </row>
    <row r="8628" spans="1:8" ht="15.75" thickBot="1">
      <c r="B8628" s="212" t="str">
        <f ca="1">_xlfn.XLOOKUP(C8626,Cantidades!$C$1:$C$314,Cantidades!$B$1:$B$314,"",0,1)</f>
        <v>64A0AB0-</v>
      </c>
      <c r="C8628" s="10" t="s">
        <v>0</v>
      </c>
      <c r="D8628" s="190"/>
      <c r="E8628" s="11"/>
      <c r="F8628" s="12"/>
      <c r="G8628" s="13"/>
    </row>
    <row r="8629" spans="1:8" ht="14.25" thickBot="1">
      <c r="A8629" s="215"/>
      <c r="B8629" s="216" t="s">
        <v>550</v>
      </c>
      <c r="C8629" s="14" t="s">
        <v>1</v>
      </c>
      <c r="D8629" s="15" t="s">
        <v>2</v>
      </c>
      <c r="E8629" s="15" t="s">
        <v>3</v>
      </c>
      <c r="F8629" s="16" t="s">
        <v>4</v>
      </c>
      <c r="G8629" s="15" t="s">
        <v>5</v>
      </c>
    </row>
    <row r="8630" spans="1:8">
      <c r="A8630" s="211" t="s">
        <v>484</v>
      </c>
      <c r="B8630" s="216" t="str">
        <f ca="1">_xlfn.CONCAT(B8628,A8630)</f>
        <v>64A0AB0-A</v>
      </c>
      <c r="C8630" s="17" t="str">
        <f>_xlfn.XLOOKUP(H8630,'Materiales unitario'!$A$1:$A$2500,'Materiales unitario'!B$1:B$2500,,0,1)</f>
        <v>Ducto telef. Y Electric. pesado TDP ø2" PVC</v>
      </c>
      <c r="D8630" s="184" t="str">
        <f>_xlfn.XLOOKUP(H8630,'Materiales unitario'!A$1:A$2500,'Materiales unitario'!C$1:C$2500,,0,1)</f>
        <v>ml</v>
      </c>
      <c r="E8630" s="197">
        <f>_xlfn.XLOOKUP(H8630,'Materiales unitario'!$A$1:$A$2500,'Materiales unitario'!D$1:D$2500,,0,1)</f>
        <v>6520</v>
      </c>
      <c r="F8630" s="19">
        <v>4.2</v>
      </c>
      <c r="G8630" s="20">
        <f>+E8630*F8630</f>
        <v>27384</v>
      </c>
      <c r="H8630" s="211" t="s">
        <v>1196</v>
      </c>
    </row>
    <row r="8631" spans="1:8">
      <c r="A8631" s="211" t="s">
        <v>485</v>
      </c>
      <c r="B8631" s="216" t="str">
        <f ca="1">_xlfn.CONCAT(B8628,A8631)</f>
        <v>64A0AB0-B</v>
      </c>
      <c r="C8631" s="17" t="str">
        <f>_xlfn.XLOOKUP(H8631,'Materiales unitario'!$A$1:$A$2500,'Materiales unitario'!B$1:B$2500,,0,1)</f>
        <v>Campana terminal ducto ø2" PVC</v>
      </c>
      <c r="D8631" s="184" t="str">
        <f>_xlfn.XLOOKUP(H8631,'Materiales unitario'!A$1:A$2500,'Materiales unitario'!C$1:C$2500,,0,1)</f>
        <v>un</v>
      </c>
      <c r="E8631" s="197">
        <f>_xlfn.XLOOKUP(H8631,'Materiales unitario'!$A$1:$A$2500,'Materiales unitario'!D$1:D$2500,,0,1)</f>
        <v>4046</v>
      </c>
      <c r="F8631" s="19">
        <v>1</v>
      </c>
      <c r="G8631" s="20">
        <f>+E8631*F8631</f>
        <v>4046</v>
      </c>
      <c r="H8631" s="211" t="s">
        <v>286</v>
      </c>
    </row>
    <row r="8632" spans="1:8">
      <c r="A8632" s="211" t="s">
        <v>486</v>
      </c>
      <c r="B8632" s="216" t="str">
        <f ca="1">_xlfn.CONCAT(B8628,A8632)</f>
        <v>64A0AB0-C</v>
      </c>
      <c r="C8632" s="17" t="str">
        <f>_xlfn.XLOOKUP(H8632,'Materiales unitario'!$A$1:$A$2500,'Materiales unitario'!B$1:B$2500,,0,1)</f>
        <v>Soldadura liquida PVC 1/4 de galón</v>
      </c>
      <c r="D8632" s="184" t="str">
        <f>_xlfn.XLOOKUP(H8632,'Materiales unitario'!A$1:A$2500,'Materiales unitario'!C$1:C$2500,,0,1)</f>
        <v>un</v>
      </c>
      <c r="E8632" s="197">
        <f>_xlfn.XLOOKUP(H8632,'Materiales unitario'!$A$1:$A$2500,'Materiales unitario'!D$1:D$2500,,0,1)</f>
        <v>60900</v>
      </c>
      <c r="F8632" s="19">
        <v>0.15</v>
      </c>
      <c r="G8632" s="20">
        <f>+E8632*F8632</f>
        <v>9135</v>
      </c>
      <c r="H8632" s="211" t="s">
        <v>530</v>
      </c>
    </row>
    <row r="8633" spans="1:8">
      <c r="A8633" s="211" t="s">
        <v>487</v>
      </c>
      <c r="B8633" s="216" t="str">
        <f ca="1">_xlfn.CONCAT(B8628,A8633)</f>
        <v>64A0AB0-D</v>
      </c>
      <c r="C8633" s="17"/>
      <c r="D8633" s="184"/>
      <c r="E8633" s="197"/>
      <c r="F8633" s="19"/>
      <c r="G8633" s="20"/>
    </row>
    <row r="8634" spans="1:8">
      <c r="A8634" s="211" t="s">
        <v>488</v>
      </c>
      <c r="B8634" s="216" t="str">
        <f ca="1">_xlfn.CONCAT(B8628,A8634)</f>
        <v>64A0AB0-E</v>
      </c>
      <c r="C8634" s="17"/>
      <c r="D8634" s="184"/>
      <c r="E8634" s="197"/>
      <c r="F8634" s="19"/>
      <c r="G8634" s="20"/>
    </row>
    <row r="8635" spans="1:8">
      <c r="A8635" s="211" t="s">
        <v>489</v>
      </c>
      <c r="B8635" s="216" t="str">
        <f ca="1">_xlfn.CONCAT(B8628,A8635)</f>
        <v>64A0AB0-F</v>
      </c>
      <c r="C8635" s="17"/>
      <c r="D8635" s="184"/>
      <c r="E8635" s="197"/>
      <c r="F8635" s="19"/>
      <c r="G8635" s="20"/>
    </row>
    <row r="8636" spans="1:8">
      <c r="A8636" s="211" t="s">
        <v>490</v>
      </c>
      <c r="B8636" s="216" t="str">
        <f ca="1">_xlfn.CONCAT(B8628,A8636)</f>
        <v>64A0AB0-G</v>
      </c>
      <c r="C8636" s="17"/>
      <c r="D8636" s="184"/>
      <c r="E8636" s="197"/>
      <c r="F8636" s="19"/>
      <c r="G8636" s="20"/>
    </row>
    <row r="8637" spans="1:8">
      <c r="A8637" s="211" t="s">
        <v>491</v>
      </c>
      <c r="B8637" s="216" t="str">
        <f ca="1">_xlfn.CONCAT(B8628,A8637)</f>
        <v>64A0AB0-H</v>
      </c>
      <c r="C8637" s="17"/>
      <c r="D8637" s="184"/>
      <c r="E8637" s="197"/>
      <c r="F8637" s="19"/>
      <c r="G8637" s="20"/>
    </row>
    <row r="8638" spans="1:8">
      <c r="A8638" s="211" t="s">
        <v>492</v>
      </c>
      <c r="B8638" s="216" t="str">
        <f ca="1">_xlfn.CONCAT(B8628,A8638)</f>
        <v>64A0AB0-I</v>
      </c>
      <c r="C8638" s="17"/>
      <c r="D8638" s="184"/>
      <c r="E8638" s="197"/>
      <c r="F8638" s="19"/>
      <c r="G8638" s="20"/>
    </row>
    <row r="8639" spans="1:8">
      <c r="A8639" s="211" t="s">
        <v>493</v>
      </c>
      <c r="B8639" s="216" t="str">
        <f ca="1">_xlfn.CONCAT(B8628,A8639)</f>
        <v>64A0AB0-J</v>
      </c>
      <c r="C8639" s="17"/>
      <c r="D8639" s="184"/>
      <c r="E8639" s="197"/>
      <c r="F8639" s="19"/>
      <c r="G8639" s="20"/>
    </row>
    <row r="8640" spans="1:8">
      <c r="A8640" s="211" t="s">
        <v>494</v>
      </c>
      <c r="B8640" s="216" t="str">
        <f ca="1">_xlfn.CONCAT(B8628,A8640)</f>
        <v>64A0AB0-K</v>
      </c>
      <c r="C8640" s="17"/>
      <c r="D8640" s="184"/>
      <c r="E8640" s="197"/>
      <c r="F8640" s="19"/>
      <c r="G8640" s="20"/>
    </row>
    <row r="8641" spans="1:8">
      <c r="A8641" s="211" t="s">
        <v>495</v>
      </c>
      <c r="B8641" s="216" t="str">
        <f ca="1">_xlfn.CONCAT(B8628,A8641)</f>
        <v>64A0AB0-L</v>
      </c>
      <c r="C8641" s="17"/>
      <c r="D8641" s="184"/>
      <c r="E8641" s="197"/>
      <c r="F8641" s="19"/>
      <c r="G8641" s="20"/>
    </row>
    <row r="8642" spans="1:8">
      <c r="A8642" s="211" t="s">
        <v>496</v>
      </c>
      <c r="B8642" s="216" t="str">
        <f ca="1">_xlfn.CONCAT(B8628,A8642)</f>
        <v>64A0AB0-M</v>
      </c>
      <c r="C8642" s="17"/>
      <c r="D8642" s="184"/>
      <c r="E8642" s="197"/>
      <c r="F8642" s="19"/>
      <c r="G8642" s="20"/>
    </row>
    <row r="8643" spans="1:8">
      <c r="A8643" s="211" t="s">
        <v>497</v>
      </c>
      <c r="B8643" s="216" t="str">
        <f ca="1">_xlfn.CONCAT(B8628,A8643)</f>
        <v>64A0AB0-N</v>
      </c>
      <c r="C8643" s="17"/>
      <c r="D8643" s="184"/>
      <c r="E8643" s="197"/>
      <c r="F8643" s="19"/>
      <c r="G8643" s="20"/>
    </row>
    <row r="8644" spans="1:8">
      <c r="A8644" s="211" t="s">
        <v>498</v>
      </c>
      <c r="B8644" s="216" t="str">
        <f ca="1">_xlfn.CONCAT(B8628,A8644)</f>
        <v>64A0AB0-O</v>
      </c>
      <c r="C8644" s="17"/>
      <c r="D8644" s="184"/>
      <c r="E8644" s="197"/>
      <c r="F8644" s="19"/>
      <c r="G8644" s="20"/>
    </row>
    <row r="8645" spans="1:8">
      <c r="A8645" s="211" t="s">
        <v>499</v>
      </c>
      <c r="B8645" s="216" t="str">
        <f ca="1">_xlfn.CONCAT(B8628,A8645)</f>
        <v>64A0AB0-P</v>
      </c>
      <c r="C8645" s="17"/>
      <c r="D8645" s="184"/>
      <c r="E8645" s="197"/>
      <c r="F8645" s="19"/>
      <c r="G8645" s="20"/>
    </row>
    <row r="8646" spans="1:8">
      <c r="A8646" s="211" t="s">
        <v>500</v>
      </c>
      <c r="B8646" s="216" t="str">
        <f ca="1">_xlfn.CONCAT(B8628,A8646)</f>
        <v>64A0AB0-Q</v>
      </c>
      <c r="C8646" s="17"/>
      <c r="D8646" s="184"/>
      <c r="E8646" s="197"/>
      <c r="F8646" s="19"/>
      <c r="G8646" s="20"/>
    </row>
    <row r="8647" spans="1:8">
      <c r="A8647" s="211" t="s">
        <v>501</v>
      </c>
      <c r="B8647" s="216" t="str">
        <f ca="1">_xlfn.CONCAT(B8628,A8647)</f>
        <v>64A0AB0-R</v>
      </c>
      <c r="C8647" s="17"/>
      <c r="D8647" s="184"/>
      <c r="E8647" s="197"/>
      <c r="F8647" s="19"/>
      <c r="G8647" s="20"/>
    </row>
    <row r="8648" spans="1:8">
      <c r="A8648" s="211" t="s">
        <v>502</v>
      </c>
      <c r="B8648" s="216" t="str">
        <f ca="1">_xlfn.CONCAT(B8628,A8648)</f>
        <v>64A0AB0-S</v>
      </c>
      <c r="C8648" s="17"/>
      <c r="D8648" s="184"/>
      <c r="E8648" s="197"/>
      <c r="F8648" s="19"/>
      <c r="G8648" s="20"/>
    </row>
    <row r="8649" spans="1:8">
      <c r="A8649" s="211" t="s">
        <v>503</v>
      </c>
      <c r="B8649" s="216" t="str">
        <f ca="1">_xlfn.CONCAT(B8628,A8649)</f>
        <v>64A0AB0-T</v>
      </c>
      <c r="C8649" s="17"/>
      <c r="D8649" s="184"/>
      <c r="E8649" s="197"/>
      <c r="F8649" s="19"/>
      <c r="G8649" s="20"/>
    </row>
    <row r="8650" spans="1:8" ht="14.25" thickBot="1">
      <c r="A8650" s="211" t="s">
        <v>504</v>
      </c>
      <c r="B8650" s="216" t="str">
        <f ca="1">_xlfn.CONCAT(B8628,A8650)</f>
        <v>64A0AB0-U</v>
      </c>
      <c r="C8650" s="17"/>
      <c r="D8650" s="184"/>
      <c r="E8650" s="197"/>
      <c r="F8650" s="19"/>
      <c r="G8650" s="20"/>
    </row>
    <row r="8651" spans="1:8" ht="14.25" thickBot="1">
      <c r="A8651" s="211" t="s">
        <v>505</v>
      </c>
      <c r="B8651" s="216" t="str">
        <f ca="1">_xlfn.CONCAT(B8628,A8651)</f>
        <v>64A0AB0-V</v>
      </c>
      <c r="C8651" s="17" t="s">
        <v>17</v>
      </c>
      <c r="D8651" s="192" t="s">
        <v>17</v>
      </c>
      <c r="E8651" s="18"/>
      <c r="F8651" s="22" t="s">
        <v>18</v>
      </c>
      <c r="G8651" s="23">
        <f>SUM(G8630:G8650)</f>
        <v>40565</v>
      </c>
    </row>
    <row r="8652" spans="1:8" ht="15.75" thickBot="1">
      <c r="A8652" s="211" t="s">
        <v>506</v>
      </c>
      <c r="B8652" s="216" t="str">
        <f ca="1">_xlfn.CONCAT(B8628,A8652)</f>
        <v>64A0AB0-W</v>
      </c>
      <c r="C8652" s="10" t="s">
        <v>19</v>
      </c>
      <c r="D8652" s="190"/>
      <c r="E8652" s="11"/>
      <c r="F8652" s="12"/>
      <c r="G8652" s="13"/>
    </row>
    <row r="8653" spans="1:8" ht="14.25" thickBot="1">
      <c r="A8653" s="211" t="s">
        <v>507</v>
      </c>
      <c r="B8653" s="216" t="str">
        <f ca="1">_xlfn.CONCAT(B8628,A8653)</f>
        <v>64A0AB0-X</v>
      </c>
      <c r="C8653" s="14" t="s">
        <v>1</v>
      </c>
      <c r="D8653" s="15"/>
      <c r="E8653" s="15" t="s">
        <v>20</v>
      </c>
      <c r="F8653" s="16" t="s">
        <v>21</v>
      </c>
      <c r="G8653" s="15" t="s">
        <v>5</v>
      </c>
      <c r="H8653" s="215"/>
    </row>
    <row r="8654" spans="1:8">
      <c r="A8654" s="211" t="s">
        <v>508</v>
      </c>
      <c r="B8654" s="216" t="str">
        <f ca="1">_xlfn.CONCAT(B8628,A8654)</f>
        <v>64A0AB0-Y</v>
      </c>
      <c r="C8654" s="24" t="s">
        <v>22</v>
      </c>
      <c r="D8654" s="184"/>
      <c r="E8654" s="25">
        <f>_xlfn.XLOOKUP(C8654,'H-MO'!B$7:B$30,'H-MO'!D$7:D$30,,0,1)</f>
        <v>2436.5624999999995</v>
      </c>
      <c r="F8654" s="19">
        <v>0.6</v>
      </c>
      <c r="G8654" s="33">
        <f t="shared" ref="G8654:G8659" si="248">+E8654*F8654</f>
        <v>1461.9374999999998</v>
      </c>
    </row>
    <row r="8655" spans="1:8">
      <c r="A8655" s="211" t="s">
        <v>509</v>
      </c>
      <c r="B8655" s="216" t="str">
        <f ca="1">_xlfn.CONCAT(B8628,A8655)</f>
        <v>64A0AB0-Z</v>
      </c>
      <c r="C8655" s="24" t="s">
        <v>23</v>
      </c>
      <c r="D8655" s="184"/>
      <c r="E8655" s="25">
        <f>_xlfn.XLOOKUP(C8655,'H-MO'!B$7:B$30,'H-MO'!D$7:D$30,,0,1)</f>
        <v>1461.9374999999998</v>
      </c>
      <c r="F8655" s="19">
        <v>1</v>
      </c>
      <c r="G8655" s="33">
        <f t="shared" si="248"/>
        <v>1461.9374999999998</v>
      </c>
    </row>
    <row r="8656" spans="1:8">
      <c r="A8656" s="211" t="s">
        <v>510</v>
      </c>
      <c r="B8656" s="216" t="str">
        <f ca="1">_xlfn.CONCAT(B8628,A8656)</f>
        <v>64A0AB0-aa</v>
      </c>
      <c r="C8656" s="24" t="s">
        <v>24</v>
      </c>
      <c r="D8656" s="185"/>
      <c r="E8656" s="25">
        <f>_xlfn.XLOOKUP(C8656,'H-MO'!B$7:B$30,'H-MO'!D$7:D$30,,0,1)</f>
        <v>29238.749999999996</v>
      </c>
      <c r="F8656" s="28">
        <v>0.2</v>
      </c>
      <c r="G8656" s="33">
        <f t="shared" si="248"/>
        <v>5847.75</v>
      </c>
    </row>
    <row r="8657" spans="1:8">
      <c r="A8657" s="211" t="s">
        <v>511</v>
      </c>
      <c r="B8657" s="216" t="str">
        <f ca="1">_xlfn.CONCAT(B8628,A8657)</f>
        <v>64A0AB0-ab</v>
      </c>
      <c r="C8657" s="24" t="s">
        <v>25</v>
      </c>
      <c r="D8657" s="185"/>
      <c r="E8657" s="25">
        <f>_xlfn.XLOOKUP(C8657,'H-MO'!B$7:B$30,'H-MO'!D$7:D$30,,0,1)</f>
        <v>2761.4374999999995</v>
      </c>
      <c r="F8657" s="28">
        <v>0.5</v>
      </c>
      <c r="G8657" s="33">
        <f t="shared" si="248"/>
        <v>1380.7187499999998</v>
      </c>
    </row>
    <row r="8658" spans="1:8">
      <c r="A8658" s="211" t="s">
        <v>512</v>
      </c>
      <c r="B8658" s="216" t="str">
        <f ca="1">_xlfn.CONCAT(B8628,A8658)</f>
        <v>64A0AB0-ac</v>
      </c>
      <c r="C8658" s="24"/>
      <c r="D8658" s="185"/>
      <c r="E8658" s="29"/>
      <c r="F8658" s="28">
        <v>0</v>
      </c>
      <c r="G8658" s="33">
        <f t="shared" si="248"/>
        <v>0</v>
      </c>
    </row>
    <row r="8659" spans="1:8" ht="14.25" thickBot="1">
      <c r="A8659" s="211" t="s">
        <v>513</v>
      </c>
      <c r="B8659" s="216" t="str">
        <f ca="1">_xlfn.CONCAT(B8628,A8659)</f>
        <v>64A0AB0-ad</v>
      </c>
      <c r="C8659" s="24"/>
      <c r="D8659" s="185"/>
      <c r="E8659" s="29"/>
      <c r="F8659" s="28">
        <v>0</v>
      </c>
      <c r="G8659" s="33">
        <f t="shared" si="248"/>
        <v>0</v>
      </c>
    </row>
    <row r="8660" spans="1:8" ht="14.25" thickBot="1">
      <c r="A8660" s="211" t="s">
        <v>514</v>
      </c>
      <c r="B8660" s="216" t="str">
        <f ca="1">_xlfn.CONCAT(B8628,A8660)</f>
        <v>64A0AB0-ae</v>
      </c>
      <c r="C8660" s="17"/>
      <c r="D8660" s="192"/>
      <c r="E8660" s="18"/>
      <c r="F8660" s="22" t="s">
        <v>26</v>
      </c>
      <c r="G8660" s="23">
        <f>SUM(G8654:G8659)</f>
        <v>10152.34375</v>
      </c>
    </row>
    <row r="8661" spans="1:8" ht="15.75" thickBot="1">
      <c r="A8661" s="211" t="s">
        <v>515</v>
      </c>
      <c r="B8661" s="216" t="str">
        <f ca="1">_xlfn.CONCAT(B8628,A8661)</f>
        <v>64A0AB0-af</v>
      </c>
      <c r="C8661" s="10" t="s">
        <v>27</v>
      </c>
      <c r="D8661" s="190"/>
      <c r="E8661" s="11"/>
      <c r="F8661" s="12"/>
      <c r="G8661" s="13"/>
    </row>
    <row r="8662" spans="1:8" ht="14.25" thickBot="1">
      <c r="A8662" s="211" t="s">
        <v>516</v>
      </c>
      <c r="B8662" s="216" t="str">
        <f ca="1">_xlfn.CONCAT(B8628,A8662)</f>
        <v>64A0AB0-ag</v>
      </c>
      <c r="C8662" s="14" t="s">
        <v>1</v>
      </c>
      <c r="D8662" s="15" t="s">
        <v>28</v>
      </c>
      <c r="E8662" s="15" t="s">
        <v>20</v>
      </c>
      <c r="F8662" s="16" t="s">
        <v>21</v>
      </c>
      <c r="G8662" s="15" t="s">
        <v>5</v>
      </c>
      <c r="H8662" s="215"/>
    </row>
    <row r="8663" spans="1:8">
      <c r="A8663" s="211" t="s">
        <v>517</v>
      </c>
      <c r="B8663" s="216" t="str">
        <f ca="1">_xlfn.CONCAT(B8628,A8663)</f>
        <v>64A0AB0-ah</v>
      </c>
      <c r="C8663" s="30" t="s">
        <v>29</v>
      </c>
      <c r="D8663" s="186">
        <f>'H-MO'!$N$77</f>
        <v>725918.52892505517</v>
      </c>
      <c r="E8663" s="31">
        <f>+D8663/8</f>
        <v>90739.816115631897</v>
      </c>
      <c r="F8663" s="32">
        <v>0.05</v>
      </c>
      <c r="G8663" s="33">
        <f>+E8663*F8663</f>
        <v>4536.9908057815946</v>
      </c>
    </row>
    <row r="8664" spans="1:8">
      <c r="A8664" s="211" t="s">
        <v>518</v>
      </c>
      <c r="B8664" s="216" t="str">
        <f ca="1">_xlfn.CONCAT(B8628,A8664)</f>
        <v>64A0AB0-ai</v>
      </c>
      <c r="C8664" s="34" t="s">
        <v>30</v>
      </c>
      <c r="D8664" s="187">
        <f>'H-MO'!$N$86</f>
        <v>685561.39085756091</v>
      </c>
      <c r="E8664" s="29">
        <f>+D8664/8</f>
        <v>85695.173857195114</v>
      </c>
      <c r="F8664" s="28">
        <v>0.1</v>
      </c>
      <c r="G8664" s="33">
        <f>+E8664*F8664</f>
        <v>8569.5173857195114</v>
      </c>
    </row>
    <row r="8665" spans="1:8" ht="14.25" thickBot="1">
      <c r="A8665" s="211" t="s">
        <v>519</v>
      </c>
      <c r="B8665" s="216" t="str">
        <f ca="1">_xlfn.CONCAT(B8628,A8665)</f>
        <v>64A0AB0-aj</v>
      </c>
      <c r="C8665" s="34"/>
      <c r="D8665" s="187"/>
      <c r="E8665" s="29"/>
      <c r="F8665" s="28">
        <v>0</v>
      </c>
      <c r="G8665" s="33">
        <f>+E8665*F8665</f>
        <v>0</v>
      </c>
    </row>
    <row r="8666" spans="1:8" ht="14.25" thickBot="1">
      <c r="A8666" s="211" t="s">
        <v>520</v>
      </c>
      <c r="B8666" s="216" t="str">
        <f ca="1">_xlfn.CONCAT(B8628,A8666)</f>
        <v>64A0AB0-ak</v>
      </c>
      <c r="C8666" s="34"/>
      <c r="D8666" s="185"/>
      <c r="E8666" s="26"/>
      <c r="F8666" s="36" t="s">
        <v>31</v>
      </c>
      <c r="G8666" s="23">
        <f>SUM(G8663:G8665)</f>
        <v>13106.508191501107</v>
      </c>
    </row>
    <row r="8667" spans="1:8" ht="14.25" thickBot="1">
      <c r="A8667" s="211" t="s">
        <v>521</v>
      </c>
      <c r="B8667" s="216" t="str">
        <f ca="1">_xlfn.CONCAT(B8628,A8667)</f>
        <v>64A0AB0-al</v>
      </c>
      <c r="C8667" s="37"/>
      <c r="E8667" s="38"/>
      <c r="F8667" s="22"/>
      <c r="G8667" s="39"/>
    </row>
    <row r="8668" spans="1:8" ht="16.5" thickBot="1">
      <c r="A8668" s="211" t="s">
        <v>522</v>
      </c>
      <c r="B8668" s="216" t="str">
        <f ca="1">_xlfn.CONCAT(B8628,A8668)</f>
        <v>64A0AB0-am</v>
      </c>
      <c r="C8668" s="40"/>
      <c r="D8668" s="193"/>
      <c r="E8668" s="41"/>
      <c r="F8668" s="42"/>
      <c r="G8668" s="43">
        <f>+G8651+G8660+G8666</f>
        <v>63823.851941501111</v>
      </c>
    </row>
    <row r="8669" spans="1:8" ht="21.75" thickBot="1">
      <c r="B8669" s="212" t="s">
        <v>550</v>
      </c>
      <c r="C8669" s="2"/>
      <c r="D8669" s="183"/>
      <c r="F8669" s="4"/>
      <c r="G8669" s="5"/>
    </row>
    <row r="8670" spans="1:8" ht="18.75">
      <c r="A8670" s="213"/>
      <c r="B8670" s="214">
        <v>197</v>
      </c>
      <c r="C8670" s="242" t="str">
        <f ca="1">_xlfn.XLOOKUP(B8670,Cantidades!$A$10:$A$314,Cantidades!$C$10:$C$314,,0,1)</f>
        <v>Suministro e instalación de ductos  4Ø2"+1Ø4" PVC</v>
      </c>
      <c r="D8670" s="243"/>
      <c r="E8670" s="243"/>
      <c r="F8670" s="243"/>
      <c r="G8670" s="244"/>
      <c r="H8670" s="213"/>
    </row>
    <row r="8671" spans="1:8" ht="19.5" thickBot="1">
      <c r="A8671" s="215"/>
      <c r="B8671" s="216" t="s">
        <v>550</v>
      </c>
      <c r="C8671" s="177"/>
      <c r="D8671" s="189"/>
      <c r="E8671" s="178"/>
      <c r="F8671" s="179" t="s">
        <v>636</v>
      </c>
      <c r="G8671" s="209" t="str">
        <f ca="1">B8672</f>
        <v>4F21F4-</v>
      </c>
      <c r="H8671" s="215"/>
    </row>
    <row r="8672" spans="1:8" ht="15.75" thickBot="1">
      <c r="B8672" s="212" t="str">
        <f ca="1">_xlfn.XLOOKUP(C8670,Cantidades!$C$1:$C$314,Cantidades!$B$1:$B$314,"",0,1)</f>
        <v>4F21F4-</v>
      </c>
      <c r="C8672" s="10" t="s">
        <v>0</v>
      </c>
      <c r="D8672" s="190"/>
      <c r="E8672" s="11"/>
      <c r="F8672" s="12"/>
      <c r="G8672" s="13"/>
    </row>
    <row r="8673" spans="1:8" ht="14.25" thickBot="1">
      <c r="A8673" s="215"/>
      <c r="B8673" s="216" t="s">
        <v>550</v>
      </c>
      <c r="C8673" s="14" t="s">
        <v>1</v>
      </c>
      <c r="D8673" s="15" t="s">
        <v>2</v>
      </c>
      <c r="E8673" s="15" t="s">
        <v>3</v>
      </c>
      <c r="F8673" s="16" t="s">
        <v>4</v>
      </c>
      <c r="G8673" s="15" t="s">
        <v>5</v>
      </c>
    </row>
    <row r="8674" spans="1:8">
      <c r="A8674" s="211" t="s">
        <v>484</v>
      </c>
      <c r="B8674" s="216" t="str">
        <f ca="1">_xlfn.CONCAT(B8672,A8674)</f>
        <v>4F21F4-A</v>
      </c>
      <c r="C8674" s="17" t="str">
        <f>_xlfn.XLOOKUP(H8674,'Materiales unitario'!$A$1:$A$2500,'Materiales unitario'!B$1:B$2500,,0,1)</f>
        <v>Ducto telef. Y Electric. pesado TDP ø2" PVC</v>
      </c>
      <c r="D8674" s="184" t="str">
        <f>_xlfn.XLOOKUP(H8674,'Materiales unitario'!A$1:A$2500,'Materiales unitario'!C$1:C$2500,,0,1)</f>
        <v>ml</v>
      </c>
      <c r="E8674" s="197">
        <f>_xlfn.XLOOKUP(H8674,'Materiales unitario'!$A$1:$A$2500,'Materiales unitario'!D$1:D$2500,,0,1)</f>
        <v>6520</v>
      </c>
      <c r="F8674" s="19">
        <v>4.2</v>
      </c>
      <c r="G8674" s="20">
        <f>+E8674*F8674</f>
        <v>27384</v>
      </c>
      <c r="H8674" s="211" t="s">
        <v>1196</v>
      </c>
    </row>
    <row r="8675" spans="1:8">
      <c r="A8675" s="211" t="s">
        <v>485</v>
      </c>
      <c r="B8675" s="216" t="str">
        <f ca="1">_xlfn.CONCAT(B8672,A8675)</f>
        <v>4F21F4-B</v>
      </c>
      <c r="C8675" s="17" t="str">
        <f>_xlfn.XLOOKUP(H8675,'Materiales unitario'!$A$1:$A$2500,'Materiales unitario'!B$1:B$2500,,0,1)</f>
        <v>Campana terminal ducto ø2" PVC</v>
      </c>
      <c r="D8675" s="184" t="str">
        <f>_xlfn.XLOOKUP(H8675,'Materiales unitario'!A$1:A$2500,'Materiales unitario'!C$1:C$2500,,0,1)</f>
        <v>un</v>
      </c>
      <c r="E8675" s="197">
        <f>_xlfn.XLOOKUP(H8675,'Materiales unitario'!$A$1:$A$2500,'Materiales unitario'!D$1:D$2500,,0,1)</f>
        <v>4046</v>
      </c>
      <c r="F8675" s="19">
        <v>1</v>
      </c>
      <c r="G8675" s="20">
        <f>+E8675*F8675</f>
        <v>4046</v>
      </c>
      <c r="H8675" s="211" t="s">
        <v>286</v>
      </c>
    </row>
    <row r="8676" spans="1:8">
      <c r="A8676" s="211" t="s">
        <v>486</v>
      </c>
      <c r="B8676" s="216" t="str">
        <f ca="1">_xlfn.CONCAT(B8672,A8676)</f>
        <v>4F21F4-C</v>
      </c>
      <c r="C8676" s="17" t="str">
        <f>_xlfn.XLOOKUP(H8676,'Materiales unitario'!$A$1:$A$2500,'Materiales unitario'!B$1:B$2500,,0,1)</f>
        <v>Soldadura liquida PVC 1/4 de galón</v>
      </c>
      <c r="D8676" s="184" t="str">
        <f>_xlfn.XLOOKUP(H8676,'Materiales unitario'!A$1:A$2500,'Materiales unitario'!C$1:C$2500,,0,1)</f>
        <v>un</v>
      </c>
      <c r="E8676" s="197">
        <f>_xlfn.XLOOKUP(H8676,'Materiales unitario'!$A$1:$A$2500,'Materiales unitario'!D$1:D$2500,,0,1)</f>
        <v>60900</v>
      </c>
      <c r="F8676" s="19">
        <v>0.15</v>
      </c>
      <c r="G8676" s="20">
        <f>+E8676*F8676</f>
        <v>9135</v>
      </c>
      <c r="H8676" s="211" t="s">
        <v>530</v>
      </c>
    </row>
    <row r="8677" spans="1:8">
      <c r="A8677" s="211" t="s">
        <v>487</v>
      </c>
      <c r="B8677" s="216" t="str">
        <f ca="1">_xlfn.CONCAT(B8672,A8677)</f>
        <v>4F21F4-D</v>
      </c>
      <c r="C8677" s="17" t="str">
        <f>_xlfn.XLOOKUP(H8677,'Materiales unitario'!$A$1:$A$2500,'Materiales unitario'!B$1:B$2500,,0,1)</f>
        <v>Ducto telef. Y Electric. Corrugado TDP ø4" PVC</v>
      </c>
      <c r="D8677" s="184" t="str">
        <f>_xlfn.XLOOKUP(H8677,'Materiales unitario'!A$1:A$2500,'Materiales unitario'!C$1:C$2500,,0,1)</f>
        <v>ml</v>
      </c>
      <c r="E8677" s="197">
        <f>_xlfn.XLOOKUP(H8677,'Materiales unitario'!$A$1:$A$2500,'Materiales unitario'!D$1:D$2500,,0,1)</f>
        <v>15680</v>
      </c>
      <c r="F8677" s="19">
        <v>1.05</v>
      </c>
      <c r="G8677" s="20">
        <f>+E8677*F8677</f>
        <v>16464</v>
      </c>
      <c r="H8677" s="211" t="s">
        <v>316</v>
      </c>
    </row>
    <row r="8678" spans="1:8">
      <c r="A8678" s="211" t="s">
        <v>488</v>
      </c>
      <c r="B8678" s="216" t="str">
        <f ca="1">_xlfn.CONCAT(B8672,A8678)</f>
        <v>4F21F4-E</v>
      </c>
      <c r="C8678" s="17" t="str">
        <f>_xlfn.XLOOKUP(H8678,'Materiales unitario'!$A$1:$A$2500,'Materiales unitario'!B$1:B$2500,,0,1)</f>
        <v>Campana terminal ducto ø4" PVC</v>
      </c>
      <c r="D8678" s="184" t="str">
        <f>_xlfn.XLOOKUP(H8678,'Materiales unitario'!A$1:A$2500,'Materiales unitario'!C$1:C$2500,,0,1)</f>
        <v>un</v>
      </c>
      <c r="E8678" s="197">
        <f>_xlfn.XLOOKUP(H8678,'Materiales unitario'!$A$1:$A$2500,'Materiales unitario'!D$1:D$2500,,0,1)</f>
        <v>8388.6</v>
      </c>
      <c r="F8678" s="19">
        <v>0.25</v>
      </c>
      <c r="G8678" s="20">
        <f>+E8678*F8678</f>
        <v>2097.15</v>
      </c>
      <c r="H8678" s="211" t="s">
        <v>287</v>
      </c>
    </row>
    <row r="8679" spans="1:8">
      <c r="A8679" s="211" t="s">
        <v>489</v>
      </c>
      <c r="B8679" s="216" t="str">
        <f ca="1">_xlfn.CONCAT(B8672,A8679)</f>
        <v>4F21F4-F</v>
      </c>
      <c r="C8679" s="17"/>
      <c r="D8679" s="184"/>
      <c r="E8679" s="197"/>
      <c r="F8679" s="19"/>
      <c r="G8679" s="20"/>
    </row>
    <row r="8680" spans="1:8">
      <c r="A8680" s="211" t="s">
        <v>490</v>
      </c>
      <c r="B8680" s="216" t="str">
        <f ca="1">_xlfn.CONCAT(B8672,A8680)</f>
        <v>4F21F4-G</v>
      </c>
      <c r="C8680" s="17"/>
      <c r="D8680" s="184"/>
      <c r="E8680" s="197"/>
      <c r="F8680" s="19"/>
      <c r="G8680" s="20"/>
    </row>
    <row r="8681" spans="1:8">
      <c r="A8681" s="211" t="s">
        <v>491</v>
      </c>
      <c r="B8681" s="216" t="str">
        <f ca="1">_xlfn.CONCAT(B8672,A8681)</f>
        <v>4F21F4-H</v>
      </c>
      <c r="C8681" s="17"/>
      <c r="D8681" s="184"/>
      <c r="E8681" s="197"/>
      <c r="F8681" s="19"/>
      <c r="G8681" s="20"/>
    </row>
    <row r="8682" spans="1:8">
      <c r="A8682" s="211" t="s">
        <v>492</v>
      </c>
      <c r="B8682" s="216" t="str">
        <f ca="1">_xlfn.CONCAT(B8672,A8682)</f>
        <v>4F21F4-I</v>
      </c>
      <c r="C8682" s="17"/>
      <c r="D8682" s="184"/>
      <c r="E8682" s="197"/>
      <c r="F8682" s="19"/>
      <c r="G8682" s="20"/>
    </row>
    <row r="8683" spans="1:8">
      <c r="A8683" s="211" t="s">
        <v>493</v>
      </c>
      <c r="B8683" s="216" t="str">
        <f ca="1">_xlfn.CONCAT(B8672,A8683)</f>
        <v>4F21F4-J</v>
      </c>
      <c r="C8683" s="17"/>
      <c r="D8683" s="184"/>
      <c r="E8683" s="197"/>
      <c r="F8683" s="19"/>
      <c r="G8683" s="20"/>
    </row>
    <row r="8684" spans="1:8">
      <c r="A8684" s="211" t="s">
        <v>494</v>
      </c>
      <c r="B8684" s="216" t="str">
        <f ca="1">_xlfn.CONCAT(B8672,A8684)</f>
        <v>4F21F4-K</v>
      </c>
      <c r="C8684" s="17"/>
      <c r="D8684" s="184"/>
      <c r="E8684" s="197"/>
      <c r="F8684" s="19"/>
      <c r="G8684" s="20"/>
    </row>
    <row r="8685" spans="1:8">
      <c r="A8685" s="211" t="s">
        <v>495</v>
      </c>
      <c r="B8685" s="216" t="str">
        <f ca="1">_xlfn.CONCAT(B8672,A8685)</f>
        <v>4F21F4-L</v>
      </c>
      <c r="C8685" s="17"/>
      <c r="D8685" s="184"/>
      <c r="E8685" s="197"/>
      <c r="F8685" s="19"/>
      <c r="G8685" s="20"/>
    </row>
    <row r="8686" spans="1:8">
      <c r="A8686" s="211" t="s">
        <v>496</v>
      </c>
      <c r="B8686" s="216" t="str">
        <f ca="1">_xlfn.CONCAT(B8672,A8686)</f>
        <v>4F21F4-M</v>
      </c>
      <c r="C8686" s="17"/>
      <c r="D8686" s="184"/>
      <c r="E8686" s="197"/>
      <c r="F8686" s="19"/>
      <c r="G8686" s="20"/>
    </row>
    <row r="8687" spans="1:8">
      <c r="A8687" s="211" t="s">
        <v>497</v>
      </c>
      <c r="B8687" s="216" t="str">
        <f ca="1">_xlfn.CONCAT(B8672,A8687)</f>
        <v>4F21F4-N</v>
      </c>
      <c r="C8687" s="17"/>
      <c r="D8687" s="184"/>
      <c r="E8687" s="197"/>
      <c r="F8687" s="19"/>
      <c r="G8687" s="20"/>
    </row>
    <row r="8688" spans="1:8">
      <c r="A8688" s="211" t="s">
        <v>498</v>
      </c>
      <c r="B8688" s="216" t="str">
        <f ca="1">_xlfn.CONCAT(B8672,A8688)</f>
        <v>4F21F4-O</v>
      </c>
      <c r="C8688" s="17"/>
      <c r="D8688" s="184"/>
      <c r="E8688" s="197"/>
      <c r="F8688" s="19"/>
      <c r="G8688" s="20"/>
    </row>
    <row r="8689" spans="1:9">
      <c r="A8689" s="211" t="s">
        <v>499</v>
      </c>
      <c r="B8689" s="216" t="str">
        <f ca="1">_xlfn.CONCAT(B8672,A8689)</f>
        <v>4F21F4-P</v>
      </c>
      <c r="C8689" s="17"/>
      <c r="D8689" s="184"/>
      <c r="E8689" s="197"/>
      <c r="F8689" s="19"/>
      <c r="G8689" s="20"/>
    </row>
    <row r="8690" spans="1:9">
      <c r="A8690" s="211" t="s">
        <v>500</v>
      </c>
      <c r="B8690" s="216" t="str">
        <f ca="1">_xlfn.CONCAT(B8672,A8690)</f>
        <v>4F21F4-Q</v>
      </c>
      <c r="C8690" s="17"/>
      <c r="D8690" s="184"/>
      <c r="E8690" s="197"/>
      <c r="F8690" s="19"/>
      <c r="G8690" s="20"/>
    </row>
    <row r="8691" spans="1:9">
      <c r="A8691" s="211" t="s">
        <v>501</v>
      </c>
      <c r="B8691" s="216" t="str">
        <f ca="1">_xlfn.CONCAT(B8672,A8691)</f>
        <v>4F21F4-R</v>
      </c>
      <c r="C8691" s="17"/>
      <c r="D8691" s="184"/>
      <c r="E8691" s="197"/>
      <c r="F8691" s="19"/>
      <c r="G8691" s="20"/>
    </row>
    <row r="8692" spans="1:9">
      <c r="A8692" s="211" t="s">
        <v>502</v>
      </c>
      <c r="B8692" s="216" t="str">
        <f ca="1">_xlfn.CONCAT(B8672,A8692)</f>
        <v>4F21F4-S</v>
      </c>
      <c r="C8692" s="17"/>
      <c r="D8692" s="184"/>
      <c r="E8692" s="197"/>
      <c r="F8692" s="19"/>
      <c r="G8692" s="20"/>
    </row>
    <row r="8693" spans="1:9">
      <c r="A8693" s="211" t="s">
        <v>503</v>
      </c>
      <c r="B8693" s="216" t="str">
        <f ca="1">_xlfn.CONCAT(B8672,A8693)</f>
        <v>4F21F4-T</v>
      </c>
      <c r="C8693" s="17"/>
      <c r="D8693" s="184"/>
      <c r="E8693" s="197"/>
      <c r="F8693" s="19"/>
      <c r="G8693" s="20"/>
    </row>
    <row r="8694" spans="1:9" ht="14.25" thickBot="1">
      <c r="A8694" s="211" t="s">
        <v>504</v>
      </c>
      <c r="B8694" s="216" t="str">
        <f ca="1">_xlfn.CONCAT(B8672,A8694)</f>
        <v>4F21F4-U</v>
      </c>
      <c r="C8694" s="17"/>
      <c r="D8694" s="184"/>
      <c r="E8694" s="197"/>
      <c r="F8694" s="19"/>
      <c r="G8694" s="20"/>
    </row>
    <row r="8695" spans="1:9" ht="14.25" thickBot="1">
      <c r="A8695" s="211" t="s">
        <v>505</v>
      </c>
      <c r="B8695" s="216" t="str">
        <f ca="1">_xlfn.CONCAT(B8672,A8695)</f>
        <v>4F21F4-V</v>
      </c>
      <c r="C8695" s="17" t="s">
        <v>17</v>
      </c>
      <c r="D8695" s="192" t="s">
        <v>17</v>
      </c>
      <c r="E8695" s="18"/>
      <c r="F8695" s="22" t="s">
        <v>18</v>
      </c>
      <c r="G8695" s="23">
        <f>SUM(G8674:G8694)</f>
        <v>59126.15</v>
      </c>
    </row>
    <row r="8696" spans="1:9" ht="15.75" thickBot="1">
      <c r="A8696" s="211" t="s">
        <v>506</v>
      </c>
      <c r="B8696" s="216" t="str">
        <f ca="1">_xlfn.CONCAT(B8672,A8696)</f>
        <v>4F21F4-W</v>
      </c>
      <c r="C8696" s="10" t="s">
        <v>19</v>
      </c>
      <c r="D8696" s="190"/>
      <c r="E8696" s="11"/>
      <c r="F8696" s="12"/>
      <c r="G8696" s="13"/>
    </row>
    <row r="8697" spans="1:9" ht="14.25" thickBot="1">
      <c r="A8697" s="211" t="s">
        <v>507</v>
      </c>
      <c r="B8697" s="216" t="str">
        <f ca="1">_xlfn.CONCAT(B8672,A8697)</f>
        <v>4F21F4-X</v>
      </c>
      <c r="C8697" s="14" t="s">
        <v>1</v>
      </c>
      <c r="D8697" s="15"/>
      <c r="E8697" s="15" t="s">
        <v>20</v>
      </c>
      <c r="F8697" s="16" t="s">
        <v>21</v>
      </c>
      <c r="G8697" s="15" t="s">
        <v>5</v>
      </c>
      <c r="H8697" s="215"/>
    </row>
    <row r="8698" spans="1:9">
      <c r="A8698" s="211" t="s">
        <v>508</v>
      </c>
      <c r="B8698" s="216" t="str">
        <f ca="1">_xlfn.CONCAT(B8672,A8698)</f>
        <v>4F21F4-Y</v>
      </c>
      <c r="C8698" s="24" t="s">
        <v>22</v>
      </c>
      <c r="D8698" s="184"/>
      <c r="E8698" s="25">
        <f>_xlfn.XLOOKUP(C8698,'H-MO'!B$7:B$30,'H-MO'!D$7:D$30,,0,1)</f>
        <v>2436.5624999999995</v>
      </c>
      <c r="F8698" s="19">
        <v>0.8</v>
      </c>
      <c r="G8698" s="33">
        <f t="shared" ref="G8698:G8703" si="249">+E8698*F8698</f>
        <v>1949.2499999999998</v>
      </c>
      <c r="H8698" s="229">
        <f>0.25*0.13</f>
        <v>3.2500000000000001E-2</v>
      </c>
      <c r="I8698" s="240">
        <f>+G8695*H8698</f>
        <v>1921.5998750000001</v>
      </c>
    </row>
    <row r="8699" spans="1:9">
      <c r="A8699" s="211" t="s">
        <v>509</v>
      </c>
      <c r="B8699" s="216" t="str">
        <f ca="1">_xlfn.CONCAT(B8672,A8699)</f>
        <v>4F21F4-Z</v>
      </c>
      <c r="C8699" s="24" t="s">
        <v>23</v>
      </c>
      <c r="D8699" s="184"/>
      <c r="E8699" s="25">
        <f>_xlfn.XLOOKUP(C8699,'H-MO'!B$7:B$30,'H-MO'!D$7:D$30,,0,1)</f>
        <v>1461.9374999999998</v>
      </c>
      <c r="F8699" s="19">
        <v>1.35</v>
      </c>
      <c r="G8699" s="33">
        <f t="shared" si="249"/>
        <v>1973.6156249999999</v>
      </c>
      <c r="H8699" s="229">
        <v>0.03</v>
      </c>
    </row>
    <row r="8700" spans="1:9">
      <c r="A8700" s="211" t="s">
        <v>510</v>
      </c>
      <c r="B8700" s="216" t="str">
        <f ca="1">_xlfn.CONCAT(B8672,A8700)</f>
        <v>4F21F4-aa</v>
      </c>
      <c r="C8700" s="24" t="s">
        <v>24</v>
      </c>
      <c r="D8700" s="185"/>
      <c r="E8700" s="25">
        <f>_xlfn.XLOOKUP(C8700,'H-MO'!B$7:B$30,'H-MO'!D$7:D$30,,0,1)</f>
        <v>29238.749999999996</v>
      </c>
      <c r="F8700" s="28">
        <v>0.26</v>
      </c>
      <c r="G8700" s="33">
        <f t="shared" si="249"/>
        <v>7602.0749999999989</v>
      </c>
      <c r="H8700" s="229">
        <v>0.125</v>
      </c>
      <c r="I8700" s="239">
        <f>+H8700*G8695</f>
        <v>7390.7687500000002</v>
      </c>
    </row>
    <row r="8701" spans="1:9">
      <c r="A8701" s="211" t="s">
        <v>511</v>
      </c>
      <c r="B8701" s="216" t="str">
        <f ca="1">_xlfn.CONCAT(B8672,A8701)</f>
        <v>4F21F4-ab</v>
      </c>
      <c r="C8701" s="24" t="s">
        <v>25</v>
      </c>
      <c r="D8701" s="185"/>
      <c r="E8701" s="25">
        <f>_xlfn.XLOOKUP(C8701,'H-MO'!B$7:B$30,'H-MO'!D$7:D$30,,0,1)</f>
        <v>2761.4374999999995</v>
      </c>
      <c r="F8701" s="28">
        <v>0.6</v>
      </c>
      <c r="G8701" s="33">
        <f t="shared" si="249"/>
        <v>1656.8624999999997</v>
      </c>
      <c r="H8701" s="229">
        <v>2.5000000000000001E-2</v>
      </c>
      <c r="I8701" s="239">
        <f>+H8701*G8695</f>
        <v>1478.1537500000002</v>
      </c>
    </row>
    <row r="8702" spans="1:9">
      <c r="A8702" s="211" t="s">
        <v>512</v>
      </c>
      <c r="B8702" s="216" t="str">
        <f ca="1">_xlfn.CONCAT(B8672,A8702)</f>
        <v>4F21F4-ac</v>
      </c>
      <c r="C8702" s="24"/>
      <c r="D8702" s="185"/>
      <c r="E8702" s="29"/>
      <c r="F8702" s="28">
        <v>0</v>
      </c>
      <c r="G8702" s="33">
        <f t="shared" si="249"/>
        <v>0</v>
      </c>
    </row>
    <row r="8703" spans="1:9" ht="14.25" thickBot="1">
      <c r="A8703" s="211" t="s">
        <v>513</v>
      </c>
      <c r="B8703" s="216" t="str">
        <f ca="1">_xlfn.CONCAT(B8672,A8703)</f>
        <v>4F21F4-ad</v>
      </c>
      <c r="C8703" s="24"/>
      <c r="D8703" s="185"/>
      <c r="E8703" s="29"/>
      <c r="F8703" s="28">
        <v>0</v>
      </c>
      <c r="G8703" s="33">
        <f t="shared" si="249"/>
        <v>0</v>
      </c>
    </row>
    <row r="8704" spans="1:9" ht="14.25" thickBot="1">
      <c r="A8704" s="211" t="s">
        <v>514</v>
      </c>
      <c r="B8704" s="216" t="str">
        <f ca="1">_xlfn.CONCAT(B8672,A8704)</f>
        <v>4F21F4-ae</v>
      </c>
      <c r="C8704" s="17"/>
      <c r="D8704" s="192"/>
      <c r="E8704" s="18"/>
      <c r="F8704" s="22" t="s">
        <v>26</v>
      </c>
      <c r="G8704" s="23">
        <f>SUM(G8698:G8703)</f>
        <v>13181.803124999999</v>
      </c>
      <c r="H8704" s="211">
        <v>0.25</v>
      </c>
    </row>
    <row r="8705" spans="1:9" ht="15.75" thickBot="1">
      <c r="A8705" s="211" t="s">
        <v>515</v>
      </c>
      <c r="B8705" s="216" t="str">
        <f ca="1">_xlfn.CONCAT(B8672,A8705)</f>
        <v>4F21F4-af</v>
      </c>
      <c r="C8705" s="10" t="s">
        <v>27</v>
      </c>
      <c r="D8705" s="190"/>
      <c r="E8705" s="11"/>
      <c r="F8705" s="12"/>
      <c r="G8705" s="13"/>
    </row>
    <row r="8706" spans="1:9" ht="14.25" thickBot="1">
      <c r="A8706" s="211" t="s">
        <v>516</v>
      </c>
      <c r="B8706" s="216" t="str">
        <f ca="1">_xlfn.CONCAT(B8672,A8706)</f>
        <v>4F21F4-ag</v>
      </c>
      <c r="C8706" s="14" t="s">
        <v>1</v>
      </c>
      <c r="D8706" s="15" t="s">
        <v>28</v>
      </c>
      <c r="E8706" s="15" t="s">
        <v>20</v>
      </c>
      <c r="F8706" s="16" t="s">
        <v>21</v>
      </c>
      <c r="G8706" s="15" t="s">
        <v>5</v>
      </c>
      <c r="H8706" s="215"/>
    </row>
    <row r="8707" spans="1:9">
      <c r="A8707" s="211" t="s">
        <v>517</v>
      </c>
      <c r="B8707" s="216" t="str">
        <f ca="1">_xlfn.CONCAT(B8672,A8707)</f>
        <v>4F21F4-ah</v>
      </c>
      <c r="C8707" s="30" t="s">
        <v>29</v>
      </c>
      <c r="D8707" s="186">
        <f>'H-MO'!$N$77</f>
        <v>725918.52892505517</v>
      </c>
      <c r="E8707" s="31">
        <f>+D8707/8</f>
        <v>90739.816115631897</v>
      </c>
      <c r="F8707" s="32">
        <v>7.1999999999999995E-2</v>
      </c>
      <c r="G8707" s="33">
        <f>+E8707*F8707</f>
        <v>6533.2667603254959</v>
      </c>
      <c r="H8707" s="229">
        <v>0.11184496008336237</v>
      </c>
      <c r="I8707" s="239">
        <f>+H8707*G8695</f>
        <v>6612.9618866328956</v>
      </c>
    </row>
    <row r="8708" spans="1:9">
      <c r="A8708" s="211" t="s">
        <v>518</v>
      </c>
      <c r="B8708" s="216" t="str">
        <f ca="1">_xlfn.CONCAT(B8672,A8708)</f>
        <v>4F21F4-ai</v>
      </c>
      <c r="C8708" s="34" t="s">
        <v>30</v>
      </c>
      <c r="D8708" s="187">
        <f>'H-MO'!$N$86</f>
        <v>685561.39085756091</v>
      </c>
      <c r="E8708" s="29">
        <f>+D8708/8</f>
        <v>85695.173857195114</v>
      </c>
      <c r="F8708" s="28">
        <v>0.14499999999999999</v>
      </c>
      <c r="G8708" s="33">
        <f>+E8708*F8708</f>
        <v>12425.800209293291</v>
      </c>
      <c r="H8708" s="229">
        <v>0.21125397228446965</v>
      </c>
      <c r="I8708" s="239">
        <f>+H8708*G8695</f>
        <v>12490.634053387395</v>
      </c>
    </row>
    <row r="8709" spans="1:9" ht="14.25" thickBot="1">
      <c r="A8709" s="211" t="s">
        <v>519</v>
      </c>
      <c r="B8709" s="216" t="str">
        <f ca="1">_xlfn.CONCAT(B8672,A8709)</f>
        <v>4F21F4-aj</v>
      </c>
      <c r="C8709" s="34"/>
      <c r="D8709" s="187"/>
      <c r="E8709" s="29"/>
      <c r="F8709" s="28">
        <v>0</v>
      </c>
      <c r="G8709" s="33">
        <f>+E8709*F8709</f>
        <v>0</v>
      </c>
    </row>
    <row r="8710" spans="1:9" ht="14.25" thickBot="1">
      <c r="A8710" s="211" t="s">
        <v>520</v>
      </c>
      <c r="B8710" s="216" t="str">
        <f ca="1">_xlfn.CONCAT(B8672,A8710)</f>
        <v>4F21F4-ak</v>
      </c>
      <c r="C8710" s="34"/>
      <c r="D8710" s="185"/>
      <c r="E8710" s="26"/>
      <c r="F8710" s="36" t="s">
        <v>31</v>
      </c>
      <c r="G8710" s="23">
        <f>SUM(G8707:G8709)</f>
        <v>18959.066969618787</v>
      </c>
    </row>
    <row r="8711" spans="1:9" ht="14.25" thickBot="1">
      <c r="A8711" s="211" t="s">
        <v>521</v>
      </c>
      <c r="B8711" s="216" t="str">
        <f ca="1">_xlfn.CONCAT(B8672,A8711)</f>
        <v>4F21F4-al</v>
      </c>
      <c r="C8711" s="37"/>
      <c r="E8711" s="38"/>
      <c r="F8711" s="22"/>
      <c r="G8711" s="39"/>
    </row>
    <row r="8712" spans="1:9" ht="16.5" thickBot="1">
      <c r="A8712" s="211" t="s">
        <v>522</v>
      </c>
      <c r="B8712" s="216" t="str">
        <f ca="1">_xlfn.CONCAT(B8672,A8712)</f>
        <v>4F21F4-am</v>
      </c>
      <c r="C8712" s="40"/>
      <c r="D8712" s="193"/>
      <c r="E8712" s="41"/>
      <c r="F8712" s="42"/>
      <c r="G8712" s="43">
        <f>+G8695+G8704+G8710</f>
        <v>91267.020094618783</v>
      </c>
    </row>
    <row r="8713" spans="1:9" ht="21.75" thickBot="1">
      <c r="B8713" s="212" t="s">
        <v>550</v>
      </c>
      <c r="C8713" s="2"/>
      <c r="D8713" s="183"/>
      <c r="F8713" s="4"/>
      <c r="G8713" s="5"/>
    </row>
    <row r="8714" spans="1:9" ht="18.75">
      <c r="A8714" s="213"/>
      <c r="B8714" s="214">
        <v>198</v>
      </c>
      <c r="C8714" s="242" t="str">
        <f ca="1">_xlfn.XLOOKUP(B8714,Cantidades!$A$10:$A$314,Cantidades!$C$10:$C$314,,0,1)</f>
        <v>Suministro e instalación de ductos  5Ø2"+4Ø4" PVC</v>
      </c>
      <c r="D8714" s="243"/>
      <c r="E8714" s="243"/>
      <c r="F8714" s="243"/>
      <c r="G8714" s="244"/>
      <c r="H8714" s="213"/>
    </row>
    <row r="8715" spans="1:9" ht="19.5" thickBot="1">
      <c r="A8715" s="215"/>
      <c r="B8715" s="216" t="s">
        <v>550</v>
      </c>
      <c r="C8715" s="177"/>
      <c r="D8715" s="189"/>
      <c r="E8715" s="178"/>
      <c r="F8715" s="179" t="s">
        <v>636</v>
      </c>
      <c r="G8715" s="209" t="str">
        <f ca="1">B8716</f>
        <v>5F24F4-</v>
      </c>
      <c r="H8715" s="215"/>
    </row>
    <row r="8716" spans="1:9" ht="15.75" thickBot="1">
      <c r="B8716" s="212" t="str">
        <f ca="1">_xlfn.XLOOKUP(C8714,Cantidades!$C$1:$C$314,Cantidades!$B$1:$B$314,"",0,1)</f>
        <v>5F24F4-</v>
      </c>
      <c r="C8716" s="10" t="s">
        <v>0</v>
      </c>
      <c r="D8716" s="190"/>
      <c r="E8716" s="11"/>
      <c r="F8716" s="12"/>
      <c r="G8716" s="13"/>
    </row>
    <row r="8717" spans="1:9" ht="14.25" thickBot="1">
      <c r="A8717" s="215"/>
      <c r="B8717" s="216" t="s">
        <v>550</v>
      </c>
      <c r="C8717" s="14" t="s">
        <v>1</v>
      </c>
      <c r="D8717" s="15" t="s">
        <v>2</v>
      </c>
      <c r="E8717" s="15" t="s">
        <v>3</v>
      </c>
      <c r="F8717" s="16" t="s">
        <v>4</v>
      </c>
      <c r="G8717" s="15" t="s">
        <v>5</v>
      </c>
    </row>
    <row r="8718" spans="1:9">
      <c r="A8718" s="211" t="s">
        <v>484</v>
      </c>
      <c r="B8718" s="216" t="str">
        <f ca="1">_xlfn.CONCAT(B8716,A8718)</f>
        <v>5F24F4-A</v>
      </c>
      <c r="C8718" s="17" t="str">
        <f>_xlfn.XLOOKUP(H8718,'Materiales unitario'!$A$1:$A$2500,'Materiales unitario'!B$1:B$2500,,0,1)</f>
        <v>Ducto telef. Y Electric. pesado TDP ø2" PVC</v>
      </c>
      <c r="D8718" s="184" t="str">
        <f>_xlfn.XLOOKUP(H8718,'Materiales unitario'!A$1:A$2500,'Materiales unitario'!C$1:C$2500,,0,1)</f>
        <v>ml</v>
      </c>
      <c r="E8718" s="197">
        <f>_xlfn.XLOOKUP(H8718,'Materiales unitario'!$A$1:$A$2500,'Materiales unitario'!D$1:D$2500,,0,1)</f>
        <v>6520</v>
      </c>
      <c r="F8718" s="19">
        <v>5.25</v>
      </c>
      <c r="G8718" s="20">
        <f>+E8718*F8718</f>
        <v>34230</v>
      </c>
      <c r="H8718" s="211" t="s">
        <v>1196</v>
      </c>
    </row>
    <row r="8719" spans="1:9">
      <c r="A8719" s="211" t="s">
        <v>485</v>
      </c>
      <c r="B8719" s="216" t="str">
        <f ca="1">_xlfn.CONCAT(B8716,A8719)</f>
        <v>5F24F4-B</v>
      </c>
      <c r="C8719" s="17" t="str">
        <f>_xlfn.XLOOKUP(H8719,'Materiales unitario'!$A$1:$A$2500,'Materiales unitario'!B$1:B$2500,,0,1)</f>
        <v>Campana terminal ducto ø2" PVC</v>
      </c>
      <c r="D8719" s="184" t="str">
        <f>_xlfn.XLOOKUP(H8719,'Materiales unitario'!A$1:A$2500,'Materiales unitario'!C$1:C$2500,,0,1)</f>
        <v>un</v>
      </c>
      <c r="E8719" s="197">
        <f>_xlfn.XLOOKUP(H8719,'Materiales unitario'!$A$1:$A$2500,'Materiales unitario'!D$1:D$2500,,0,1)</f>
        <v>4046</v>
      </c>
      <c r="F8719" s="19">
        <v>1.2</v>
      </c>
      <c r="G8719" s="20">
        <f>+E8719*F8719</f>
        <v>4855.2</v>
      </c>
      <c r="H8719" s="211" t="s">
        <v>286</v>
      </c>
    </row>
    <row r="8720" spans="1:9">
      <c r="A8720" s="211" t="s">
        <v>486</v>
      </c>
      <c r="B8720" s="216" t="str">
        <f ca="1">_xlfn.CONCAT(B8716,A8720)</f>
        <v>5F24F4-C</v>
      </c>
      <c r="C8720" s="17" t="str">
        <f>_xlfn.XLOOKUP(H8720,'Materiales unitario'!$A$1:$A$2500,'Materiales unitario'!B$1:B$2500,,0,1)</f>
        <v>Soldadura liquida PVC 1/4 de galón</v>
      </c>
      <c r="D8720" s="184" t="str">
        <f>_xlfn.XLOOKUP(H8720,'Materiales unitario'!A$1:A$2500,'Materiales unitario'!C$1:C$2500,,0,1)</f>
        <v>un</v>
      </c>
      <c r="E8720" s="197">
        <f>_xlfn.XLOOKUP(H8720,'Materiales unitario'!$A$1:$A$2500,'Materiales unitario'!D$1:D$2500,,0,1)</f>
        <v>60900</v>
      </c>
      <c r="F8720" s="19">
        <v>0.15</v>
      </c>
      <c r="G8720" s="20">
        <f>+E8720*F8720</f>
        <v>9135</v>
      </c>
      <c r="H8720" s="211" t="s">
        <v>530</v>
      </c>
    </row>
    <row r="8721" spans="1:8">
      <c r="A8721" s="211" t="s">
        <v>487</v>
      </c>
      <c r="B8721" s="216" t="str">
        <f ca="1">_xlfn.CONCAT(B8716,A8721)</f>
        <v>5F24F4-D</v>
      </c>
      <c r="C8721" s="17" t="str">
        <f>_xlfn.XLOOKUP(H8721,'Materiales unitario'!$A$1:$A$2500,'Materiales unitario'!B$1:B$2500,,0,1)</f>
        <v>Ducto telef. Y Electric. Corrugado TDP ø4" PVC</v>
      </c>
      <c r="D8721" s="184" t="str">
        <f>_xlfn.XLOOKUP(H8721,'Materiales unitario'!A$1:A$2500,'Materiales unitario'!C$1:C$2500,,0,1)</f>
        <v>ml</v>
      </c>
      <c r="E8721" s="197">
        <f>_xlfn.XLOOKUP(H8721,'Materiales unitario'!$A$1:$A$2500,'Materiales unitario'!D$1:D$2500,,0,1)</f>
        <v>15680</v>
      </c>
      <c r="F8721" s="19">
        <v>4.2</v>
      </c>
      <c r="G8721" s="20">
        <f>+E8721*F8721</f>
        <v>65856</v>
      </c>
      <c r="H8721" s="211" t="s">
        <v>316</v>
      </c>
    </row>
    <row r="8722" spans="1:8">
      <c r="A8722" s="211" t="s">
        <v>488</v>
      </c>
      <c r="B8722" s="216" t="str">
        <f ca="1">_xlfn.CONCAT(B8716,A8722)</f>
        <v>5F24F4-E</v>
      </c>
      <c r="C8722" s="17" t="str">
        <f>_xlfn.XLOOKUP(H8722,'Materiales unitario'!$A$1:$A$2500,'Materiales unitario'!B$1:B$2500,,0,1)</f>
        <v>Campana terminal ducto ø4" PVC</v>
      </c>
      <c r="D8722" s="184" t="str">
        <f>_xlfn.XLOOKUP(H8722,'Materiales unitario'!A$1:A$2500,'Materiales unitario'!C$1:C$2500,,0,1)</f>
        <v>un</v>
      </c>
      <c r="E8722" s="197">
        <f>_xlfn.XLOOKUP(H8722,'Materiales unitario'!$A$1:$A$2500,'Materiales unitario'!D$1:D$2500,,0,1)</f>
        <v>8388.6</v>
      </c>
      <c r="F8722" s="19">
        <v>1</v>
      </c>
      <c r="G8722" s="20">
        <f>+E8722*F8722</f>
        <v>8388.6</v>
      </c>
      <c r="H8722" s="211" t="s">
        <v>287</v>
      </c>
    </row>
    <row r="8723" spans="1:8">
      <c r="A8723" s="211" t="s">
        <v>489</v>
      </c>
      <c r="B8723" s="216" t="str">
        <f ca="1">_xlfn.CONCAT(B8716,A8723)</f>
        <v>5F24F4-F</v>
      </c>
      <c r="C8723" s="17"/>
      <c r="D8723" s="184"/>
      <c r="E8723" s="197"/>
      <c r="F8723" s="19"/>
      <c r="G8723" s="20"/>
    </row>
    <row r="8724" spans="1:8">
      <c r="A8724" s="211" t="s">
        <v>490</v>
      </c>
      <c r="B8724" s="216" t="str">
        <f ca="1">_xlfn.CONCAT(B8716,A8724)</f>
        <v>5F24F4-G</v>
      </c>
      <c r="C8724" s="17"/>
      <c r="D8724" s="184"/>
      <c r="E8724" s="197"/>
      <c r="F8724" s="19"/>
      <c r="G8724" s="20"/>
    </row>
    <row r="8725" spans="1:8">
      <c r="A8725" s="211" t="s">
        <v>491</v>
      </c>
      <c r="B8725" s="216" t="str">
        <f ca="1">_xlfn.CONCAT(B8716,A8725)</f>
        <v>5F24F4-H</v>
      </c>
      <c r="C8725" s="17"/>
      <c r="D8725" s="184"/>
      <c r="E8725" s="197"/>
      <c r="F8725" s="19"/>
      <c r="G8725" s="20"/>
    </row>
    <row r="8726" spans="1:8">
      <c r="A8726" s="211" t="s">
        <v>492</v>
      </c>
      <c r="B8726" s="216" t="str">
        <f ca="1">_xlfn.CONCAT(B8716,A8726)</f>
        <v>5F24F4-I</v>
      </c>
      <c r="C8726" s="17"/>
      <c r="D8726" s="184"/>
      <c r="E8726" s="197"/>
      <c r="F8726" s="19"/>
      <c r="G8726" s="20"/>
    </row>
    <row r="8727" spans="1:8">
      <c r="A8727" s="211" t="s">
        <v>493</v>
      </c>
      <c r="B8727" s="216" t="str">
        <f ca="1">_xlfn.CONCAT(B8716,A8727)</f>
        <v>5F24F4-J</v>
      </c>
      <c r="C8727" s="17"/>
      <c r="D8727" s="184"/>
      <c r="E8727" s="197"/>
      <c r="F8727" s="19"/>
      <c r="G8727" s="20"/>
    </row>
    <row r="8728" spans="1:8">
      <c r="A8728" s="211" t="s">
        <v>494</v>
      </c>
      <c r="B8728" s="216" t="str">
        <f ca="1">_xlfn.CONCAT(B8716,A8728)</f>
        <v>5F24F4-K</v>
      </c>
      <c r="C8728" s="17"/>
      <c r="D8728" s="184"/>
      <c r="E8728" s="197"/>
      <c r="F8728" s="19"/>
      <c r="G8728" s="20"/>
    </row>
    <row r="8729" spans="1:8">
      <c r="A8729" s="211" t="s">
        <v>495</v>
      </c>
      <c r="B8729" s="216" t="str">
        <f ca="1">_xlfn.CONCAT(B8716,A8729)</f>
        <v>5F24F4-L</v>
      </c>
      <c r="C8729" s="17"/>
      <c r="D8729" s="184"/>
      <c r="E8729" s="197"/>
      <c r="F8729" s="19"/>
      <c r="G8729" s="20"/>
    </row>
    <row r="8730" spans="1:8">
      <c r="A8730" s="211" t="s">
        <v>496</v>
      </c>
      <c r="B8730" s="216" t="str">
        <f ca="1">_xlfn.CONCAT(B8716,A8730)</f>
        <v>5F24F4-M</v>
      </c>
      <c r="C8730" s="17"/>
      <c r="D8730" s="184"/>
      <c r="E8730" s="197"/>
      <c r="F8730" s="19"/>
      <c r="G8730" s="20"/>
    </row>
    <row r="8731" spans="1:8">
      <c r="A8731" s="211" t="s">
        <v>497</v>
      </c>
      <c r="B8731" s="216" t="str">
        <f ca="1">_xlfn.CONCAT(B8716,A8731)</f>
        <v>5F24F4-N</v>
      </c>
      <c r="C8731" s="17"/>
      <c r="D8731" s="184"/>
      <c r="E8731" s="197"/>
      <c r="F8731" s="19"/>
      <c r="G8731" s="20"/>
    </row>
    <row r="8732" spans="1:8">
      <c r="A8732" s="211" t="s">
        <v>498</v>
      </c>
      <c r="B8732" s="216" t="str">
        <f ca="1">_xlfn.CONCAT(B8716,A8732)</f>
        <v>5F24F4-O</v>
      </c>
      <c r="C8732" s="17"/>
      <c r="D8732" s="184"/>
      <c r="E8732" s="197"/>
      <c r="F8732" s="19"/>
      <c r="G8732" s="20"/>
    </row>
    <row r="8733" spans="1:8">
      <c r="A8733" s="211" t="s">
        <v>499</v>
      </c>
      <c r="B8733" s="216" t="str">
        <f ca="1">_xlfn.CONCAT(B8716,A8733)</f>
        <v>5F24F4-P</v>
      </c>
      <c r="C8733" s="17"/>
      <c r="D8733" s="184"/>
      <c r="E8733" s="197"/>
      <c r="F8733" s="19"/>
      <c r="G8733" s="20"/>
    </row>
    <row r="8734" spans="1:8">
      <c r="A8734" s="211" t="s">
        <v>500</v>
      </c>
      <c r="B8734" s="216" t="str">
        <f ca="1">_xlfn.CONCAT(B8716,A8734)</f>
        <v>5F24F4-Q</v>
      </c>
      <c r="C8734" s="17"/>
      <c r="D8734" s="184"/>
      <c r="E8734" s="197"/>
      <c r="F8734" s="19"/>
      <c r="G8734" s="20"/>
    </row>
    <row r="8735" spans="1:8">
      <c r="A8735" s="211" t="s">
        <v>501</v>
      </c>
      <c r="B8735" s="216" t="str">
        <f ca="1">_xlfn.CONCAT(B8716,A8735)</f>
        <v>5F24F4-R</v>
      </c>
      <c r="C8735" s="17"/>
      <c r="D8735" s="184"/>
      <c r="E8735" s="197"/>
      <c r="F8735" s="19"/>
      <c r="G8735" s="20"/>
    </row>
    <row r="8736" spans="1:8">
      <c r="A8736" s="211" t="s">
        <v>502</v>
      </c>
      <c r="B8736" s="216" t="str">
        <f ca="1">_xlfn.CONCAT(B8716,A8736)</f>
        <v>5F24F4-S</v>
      </c>
      <c r="C8736" s="17"/>
      <c r="D8736" s="184"/>
      <c r="E8736" s="197"/>
      <c r="F8736" s="19"/>
      <c r="G8736" s="20"/>
    </row>
    <row r="8737" spans="1:9">
      <c r="A8737" s="211" t="s">
        <v>503</v>
      </c>
      <c r="B8737" s="216" t="str">
        <f ca="1">_xlfn.CONCAT(B8716,A8737)</f>
        <v>5F24F4-T</v>
      </c>
      <c r="C8737" s="17"/>
      <c r="D8737" s="184"/>
      <c r="E8737" s="197"/>
      <c r="F8737" s="19"/>
      <c r="G8737" s="20"/>
    </row>
    <row r="8738" spans="1:9" ht="14.25" thickBot="1">
      <c r="A8738" s="211" t="s">
        <v>504</v>
      </c>
      <c r="B8738" s="216" t="str">
        <f ca="1">_xlfn.CONCAT(B8716,A8738)</f>
        <v>5F24F4-U</v>
      </c>
      <c r="C8738" s="17"/>
      <c r="D8738" s="184"/>
      <c r="E8738" s="197"/>
      <c r="F8738" s="19"/>
      <c r="G8738" s="20"/>
    </row>
    <row r="8739" spans="1:9" ht="14.25" thickBot="1">
      <c r="A8739" s="211" t="s">
        <v>505</v>
      </c>
      <c r="B8739" s="216" t="str">
        <f ca="1">_xlfn.CONCAT(B8716,A8739)</f>
        <v>5F24F4-V</v>
      </c>
      <c r="C8739" s="17" t="s">
        <v>17</v>
      </c>
      <c r="D8739" s="192" t="s">
        <v>17</v>
      </c>
      <c r="E8739" s="18"/>
      <c r="F8739" s="22" t="s">
        <v>18</v>
      </c>
      <c r="G8739" s="23">
        <f>SUM(G8718:G8738)</f>
        <v>122464.8</v>
      </c>
    </row>
    <row r="8740" spans="1:9" ht="15.75" thickBot="1">
      <c r="A8740" s="211" t="s">
        <v>506</v>
      </c>
      <c r="B8740" s="216" t="str">
        <f ca="1">_xlfn.CONCAT(B8716,A8740)</f>
        <v>5F24F4-W</v>
      </c>
      <c r="C8740" s="10" t="s">
        <v>19</v>
      </c>
      <c r="D8740" s="190"/>
      <c r="E8740" s="11"/>
      <c r="F8740" s="12"/>
      <c r="G8740" s="13"/>
    </row>
    <row r="8741" spans="1:9" ht="14.25" thickBot="1">
      <c r="A8741" s="211" t="s">
        <v>507</v>
      </c>
      <c r="B8741" s="216" t="str">
        <f ca="1">_xlfn.CONCAT(B8716,A8741)</f>
        <v>5F24F4-X</v>
      </c>
      <c r="C8741" s="14" t="s">
        <v>1</v>
      </c>
      <c r="D8741" s="15"/>
      <c r="E8741" s="15" t="s">
        <v>20</v>
      </c>
      <c r="F8741" s="16" t="s">
        <v>21</v>
      </c>
      <c r="G8741" s="15" t="s">
        <v>5</v>
      </c>
      <c r="H8741" s="215"/>
    </row>
    <row r="8742" spans="1:9">
      <c r="A8742" s="211" t="s">
        <v>508</v>
      </c>
      <c r="B8742" s="216" t="str">
        <f ca="1">_xlfn.CONCAT(B8716,A8742)</f>
        <v>5F24F4-Y</v>
      </c>
      <c r="C8742" s="24" t="s">
        <v>22</v>
      </c>
      <c r="D8742" s="184"/>
      <c r="E8742" s="25">
        <f>_xlfn.XLOOKUP(C8742,'H-MO'!B$7:B$30,'H-MO'!D$7:D$30,,0,1)</f>
        <v>2436.5624999999995</v>
      </c>
      <c r="F8742" s="19">
        <v>1.6</v>
      </c>
      <c r="G8742" s="33">
        <f t="shared" ref="G8742:G8747" si="250">+E8742*F8742</f>
        <v>3898.4999999999995</v>
      </c>
      <c r="H8742" s="229">
        <f>0.25*0.13</f>
        <v>3.2500000000000001E-2</v>
      </c>
      <c r="I8742" s="240">
        <f>+G8739*H8742</f>
        <v>3980.1060000000002</v>
      </c>
    </row>
    <row r="8743" spans="1:9">
      <c r="A8743" s="211" t="s">
        <v>509</v>
      </c>
      <c r="B8743" s="216" t="str">
        <f ca="1">_xlfn.CONCAT(B8716,A8743)</f>
        <v>5F24F4-Z</v>
      </c>
      <c r="C8743" s="24" t="s">
        <v>23</v>
      </c>
      <c r="D8743" s="184"/>
      <c r="E8743" s="25">
        <f>_xlfn.XLOOKUP(C8743,'H-MO'!B$7:B$30,'H-MO'!D$7:D$30,,0,1)</f>
        <v>1461.9374999999998</v>
      </c>
      <c r="F8743" s="19">
        <v>2.8</v>
      </c>
      <c r="G8743" s="33">
        <f t="shared" si="250"/>
        <v>4093.4249999999993</v>
      </c>
      <c r="H8743" s="229">
        <v>0.03</v>
      </c>
    </row>
    <row r="8744" spans="1:9">
      <c r="A8744" s="211" t="s">
        <v>510</v>
      </c>
      <c r="B8744" s="216" t="str">
        <f ca="1">_xlfn.CONCAT(B8716,A8744)</f>
        <v>5F24F4-aa</v>
      </c>
      <c r="C8744" s="24" t="s">
        <v>24</v>
      </c>
      <c r="D8744" s="185"/>
      <c r="E8744" s="25">
        <f>_xlfn.XLOOKUP(C8744,'H-MO'!B$7:B$30,'H-MO'!D$7:D$30,,0,1)</f>
        <v>29238.749999999996</v>
      </c>
      <c r="F8744" s="28">
        <v>0.52</v>
      </c>
      <c r="G8744" s="33">
        <f t="shared" si="250"/>
        <v>15204.149999999998</v>
      </c>
      <c r="H8744" s="229">
        <v>0.125</v>
      </c>
      <c r="I8744" s="239">
        <f>+H8744*G8739</f>
        <v>15308.1</v>
      </c>
    </row>
    <row r="8745" spans="1:9">
      <c r="A8745" s="211" t="s">
        <v>511</v>
      </c>
      <c r="B8745" s="216" t="str">
        <f ca="1">_xlfn.CONCAT(B8716,A8745)</f>
        <v>5F24F4-ab</v>
      </c>
      <c r="C8745" s="24" t="s">
        <v>25</v>
      </c>
      <c r="D8745" s="185"/>
      <c r="E8745" s="25">
        <f>_xlfn.XLOOKUP(C8745,'H-MO'!B$7:B$30,'H-MO'!D$7:D$30,,0,1)</f>
        <v>2761.4374999999995</v>
      </c>
      <c r="F8745" s="28">
        <v>1.1000000000000001</v>
      </c>
      <c r="G8745" s="33">
        <f t="shared" si="250"/>
        <v>3037.5812499999997</v>
      </c>
      <c r="H8745" s="229">
        <v>2.5000000000000001E-2</v>
      </c>
      <c r="I8745" s="239">
        <f>+H8745*G8739</f>
        <v>3061.6200000000003</v>
      </c>
    </row>
    <row r="8746" spans="1:9">
      <c r="A8746" s="211" t="s">
        <v>512</v>
      </c>
      <c r="B8746" s="216" t="str">
        <f ca="1">_xlfn.CONCAT(B8716,A8746)</f>
        <v>5F24F4-ac</v>
      </c>
      <c r="C8746" s="24"/>
      <c r="D8746" s="185"/>
      <c r="E8746" s="29"/>
      <c r="F8746" s="28">
        <v>0</v>
      </c>
      <c r="G8746" s="33">
        <f t="shared" si="250"/>
        <v>0</v>
      </c>
    </row>
    <row r="8747" spans="1:9" ht="14.25" thickBot="1">
      <c r="A8747" s="211" t="s">
        <v>513</v>
      </c>
      <c r="B8747" s="216" t="str">
        <f ca="1">_xlfn.CONCAT(B8716,A8747)</f>
        <v>5F24F4-ad</v>
      </c>
      <c r="C8747" s="24"/>
      <c r="D8747" s="185"/>
      <c r="E8747" s="29"/>
      <c r="F8747" s="28">
        <v>0</v>
      </c>
      <c r="G8747" s="33">
        <f t="shared" si="250"/>
        <v>0</v>
      </c>
    </row>
    <row r="8748" spans="1:9" ht="14.25" thickBot="1">
      <c r="A8748" s="211" t="s">
        <v>514</v>
      </c>
      <c r="B8748" s="216" t="str">
        <f ca="1">_xlfn.CONCAT(B8716,A8748)</f>
        <v>5F24F4-ae</v>
      </c>
      <c r="C8748" s="17"/>
      <c r="D8748" s="192"/>
      <c r="E8748" s="18"/>
      <c r="F8748" s="22" t="s">
        <v>26</v>
      </c>
      <c r="G8748" s="23">
        <f>SUM(G8742:G8747)</f>
        <v>26233.656249999996</v>
      </c>
      <c r="H8748" s="211">
        <v>0.25</v>
      </c>
    </row>
    <row r="8749" spans="1:9" ht="15.75" thickBot="1">
      <c r="A8749" s="211" t="s">
        <v>515</v>
      </c>
      <c r="B8749" s="216" t="str">
        <f ca="1">_xlfn.CONCAT(B8716,A8749)</f>
        <v>5F24F4-af</v>
      </c>
      <c r="C8749" s="10" t="s">
        <v>27</v>
      </c>
      <c r="D8749" s="190"/>
      <c r="E8749" s="11"/>
      <c r="F8749" s="12"/>
      <c r="G8749" s="13"/>
    </row>
    <row r="8750" spans="1:9" ht="14.25" thickBot="1">
      <c r="A8750" s="211" t="s">
        <v>516</v>
      </c>
      <c r="B8750" s="216" t="str">
        <f ca="1">_xlfn.CONCAT(B8716,A8750)</f>
        <v>5F24F4-ag</v>
      </c>
      <c r="C8750" s="14" t="s">
        <v>1</v>
      </c>
      <c r="D8750" s="15" t="s">
        <v>28</v>
      </c>
      <c r="E8750" s="15" t="s">
        <v>20</v>
      </c>
      <c r="F8750" s="16" t="s">
        <v>21</v>
      </c>
      <c r="G8750" s="15" t="s">
        <v>5</v>
      </c>
      <c r="H8750" s="215"/>
    </row>
    <row r="8751" spans="1:9">
      <c r="A8751" s="211" t="s">
        <v>517</v>
      </c>
      <c r="B8751" s="216" t="str">
        <f ca="1">_xlfn.CONCAT(B8716,A8751)</f>
        <v>5F24F4-ah</v>
      </c>
      <c r="C8751" s="30" t="s">
        <v>29</v>
      </c>
      <c r="D8751" s="186">
        <f>'H-MO'!$N$77</f>
        <v>725918.52892505517</v>
      </c>
      <c r="E8751" s="31">
        <f>+D8751/8</f>
        <v>90739.816115631897</v>
      </c>
      <c r="F8751" s="32">
        <v>0.15</v>
      </c>
      <c r="G8751" s="33">
        <f>+E8751*F8751</f>
        <v>13610.972417344785</v>
      </c>
      <c r="H8751" s="229">
        <v>0.11184496008336237</v>
      </c>
      <c r="I8751" s="239">
        <f>+H8751*G8739</f>
        <v>13697.070667616956</v>
      </c>
    </row>
    <row r="8752" spans="1:9">
      <c r="A8752" s="211" t="s">
        <v>518</v>
      </c>
      <c r="B8752" s="216" t="str">
        <f ca="1">_xlfn.CONCAT(B8716,A8752)</f>
        <v>5F24F4-ai</v>
      </c>
      <c r="C8752" s="34" t="s">
        <v>30</v>
      </c>
      <c r="D8752" s="187">
        <f>'H-MO'!$N$86</f>
        <v>685561.39085756091</v>
      </c>
      <c r="E8752" s="29">
        <f>+D8752/8</f>
        <v>85695.173857195114</v>
      </c>
      <c r="F8752" s="28">
        <v>0.3</v>
      </c>
      <c r="G8752" s="33">
        <f>+E8752*F8752</f>
        <v>25708.552157158534</v>
      </c>
      <c r="H8752" s="229">
        <v>0.21125397228446965</v>
      </c>
      <c r="I8752" s="239">
        <f>+H8752*G8739</f>
        <v>25871.17546502312</v>
      </c>
    </row>
    <row r="8753" spans="1:8" ht="14.25" thickBot="1">
      <c r="A8753" s="211" t="s">
        <v>519</v>
      </c>
      <c r="B8753" s="216" t="str">
        <f ca="1">_xlfn.CONCAT(B8716,A8753)</f>
        <v>5F24F4-aj</v>
      </c>
      <c r="C8753" s="34"/>
      <c r="D8753" s="187"/>
      <c r="E8753" s="29"/>
      <c r="F8753" s="28">
        <v>0</v>
      </c>
      <c r="G8753" s="33">
        <f>+E8753*F8753</f>
        <v>0</v>
      </c>
    </row>
    <row r="8754" spans="1:8" ht="14.25" thickBot="1">
      <c r="A8754" s="211" t="s">
        <v>520</v>
      </c>
      <c r="B8754" s="216" t="str">
        <f ca="1">_xlfn.CONCAT(B8716,A8754)</f>
        <v>5F24F4-ak</v>
      </c>
      <c r="C8754" s="34"/>
      <c r="D8754" s="185"/>
      <c r="E8754" s="26"/>
      <c r="F8754" s="36" t="s">
        <v>31</v>
      </c>
      <c r="G8754" s="23">
        <f>SUM(G8751:G8753)</f>
        <v>39319.524574503317</v>
      </c>
    </row>
    <row r="8755" spans="1:8" ht="14.25" thickBot="1">
      <c r="A8755" s="211" t="s">
        <v>521</v>
      </c>
      <c r="B8755" s="216" t="str">
        <f ca="1">_xlfn.CONCAT(B8716,A8755)</f>
        <v>5F24F4-al</v>
      </c>
      <c r="C8755" s="37"/>
      <c r="E8755" s="38"/>
      <c r="F8755" s="22"/>
      <c r="G8755" s="39"/>
    </row>
    <row r="8756" spans="1:8" ht="16.5" thickBot="1">
      <c r="A8756" s="211" t="s">
        <v>522</v>
      </c>
      <c r="B8756" s="216" t="str">
        <f ca="1">_xlfn.CONCAT(B8716,A8756)</f>
        <v>5F24F4-am</v>
      </c>
      <c r="C8756" s="40"/>
      <c r="D8756" s="193"/>
      <c r="E8756" s="41"/>
      <c r="F8756" s="42"/>
      <c r="G8756" s="43">
        <f>+G8739+G8748+G8754</f>
        <v>188017.98082450329</v>
      </c>
    </row>
    <row r="8757" spans="1:8" ht="21.75" thickBot="1">
      <c r="B8757" s="212" t="s">
        <v>550</v>
      </c>
      <c r="C8757" s="2"/>
      <c r="D8757" s="183"/>
      <c r="F8757" s="4"/>
      <c r="G8757" s="5"/>
    </row>
    <row r="8758" spans="1:8" ht="18.75">
      <c r="A8758" s="213"/>
      <c r="B8758" s="214">
        <v>199</v>
      </c>
      <c r="C8758" s="242" t="str">
        <f ca="1">_xlfn.XLOOKUP(B8758,Cantidades!$A$10:$A$314,Cantidades!$C$10:$C$314,,0,1)</f>
        <v>Suministro e instalación de ductos  4Ø2"+2Ø4" PVC</v>
      </c>
      <c r="D8758" s="243"/>
      <c r="E8758" s="243"/>
      <c r="F8758" s="243"/>
      <c r="G8758" s="244"/>
      <c r="H8758" s="213"/>
    </row>
    <row r="8759" spans="1:8" ht="19.5" thickBot="1">
      <c r="A8759" s="215"/>
      <c r="B8759" s="216" t="s">
        <v>550</v>
      </c>
      <c r="C8759" s="177"/>
      <c r="D8759" s="189"/>
      <c r="E8759" s="178"/>
      <c r="F8759" s="179" t="s">
        <v>636</v>
      </c>
      <c r="G8759" s="209" t="str">
        <f ca="1">B8760</f>
        <v>4F22F4-</v>
      </c>
      <c r="H8759" s="215"/>
    </row>
    <row r="8760" spans="1:8" ht="15.75" thickBot="1">
      <c r="B8760" s="212" t="str">
        <f ca="1">_xlfn.XLOOKUP(C8758,Cantidades!$C$1:$C$314,Cantidades!$B$1:$B$314,"",0,1)</f>
        <v>4F22F4-</v>
      </c>
      <c r="C8760" s="10" t="s">
        <v>0</v>
      </c>
      <c r="D8760" s="190"/>
      <c r="E8760" s="11"/>
      <c r="F8760" s="12"/>
      <c r="G8760" s="13"/>
    </row>
    <row r="8761" spans="1:8" ht="14.25" thickBot="1">
      <c r="A8761" s="215"/>
      <c r="B8761" s="216" t="s">
        <v>550</v>
      </c>
      <c r="C8761" s="14" t="s">
        <v>1</v>
      </c>
      <c r="D8761" s="15" t="s">
        <v>2</v>
      </c>
      <c r="E8761" s="15" t="s">
        <v>3</v>
      </c>
      <c r="F8761" s="16" t="s">
        <v>4</v>
      </c>
      <c r="G8761" s="15" t="s">
        <v>5</v>
      </c>
    </row>
    <row r="8762" spans="1:8">
      <c r="A8762" s="211" t="s">
        <v>484</v>
      </c>
      <c r="B8762" s="216" t="str">
        <f ca="1">_xlfn.CONCAT(B8760,A8762)</f>
        <v>4F22F4-A</v>
      </c>
      <c r="C8762" s="17" t="str">
        <f>_xlfn.XLOOKUP(H8762,'Materiales unitario'!$A$1:$A$2500,'Materiales unitario'!B$1:B$2500,,0,1)</f>
        <v>Ducto telef. Y Electric. pesado TDP ø2" PVC</v>
      </c>
      <c r="D8762" s="184" t="str">
        <f>_xlfn.XLOOKUP(H8762,'Materiales unitario'!A$1:A$2500,'Materiales unitario'!C$1:C$2500,,0,1)</f>
        <v>ml</v>
      </c>
      <c r="E8762" s="197">
        <f>_xlfn.XLOOKUP(H8762,'Materiales unitario'!$A$1:$A$2500,'Materiales unitario'!D$1:D$2500,,0,1)</f>
        <v>6520</v>
      </c>
      <c r="F8762" s="19">
        <v>4.2</v>
      </c>
      <c r="G8762" s="20">
        <f>+E8762*F8762</f>
        <v>27384</v>
      </c>
      <c r="H8762" s="211" t="s">
        <v>1196</v>
      </c>
    </row>
    <row r="8763" spans="1:8">
      <c r="A8763" s="211" t="s">
        <v>485</v>
      </c>
      <c r="B8763" s="216" t="str">
        <f ca="1">_xlfn.CONCAT(B8760,A8763)</f>
        <v>4F22F4-B</v>
      </c>
      <c r="C8763" s="17" t="str">
        <f>_xlfn.XLOOKUP(H8763,'Materiales unitario'!$A$1:$A$2500,'Materiales unitario'!B$1:B$2500,,0,1)</f>
        <v>Campana terminal ducto ø2" PVC</v>
      </c>
      <c r="D8763" s="184" t="str">
        <f>_xlfn.XLOOKUP(H8763,'Materiales unitario'!A$1:A$2500,'Materiales unitario'!C$1:C$2500,,0,1)</f>
        <v>un</v>
      </c>
      <c r="E8763" s="197">
        <f>_xlfn.XLOOKUP(H8763,'Materiales unitario'!$A$1:$A$2500,'Materiales unitario'!D$1:D$2500,,0,1)</f>
        <v>4046</v>
      </c>
      <c r="F8763" s="19">
        <v>1</v>
      </c>
      <c r="G8763" s="20">
        <f>+E8763*F8763</f>
        <v>4046</v>
      </c>
      <c r="H8763" s="211" t="s">
        <v>286</v>
      </c>
    </row>
    <row r="8764" spans="1:8">
      <c r="A8764" s="211" t="s">
        <v>486</v>
      </c>
      <c r="B8764" s="216" t="str">
        <f ca="1">_xlfn.CONCAT(B8760,A8764)</f>
        <v>4F22F4-C</v>
      </c>
      <c r="C8764" s="17" t="str">
        <f>_xlfn.XLOOKUP(H8764,'Materiales unitario'!$A$1:$A$2500,'Materiales unitario'!B$1:B$2500,,0,1)</f>
        <v>Soldadura liquida PVC 1/4 de galón</v>
      </c>
      <c r="D8764" s="184" t="str">
        <f>_xlfn.XLOOKUP(H8764,'Materiales unitario'!A$1:A$2500,'Materiales unitario'!C$1:C$2500,,0,1)</f>
        <v>un</v>
      </c>
      <c r="E8764" s="197">
        <f>_xlfn.XLOOKUP(H8764,'Materiales unitario'!$A$1:$A$2500,'Materiales unitario'!D$1:D$2500,,0,1)</f>
        <v>60900</v>
      </c>
      <c r="F8764" s="19">
        <v>0.15</v>
      </c>
      <c r="G8764" s="20">
        <f>+E8764*F8764</f>
        <v>9135</v>
      </c>
      <c r="H8764" s="211" t="s">
        <v>530</v>
      </c>
    </row>
    <row r="8765" spans="1:8">
      <c r="A8765" s="211" t="s">
        <v>487</v>
      </c>
      <c r="B8765" s="216" t="str">
        <f ca="1">_xlfn.CONCAT(B8760,A8765)</f>
        <v>4F22F4-D</v>
      </c>
      <c r="C8765" s="17" t="str">
        <f>_xlfn.XLOOKUP(H8765,'Materiales unitario'!$A$1:$A$2500,'Materiales unitario'!B$1:B$2500,,0,1)</f>
        <v>Ducto telef. Y Electric. Corrugado TDP ø4" PVC</v>
      </c>
      <c r="D8765" s="184" t="str">
        <f>_xlfn.XLOOKUP(H8765,'Materiales unitario'!A$1:A$2500,'Materiales unitario'!C$1:C$2500,,0,1)</f>
        <v>ml</v>
      </c>
      <c r="E8765" s="197">
        <f>_xlfn.XLOOKUP(H8765,'Materiales unitario'!$A$1:$A$2500,'Materiales unitario'!D$1:D$2500,,0,1)</f>
        <v>15680</v>
      </c>
      <c r="F8765" s="19">
        <v>2.1</v>
      </c>
      <c r="G8765" s="20">
        <f>+E8765*F8765</f>
        <v>32928</v>
      </c>
      <c r="H8765" s="211" t="s">
        <v>316</v>
      </c>
    </row>
    <row r="8766" spans="1:8">
      <c r="A8766" s="211" t="s">
        <v>488</v>
      </c>
      <c r="B8766" s="216" t="str">
        <f ca="1">_xlfn.CONCAT(B8760,A8766)</f>
        <v>4F22F4-E</v>
      </c>
      <c r="C8766" s="17" t="str">
        <f>_xlfn.XLOOKUP(H8766,'Materiales unitario'!$A$1:$A$2500,'Materiales unitario'!B$1:B$2500,,0,1)</f>
        <v>Campana terminal ducto ø4" PVC</v>
      </c>
      <c r="D8766" s="184" t="str">
        <f>_xlfn.XLOOKUP(H8766,'Materiales unitario'!A$1:A$2500,'Materiales unitario'!C$1:C$2500,,0,1)</f>
        <v>un</v>
      </c>
      <c r="E8766" s="197">
        <f>_xlfn.XLOOKUP(H8766,'Materiales unitario'!$A$1:$A$2500,'Materiales unitario'!D$1:D$2500,,0,1)</f>
        <v>8388.6</v>
      </c>
      <c r="F8766" s="19">
        <v>0.5</v>
      </c>
      <c r="G8766" s="20">
        <f>+E8766*F8766</f>
        <v>4194.3</v>
      </c>
      <c r="H8766" s="211" t="s">
        <v>287</v>
      </c>
    </row>
    <row r="8767" spans="1:8">
      <c r="A8767" s="211" t="s">
        <v>489</v>
      </c>
      <c r="B8767" s="216" t="str">
        <f ca="1">_xlfn.CONCAT(B8760,A8767)</f>
        <v>4F22F4-F</v>
      </c>
      <c r="C8767" s="17"/>
      <c r="D8767" s="184"/>
      <c r="E8767" s="197"/>
      <c r="F8767" s="19"/>
      <c r="G8767" s="20"/>
    </row>
    <row r="8768" spans="1:8">
      <c r="A8768" s="211" t="s">
        <v>490</v>
      </c>
      <c r="B8768" s="216" t="str">
        <f ca="1">_xlfn.CONCAT(B8760,A8768)</f>
        <v>4F22F4-G</v>
      </c>
      <c r="C8768" s="17"/>
      <c r="D8768" s="184"/>
      <c r="E8768" s="197"/>
      <c r="F8768" s="19"/>
      <c r="G8768" s="20"/>
    </row>
    <row r="8769" spans="1:7">
      <c r="A8769" s="211" t="s">
        <v>491</v>
      </c>
      <c r="B8769" s="216" t="str">
        <f ca="1">_xlfn.CONCAT(B8760,A8769)</f>
        <v>4F22F4-H</v>
      </c>
      <c r="C8769" s="17"/>
      <c r="D8769" s="184"/>
      <c r="E8769" s="197"/>
      <c r="F8769" s="19"/>
      <c r="G8769" s="20"/>
    </row>
    <row r="8770" spans="1:7">
      <c r="A8770" s="211" t="s">
        <v>492</v>
      </c>
      <c r="B8770" s="216" t="str">
        <f ca="1">_xlfn.CONCAT(B8760,A8770)</f>
        <v>4F22F4-I</v>
      </c>
      <c r="C8770" s="17"/>
      <c r="D8770" s="184"/>
      <c r="E8770" s="197"/>
      <c r="F8770" s="19"/>
      <c r="G8770" s="20"/>
    </row>
    <row r="8771" spans="1:7">
      <c r="A8771" s="211" t="s">
        <v>493</v>
      </c>
      <c r="B8771" s="216" t="str">
        <f ca="1">_xlfn.CONCAT(B8760,A8771)</f>
        <v>4F22F4-J</v>
      </c>
      <c r="C8771" s="17"/>
      <c r="D8771" s="184"/>
      <c r="E8771" s="197"/>
      <c r="F8771" s="19"/>
      <c r="G8771" s="20"/>
    </row>
    <row r="8772" spans="1:7">
      <c r="A8772" s="211" t="s">
        <v>494</v>
      </c>
      <c r="B8772" s="216" t="str">
        <f ca="1">_xlfn.CONCAT(B8760,A8772)</f>
        <v>4F22F4-K</v>
      </c>
      <c r="C8772" s="17"/>
      <c r="D8772" s="184"/>
      <c r="E8772" s="197"/>
      <c r="F8772" s="19"/>
      <c r="G8772" s="20"/>
    </row>
    <row r="8773" spans="1:7">
      <c r="A8773" s="211" t="s">
        <v>495</v>
      </c>
      <c r="B8773" s="216" t="str">
        <f ca="1">_xlfn.CONCAT(B8760,A8773)</f>
        <v>4F22F4-L</v>
      </c>
      <c r="C8773" s="17"/>
      <c r="D8773" s="184"/>
      <c r="E8773" s="197"/>
      <c r="F8773" s="19"/>
      <c r="G8773" s="20"/>
    </row>
    <row r="8774" spans="1:7">
      <c r="A8774" s="211" t="s">
        <v>496</v>
      </c>
      <c r="B8774" s="216" t="str">
        <f ca="1">_xlfn.CONCAT(B8760,A8774)</f>
        <v>4F22F4-M</v>
      </c>
      <c r="C8774" s="17"/>
      <c r="D8774" s="184"/>
      <c r="E8774" s="197"/>
      <c r="F8774" s="19"/>
      <c r="G8774" s="20"/>
    </row>
    <row r="8775" spans="1:7">
      <c r="A8775" s="211" t="s">
        <v>497</v>
      </c>
      <c r="B8775" s="216" t="str">
        <f ca="1">_xlfn.CONCAT(B8760,A8775)</f>
        <v>4F22F4-N</v>
      </c>
      <c r="C8775" s="17"/>
      <c r="D8775" s="184"/>
      <c r="E8775" s="197"/>
      <c r="F8775" s="19"/>
      <c r="G8775" s="20"/>
    </row>
    <row r="8776" spans="1:7">
      <c r="A8776" s="211" t="s">
        <v>498</v>
      </c>
      <c r="B8776" s="216" t="str">
        <f ca="1">_xlfn.CONCAT(B8760,A8776)</f>
        <v>4F22F4-O</v>
      </c>
      <c r="C8776" s="17"/>
      <c r="D8776" s="184"/>
      <c r="E8776" s="197"/>
      <c r="F8776" s="19"/>
      <c r="G8776" s="20"/>
    </row>
    <row r="8777" spans="1:7">
      <c r="A8777" s="211" t="s">
        <v>499</v>
      </c>
      <c r="B8777" s="216" t="str">
        <f ca="1">_xlfn.CONCAT(B8760,A8777)</f>
        <v>4F22F4-P</v>
      </c>
      <c r="C8777" s="17"/>
      <c r="D8777" s="184"/>
      <c r="E8777" s="197"/>
      <c r="F8777" s="19"/>
      <c r="G8777" s="20"/>
    </row>
    <row r="8778" spans="1:7">
      <c r="A8778" s="211" t="s">
        <v>500</v>
      </c>
      <c r="B8778" s="216" t="str">
        <f ca="1">_xlfn.CONCAT(B8760,A8778)</f>
        <v>4F22F4-Q</v>
      </c>
      <c r="C8778" s="17"/>
      <c r="D8778" s="184"/>
      <c r="E8778" s="197"/>
      <c r="F8778" s="19"/>
      <c r="G8778" s="20"/>
    </row>
    <row r="8779" spans="1:7">
      <c r="A8779" s="211" t="s">
        <v>501</v>
      </c>
      <c r="B8779" s="216" t="str">
        <f ca="1">_xlfn.CONCAT(B8760,A8779)</f>
        <v>4F22F4-R</v>
      </c>
      <c r="C8779" s="17"/>
      <c r="D8779" s="184"/>
      <c r="E8779" s="197"/>
      <c r="F8779" s="19"/>
      <c r="G8779" s="20"/>
    </row>
    <row r="8780" spans="1:7">
      <c r="A8780" s="211" t="s">
        <v>502</v>
      </c>
      <c r="B8780" s="216" t="str">
        <f ca="1">_xlfn.CONCAT(B8760,A8780)</f>
        <v>4F22F4-S</v>
      </c>
      <c r="C8780" s="17"/>
      <c r="D8780" s="184"/>
      <c r="E8780" s="197"/>
      <c r="F8780" s="19"/>
      <c r="G8780" s="20"/>
    </row>
    <row r="8781" spans="1:7">
      <c r="A8781" s="211" t="s">
        <v>503</v>
      </c>
      <c r="B8781" s="216" t="str">
        <f ca="1">_xlfn.CONCAT(B8760,A8781)</f>
        <v>4F22F4-T</v>
      </c>
      <c r="C8781" s="17"/>
      <c r="D8781" s="184"/>
      <c r="E8781" s="197"/>
      <c r="F8781" s="19"/>
      <c r="G8781" s="20"/>
    </row>
    <row r="8782" spans="1:7" ht="14.25" thickBot="1">
      <c r="A8782" s="211" t="s">
        <v>504</v>
      </c>
      <c r="B8782" s="216" t="str">
        <f ca="1">_xlfn.CONCAT(B8760,A8782)</f>
        <v>4F22F4-U</v>
      </c>
      <c r="C8782" s="17"/>
      <c r="D8782" s="184"/>
      <c r="E8782" s="197"/>
      <c r="F8782" s="19"/>
      <c r="G8782" s="20"/>
    </row>
    <row r="8783" spans="1:7" ht="14.25" thickBot="1">
      <c r="A8783" s="211" t="s">
        <v>505</v>
      </c>
      <c r="B8783" s="216" t="str">
        <f ca="1">_xlfn.CONCAT(B8760,A8783)</f>
        <v>4F22F4-V</v>
      </c>
      <c r="C8783" s="17" t="s">
        <v>17</v>
      </c>
      <c r="D8783" s="192" t="s">
        <v>17</v>
      </c>
      <c r="E8783" s="18"/>
      <c r="F8783" s="22" t="s">
        <v>18</v>
      </c>
      <c r="G8783" s="23">
        <f>SUM(G8762:G8782)</f>
        <v>77687.3</v>
      </c>
    </row>
    <row r="8784" spans="1:7" ht="15.75" thickBot="1">
      <c r="A8784" s="211" t="s">
        <v>506</v>
      </c>
      <c r="B8784" s="216" t="str">
        <f ca="1">_xlfn.CONCAT(B8760,A8784)</f>
        <v>4F22F4-W</v>
      </c>
      <c r="C8784" s="10" t="s">
        <v>19</v>
      </c>
      <c r="D8784" s="190"/>
      <c r="E8784" s="11"/>
      <c r="F8784" s="12"/>
      <c r="G8784" s="13"/>
    </row>
    <row r="8785" spans="1:9" ht="14.25" thickBot="1">
      <c r="A8785" s="211" t="s">
        <v>507</v>
      </c>
      <c r="B8785" s="216" t="str">
        <f ca="1">_xlfn.CONCAT(B8760,A8785)</f>
        <v>4F22F4-X</v>
      </c>
      <c r="C8785" s="14" t="s">
        <v>1</v>
      </c>
      <c r="D8785" s="15"/>
      <c r="E8785" s="15" t="s">
        <v>20</v>
      </c>
      <c r="F8785" s="16" t="s">
        <v>21</v>
      </c>
      <c r="G8785" s="15" t="s">
        <v>5</v>
      </c>
      <c r="H8785" s="215"/>
    </row>
    <row r="8786" spans="1:9">
      <c r="A8786" s="211" t="s">
        <v>508</v>
      </c>
      <c r="B8786" s="216" t="str">
        <f ca="1">_xlfn.CONCAT(B8760,A8786)</f>
        <v>4F22F4-Y</v>
      </c>
      <c r="C8786" s="24" t="s">
        <v>22</v>
      </c>
      <c r="D8786" s="184"/>
      <c r="E8786" s="25">
        <f>_xlfn.XLOOKUP(C8786,'H-MO'!B$7:B$30,'H-MO'!D$7:D$30,,0,1)</f>
        <v>2436.5624999999995</v>
      </c>
      <c r="F8786" s="19">
        <v>1</v>
      </c>
      <c r="G8786" s="33">
        <f t="shared" ref="G8786:G8791" si="251">+E8786*F8786</f>
        <v>2436.5624999999995</v>
      </c>
      <c r="H8786" s="229">
        <f>0.25*0.13</f>
        <v>3.2500000000000001E-2</v>
      </c>
      <c r="I8786" s="240">
        <f>+G8783*H8786</f>
        <v>2524.83725</v>
      </c>
    </row>
    <row r="8787" spans="1:9">
      <c r="A8787" s="211" t="s">
        <v>509</v>
      </c>
      <c r="B8787" s="216" t="str">
        <f ca="1">_xlfn.CONCAT(B8760,A8787)</f>
        <v>4F22F4-Z</v>
      </c>
      <c r="C8787" s="24" t="s">
        <v>23</v>
      </c>
      <c r="D8787" s="184"/>
      <c r="E8787" s="25">
        <f>_xlfn.XLOOKUP(C8787,'H-MO'!B$7:B$30,'H-MO'!D$7:D$30,,0,1)</f>
        <v>1461.9374999999998</v>
      </c>
      <c r="F8787" s="19">
        <v>1.7</v>
      </c>
      <c r="G8787" s="33">
        <f t="shared" si="251"/>
        <v>2485.2937499999994</v>
      </c>
      <c r="H8787" s="229">
        <v>0.03</v>
      </c>
    </row>
    <row r="8788" spans="1:9">
      <c r="A8788" s="211" t="s">
        <v>510</v>
      </c>
      <c r="B8788" s="216" t="str">
        <f ca="1">_xlfn.CONCAT(B8760,A8788)</f>
        <v>4F22F4-aa</v>
      </c>
      <c r="C8788" s="24" t="s">
        <v>24</v>
      </c>
      <c r="D8788" s="185"/>
      <c r="E8788" s="25">
        <f>_xlfn.XLOOKUP(C8788,'H-MO'!B$7:B$30,'H-MO'!D$7:D$30,,0,1)</f>
        <v>29238.749999999996</v>
      </c>
      <c r="F8788" s="28">
        <v>0.32</v>
      </c>
      <c r="G8788" s="33">
        <f t="shared" si="251"/>
        <v>9356.4</v>
      </c>
      <c r="H8788" s="229">
        <v>0.125</v>
      </c>
      <c r="I8788" s="239">
        <f>+H8788*G8783</f>
        <v>9710.9125000000004</v>
      </c>
    </row>
    <row r="8789" spans="1:9">
      <c r="A8789" s="211" t="s">
        <v>511</v>
      </c>
      <c r="B8789" s="216" t="str">
        <f ca="1">_xlfn.CONCAT(B8760,A8789)</f>
        <v>4F22F4-ab</v>
      </c>
      <c r="C8789" s="24" t="s">
        <v>25</v>
      </c>
      <c r="D8789" s="185"/>
      <c r="E8789" s="25">
        <f>_xlfn.XLOOKUP(C8789,'H-MO'!B$7:B$30,'H-MO'!D$7:D$30,,0,1)</f>
        <v>2761.4374999999995</v>
      </c>
      <c r="F8789" s="28">
        <v>0.7</v>
      </c>
      <c r="G8789" s="33">
        <f t="shared" si="251"/>
        <v>1933.0062499999995</v>
      </c>
      <c r="H8789" s="229">
        <v>2.5000000000000001E-2</v>
      </c>
      <c r="I8789" s="239">
        <f>+H8789*G8783</f>
        <v>1942.1825000000001</v>
      </c>
    </row>
    <row r="8790" spans="1:9">
      <c r="A8790" s="211" t="s">
        <v>512</v>
      </c>
      <c r="B8790" s="216" t="str">
        <f ca="1">_xlfn.CONCAT(B8760,A8790)</f>
        <v>4F22F4-ac</v>
      </c>
      <c r="C8790" s="24"/>
      <c r="D8790" s="185"/>
      <c r="E8790" s="29"/>
      <c r="F8790" s="28">
        <v>0</v>
      </c>
      <c r="G8790" s="33">
        <f t="shared" si="251"/>
        <v>0</v>
      </c>
    </row>
    <row r="8791" spans="1:9" ht="14.25" thickBot="1">
      <c r="A8791" s="211" t="s">
        <v>513</v>
      </c>
      <c r="B8791" s="216" t="str">
        <f ca="1">_xlfn.CONCAT(B8760,A8791)</f>
        <v>4F22F4-ad</v>
      </c>
      <c r="C8791" s="24"/>
      <c r="D8791" s="185"/>
      <c r="E8791" s="29"/>
      <c r="F8791" s="28">
        <v>0</v>
      </c>
      <c r="G8791" s="33">
        <f t="shared" si="251"/>
        <v>0</v>
      </c>
    </row>
    <row r="8792" spans="1:9" ht="14.25" thickBot="1">
      <c r="A8792" s="211" t="s">
        <v>514</v>
      </c>
      <c r="B8792" s="216" t="str">
        <f ca="1">_xlfn.CONCAT(B8760,A8792)</f>
        <v>4F22F4-ae</v>
      </c>
      <c r="C8792" s="17"/>
      <c r="D8792" s="192"/>
      <c r="E8792" s="18"/>
      <c r="F8792" s="22" t="s">
        <v>26</v>
      </c>
      <c r="G8792" s="23">
        <f>SUM(G8786:G8791)</f>
        <v>16211.262499999997</v>
      </c>
      <c r="H8792" s="211">
        <v>0.25</v>
      </c>
    </row>
    <row r="8793" spans="1:9" ht="15.75" thickBot="1">
      <c r="A8793" s="211" t="s">
        <v>515</v>
      </c>
      <c r="B8793" s="216" t="str">
        <f ca="1">_xlfn.CONCAT(B8760,A8793)</f>
        <v>4F22F4-af</v>
      </c>
      <c r="C8793" s="10" t="s">
        <v>27</v>
      </c>
      <c r="D8793" s="190"/>
      <c r="E8793" s="11"/>
      <c r="F8793" s="12"/>
      <c r="G8793" s="13"/>
    </row>
    <row r="8794" spans="1:9" ht="14.25" thickBot="1">
      <c r="A8794" s="211" t="s">
        <v>516</v>
      </c>
      <c r="B8794" s="216" t="str">
        <f ca="1">_xlfn.CONCAT(B8760,A8794)</f>
        <v>4F22F4-ag</v>
      </c>
      <c r="C8794" s="14" t="s">
        <v>1</v>
      </c>
      <c r="D8794" s="15" t="s">
        <v>28</v>
      </c>
      <c r="E8794" s="15" t="s">
        <v>20</v>
      </c>
      <c r="F8794" s="16" t="s">
        <v>21</v>
      </c>
      <c r="G8794" s="15" t="s">
        <v>5</v>
      </c>
      <c r="H8794" s="215"/>
    </row>
    <row r="8795" spans="1:9">
      <c r="A8795" s="211" t="s">
        <v>517</v>
      </c>
      <c r="B8795" s="216" t="str">
        <f ca="1">_xlfn.CONCAT(B8760,A8795)</f>
        <v>4F22F4-ah</v>
      </c>
      <c r="C8795" s="30" t="s">
        <v>29</v>
      </c>
      <c r="D8795" s="186">
        <f>'H-MO'!$N$77</f>
        <v>725918.52892505517</v>
      </c>
      <c r="E8795" s="31">
        <f>+D8795/8</f>
        <v>90739.816115631897</v>
      </c>
      <c r="F8795" s="32">
        <v>9.5000000000000001E-2</v>
      </c>
      <c r="G8795" s="33">
        <f>+E8795*F8795</f>
        <v>8620.2825309850305</v>
      </c>
      <c r="H8795" s="229">
        <v>0.11184496008336237</v>
      </c>
      <c r="I8795" s="239">
        <f>+H8795*G8783</f>
        <v>8688.9329674841974</v>
      </c>
    </row>
    <row r="8796" spans="1:9">
      <c r="A8796" s="211" t="s">
        <v>518</v>
      </c>
      <c r="B8796" s="216" t="str">
        <f ca="1">_xlfn.CONCAT(B8760,A8796)</f>
        <v>4F22F4-ai</v>
      </c>
      <c r="C8796" s="34" t="s">
        <v>30</v>
      </c>
      <c r="D8796" s="187">
        <f>'H-MO'!$N$86</f>
        <v>685561.39085756091</v>
      </c>
      <c r="E8796" s="29">
        <f>+D8796/8</f>
        <v>85695.173857195114</v>
      </c>
      <c r="F8796" s="28">
        <v>0.2</v>
      </c>
      <c r="G8796" s="33">
        <f>+E8796*F8796</f>
        <v>17139.034771439023</v>
      </c>
      <c r="H8796" s="229">
        <v>0.21125397228446965</v>
      </c>
      <c r="I8796" s="239">
        <f>+H8796*G8783</f>
        <v>16411.750721055279</v>
      </c>
    </row>
    <row r="8797" spans="1:9" ht="14.25" thickBot="1">
      <c r="A8797" s="211" t="s">
        <v>519</v>
      </c>
      <c r="B8797" s="216" t="str">
        <f ca="1">_xlfn.CONCAT(B8760,A8797)</f>
        <v>4F22F4-aj</v>
      </c>
      <c r="C8797" s="34"/>
      <c r="D8797" s="187"/>
      <c r="E8797" s="29"/>
      <c r="F8797" s="28">
        <v>0</v>
      </c>
      <c r="G8797" s="33">
        <f>+E8797*F8797</f>
        <v>0</v>
      </c>
    </row>
    <row r="8798" spans="1:9" ht="14.25" thickBot="1">
      <c r="A8798" s="211" t="s">
        <v>520</v>
      </c>
      <c r="B8798" s="216" t="str">
        <f ca="1">_xlfn.CONCAT(B8760,A8798)</f>
        <v>4F22F4-ak</v>
      </c>
      <c r="C8798" s="34"/>
      <c r="D8798" s="185"/>
      <c r="E8798" s="26"/>
      <c r="F8798" s="36" t="s">
        <v>31</v>
      </c>
      <c r="G8798" s="23">
        <f>SUM(G8795:G8797)</f>
        <v>25759.317302424053</v>
      </c>
    </row>
    <row r="8799" spans="1:9" ht="14.25" thickBot="1">
      <c r="A8799" s="211" t="s">
        <v>521</v>
      </c>
      <c r="B8799" s="216" t="str">
        <f ca="1">_xlfn.CONCAT(B8760,A8799)</f>
        <v>4F22F4-al</v>
      </c>
      <c r="C8799" s="37"/>
      <c r="E8799" s="38"/>
      <c r="F8799" s="22"/>
      <c r="G8799" s="39"/>
    </row>
    <row r="8800" spans="1:9" ht="16.5" thickBot="1">
      <c r="A8800" s="211" t="s">
        <v>522</v>
      </c>
      <c r="B8800" s="216" t="str">
        <f ca="1">_xlfn.CONCAT(B8760,A8800)</f>
        <v>4F22F4-am</v>
      </c>
      <c r="C8800" s="40"/>
      <c r="D8800" s="193"/>
      <c r="E8800" s="41"/>
      <c r="F8800" s="42"/>
      <c r="G8800" s="43">
        <f>+G8783+G8792+G8798</f>
        <v>119657.87980242405</v>
      </c>
    </row>
    <row r="8801" spans="1:8" ht="21.75" thickBot="1">
      <c r="B8801" s="212" t="s">
        <v>550</v>
      </c>
      <c r="C8801" s="2"/>
      <c r="D8801" s="183"/>
      <c r="F8801" s="4"/>
      <c r="G8801" s="5"/>
    </row>
    <row r="8802" spans="1:8" ht="18.75">
      <c r="A8802" s="213"/>
      <c r="B8802" s="214">
        <v>200</v>
      </c>
      <c r="C8802" s="242" t="str">
        <f ca="1">_xlfn.XLOOKUP(B8802,Cantidades!$A$10:$A$314,Cantidades!$C$10:$C$314,,0,1)</f>
        <v>Suministro e instalación de ductos  4Ø2"+5Ø4" PVC</v>
      </c>
      <c r="D8802" s="243"/>
      <c r="E8802" s="243"/>
      <c r="F8802" s="243"/>
      <c r="G8802" s="244"/>
      <c r="H8802" s="213"/>
    </row>
    <row r="8803" spans="1:8" ht="19.5" thickBot="1">
      <c r="A8803" s="215"/>
      <c r="B8803" s="216" t="s">
        <v>550</v>
      </c>
      <c r="C8803" s="177"/>
      <c r="D8803" s="189"/>
      <c r="E8803" s="178"/>
      <c r="F8803" s="179" t="s">
        <v>636</v>
      </c>
      <c r="G8803" s="209" t="str">
        <f ca="1">B8804</f>
        <v>4F25F4-</v>
      </c>
      <c r="H8803" s="215"/>
    </row>
    <row r="8804" spans="1:8" ht="15.75" thickBot="1">
      <c r="B8804" s="212" t="str">
        <f ca="1">_xlfn.XLOOKUP(C8802,Cantidades!$C$1:$C$314,Cantidades!$B$1:$B$314,"",0,1)</f>
        <v>4F25F4-</v>
      </c>
      <c r="C8804" s="10" t="s">
        <v>0</v>
      </c>
      <c r="D8804" s="190"/>
      <c r="E8804" s="11"/>
      <c r="F8804" s="12"/>
      <c r="G8804" s="13"/>
    </row>
    <row r="8805" spans="1:8" ht="14.25" thickBot="1">
      <c r="A8805" s="215"/>
      <c r="B8805" s="216" t="s">
        <v>550</v>
      </c>
      <c r="C8805" s="14" t="s">
        <v>1</v>
      </c>
      <c r="D8805" s="15" t="s">
        <v>2</v>
      </c>
      <c r="E8805" s="15" t="s">
        <v>3</v>
      </c>
      <c r="F8805" s="16" t="s">
        <v>4</v>
      </c>
      <c r="G8805" s="15" t="s">
        <v>5</v>
      </c>
    </row>
    <row r="8806" spans="1:8">
      <c r="A8806" s="211" t="s">
        <v>484</v>
      </c>
      <c r="B8806" s="216" t="str">
        <f ca="1">_xlfn.CONCAT(B8804,A8806)</f>
        <v>4F25F4-A</v>
      </c>
      <c r="C8806" s="17" t="str">
        <f>_xlfn.XLOOKUP(H8806,'Materiales unitario'!$A$1:$A$2500,'Materiales unitario'!B$1:B$2500,,0,1)</f>
        <v>Ducto telef. Y Electric. pesado TDP ø2" PVC</v>
      </c>
      <c r="D8806" s="184" t="str">
        <f>_xlfn.XLOOKUP(H8806,'Materiales unitario'!A$1:A$2500,'Materiales unitario'!C$1:C$2500,,0,1)</f>
        <v>ml</v>
      </c>
      <c r="E8806" s="197">
        <f>_xlfn.XLOOKUP(H8806,'Materiales unitario'!$A$1:$A$2500,'Materiales unitario'!D$1:D$2500,,0,1)</f>
        <v>6520</v>
      </c>
      <c r="F8806" s="19">
        <v>4.2</v>
      </c>
      <c r="G8806" s="20">
        <f>+E8806*F8806</f>
        <v>27384</v>
      </c>
      <c r="H8806" s="211" t="s">
        <v>1196</v>
      </c>
    </row>
    <row r="8807" spans="1:8">
      <c r="A8807" s="211" t="s">
        <v>485</v>
      </c>
      <c r="B8807" s="216" t="str">
        <f ca="1">_xlfn.CONCAT(B8804,A8807)</f>
        <v>4F25F4-B</v>
      </c>
      <c r="C8807" s="17" t="str">
        <f>_xlfn.XLOOKUP(H8807,'Materiales unitario'!$A$1:$A$2500,'Materiales unitario'!B$1:B$2500,,0,1)</f>
        <v>Campana terminal ducto ø2" PVC</v>
      </c>
      <c r="D8807" s="184" t="str">
        <f>_xlfn.XLOOKUP(H8807,'Materiales unitario'!A$1:A$2500,'Materiales unitario'!C$1:C$2500,,0,1)</f>
        <v>un</v>
      </c>
      <c r="E8807" s="197">
        <f>_xlfn.XLOOKUP(H8807,'Materiales unitario'!$A$1:$A$2500,'Materiales unitario'!D$1:D$2500,,0,1)</f>
        <v>4046</v>
      </c>
      <c r="F8807" s="19">
        <v>1</v>
      </c>
      <c r="G8807" s="20">
        <f>+E8807*F8807</f>
        <v>4046</v>
      </c>
      <c r="H8807" s="211" t="s">
        <v>286</v>
      </c>
    </row>
    <row r="8808" spans="1:8">
      <c r="A8808" s="211" t="s">
        <v>486</v>
      </c>
      <c r="B8808" s="216" t="str">
        <f ca="1">_xlfn.CONCAT(B8804,A8808)</f>
        <v>4F25F4-C</v>
      </c>
      <c r="C8808" s="17" t="str">
        <f>_xlfn.XLOOKUP(H8808,'Materiales unitario'!$A$1:$A$2500,'Materiales unitario'!B$1:B$2500,,0,1)</f>
        <v>Soldadura liquida PVC 1/4 de galón</v>
      </c>
      <c r="D8808" s="184" t="str">
        <f>_xlfn.XLOOKUP(H8808,'Materiales unitario'!A$1:A$2500,'Materiales unitario'!C$1:C$2500,,0,1)</f>
        <v>un</v>
      </c>
      <c r="E8808" s="197">
        <f>_xlfn.XLOOKUP(H8808,'Materiales unitario'!$A$1:$A$2500,'Materiales unitario'!D$1:D$2500,,0,1)</f>
        <v>60900</v>
      </c>
      <c r="F8808" s="19">
        <v>0.15</v>
      </c>
      <c r="G8808" s="20">
        <f>+E8808*F8808</f>
        <v>9135</v>
      </c>
      <c r="H8808" s="211" t="s">
        <v>530</v>
      </c>
    </row>
    <row r="8809" spans="1:8">
      <c r="A8809" s="211" t="s">
        <v>487</v>
      </c>
      <c r="B8809" s="216" t="str">
        <f ca="1">_xlfn.CONCAT(B8804,A8809)</f>
        <v>4F25F4-D</v>
      </c>
      <c r="C8809" s="17" t="str">
        <f>_xlfn.XLOOKUP(H8809,'Materiales unitario'!$A$1:$A$2500,'Materiales unitario'!B$1:B$2500,,0,1)</f>
        <v>Ducto telef. Y Electric. Corrugado TDP ø4" PVC</v>
      </c>
      <c r="D8809" s="184" t="str">
        <f>_xlfn.XLOOKUP(H8809,'Materiales unitario'!A$1:A$2500,'Materiales unitario'!C$1:C$2500,,0,1)</f>
        <v>ml</v>
      </c>
      <c r="E8809" s="197">
        <f>_xlfn.XLOOKUP(H8809,'Materiales unitario'!$A$1:$A$2500,'Materiales unitario'!D$1:D$2500,,0,1)</f>
        <v>15680</v>
      </c>
      <c r="F8809" s="19">
        <v>5.25</v>
      </c>
      <c r="G8809" s="20">
        <f>+E8809*F8809</f>
        <v>82320</v>
      </c>
      <c r="H8809" s="211" t="s">
        <v>316</v>
      </c>
    </row>
    <row r="8810" spans="1:8">
      <c r="A8810" s="211" t="s">
        <v>488</v>
      </c>
      <c r="B8810" s="216" t="str">
        <f ca="1">_xlfn.CONCAT(B8804,A8810)</f>
        <v>4F25F4-E</v>
      </c>
      <c r="C8810" s="17" t="str">
        <f>_xlfn.XLOOKUP(H8810,'Materiales unitario'!$A$1:$A$2500,'Materiales unitario'!B$1:B$2500,,0,1)</f>
        <v>Campana terminal ducto ø4" PVC</v>
      </c>
      <c r="D8810" s="184" t="str">
        <f>_xlfn.XLOOKUP(H8810,'Materiales unitario'!A$1:A$2500,'Materiales unitario'!C$1:C$2500,,0,1)</f>
        <v>un</v>
      </c>
      <c r="E8810" s="197">
        <f>_xlfn.XLOOKUP(H8810,'Materiales unitario'!$A$1:$A$2500,'Materiales unitario'!D$1:D$2500,,0,1)</f>
        <v>8388.6</v>
      </c>
      <c r="F8810" s="19">
        <v>1.25</v>
      </c>
      <c r="G8810" s="20">
        <f>+E8810*F8810</f>
        <v>10485.75</v>
      </c>
      <c r="H8810" s="211" t="s">
        <v>287</v>
      </c>
    </row>
    <row r="8811" spans="1:8">
      <c r="A8811" s="211" t="s">
        <v>489</v>
      </c>
      <c r="B8811" s="216" t="str">
        <f ca="1">_xlfn.CONCAT(B8804,A8811)</f>
        <v>4F25F4-F</v>
      </c>
      <c r="C8811" s="17"/>
      <c r="D8811" s="184"/>
      <c r="E8811" s="197"/>
      <c r="F8811" s="19"/>
      <c r="G8811" s="20"/>
    </row>
    <row r="8812" spans="1:8">
      <c r="A8812" s="211" t="s">
        <v>490</v>
      </c>
      <c r="B8812" s="216" t="str">
        <f ca="1">_xlfn.CONCAT(B8804,A8812)</f>
        <v>4F25F4-G</v>
      </c>
      <c r="C8812" s="17"/>
      <c r="D8812" s="184"/>
      <c r="E8812" s="197"/>
      <c r="F8812" s="19"/>
      <c r="G8812" s="20"/>
    </row>
    <row r="8813" spans="1:8">
      <c r="A8813" s="211" t="s">
        <v>491</v>
      </c>
      <c r="B8813" s="216" t="str">
        <f ca="1">_xlfn.CONCAT(B8804,A8813)</f>
        <v>4F25F4-H</v>
      </c>
      <c r="C8813" s="17"/>
      <c r="D8813" s="184"/>
      <c r="E8813" s="197"/>
      <c r="F8813" s="19"/>
      <c r="G8813" s="20"/>
    </row>
    <row r="8814" spans="1:8">
      <c r="A8814" s="211" t="s">
        <v>492</v>
      </c>
      <c r="B8814" s="216" t="str">
        <f ca="1">_xlfn.CONCAT(B8804,A8814)</f>
        <v>4F25F4-I</v>
      </c>
      <c r="C8814" s="17"/>
      <c r="D8814" s="184"/>
      <c r="E8814" s="197"/>
      <c r="F8814" s="19"/>
      <c r="G8814" s="20"/>
    </row>
    <row r="8815" spans="1:8">
      <c r="A8815" s="211" t="s">
        <v>493</v>
      </c>
      <c r="B8815" s="216" t="str">
        <f ca="1">_xlfn.CONCAT(B8804,A8815)</f>
        <v>4F25F4-J</v>
      </c>
      <c r="C8815" s="17"/>
      <c r="D8815" s="184"/>
      <c r="E8815" s="197"/>
      <c r="F8815" s="19"/>
      <c r="G8815" s="20"/>
    </row>
    <row r="8816" spans="1:8">
      <c r="A8816" s="211" t="s">
        <v>494</v>
      </c>
      <c r="B8816" s="216" t="str">
        <f ca="1">_xlfn.CONCAT(B8804,A8816)</f>
        <v>4F25F4-K</v>
      </c>
      <c r="C8816" s="17"/>
      <c r="D8816" s="184"/>
      <c r="E8816" s="197"/>
      <c r="F8816" s="19"/>
      <c r="G8816" s="20"/>
    </row>
    <row r="8817" spans="1:9">
      <c r="A8817" s="211" t="s">
        <v>495</v>
      </c>
      <c r="B8817" s="216" t="str">
        <f ca="1">_xlfn.CONCAT(B8804,A8817)</f>
        <v>4F25F4-L</v>
      </c>
      <c r="C8817" s="17"/>
      <c r="D8817" s="184"/>
      <c r="E8817" s="197"/>
      <c r="F8817" s="19"/>
      <c r="G8817" s="20"/>
    </row>
    <row r="8818" spans="1:9">
      <c r="A8818" s="211" t="s">
        <v>496</v>
      </c>
      <c r="B8818" s="216" t="str">
        <f ca="1">_xlfn.CONCAT(B8804,A8818)</f>
        <v>4F25F4-M</v>
      </c>
      <c r="C8818" s="17"/>
      <c r="D8818" s="184"/>
      <c r="E8818" s="197"/>
      <c r="F8818" s="19"/>
      <c r="G8818" s="20"/>
    </row>
    <row r="8819" spans="1:9">
      <c r="A8819" s="211" t="s">
        <v>497</v>
      </c>
      <c r="B8819" s="216" t="str">
        <f ca="1">_xlfn.CONCAT(B8804,A8819)</f>
        <v>4F25F4-N</v>
      </c>
      <c r="C8819" s="17"/>
      <c r="D8819" s="184"/>
      <c r="E8819" s="197"/>
      <c r="F8819" s="19"/>
      <c r="G8819" s="20"/>
    </row>
    <row r="8820" spans="1:9">
      <c r="A8820" s="211" t="s">
        <v>498</v>
      </c>
      <c r="B8820" s="216" t="str">
        <f ca="1">_xlfn.CONCAT(B8804,A8820)</f>
        <v>4F25F4-O</v>
      </c>
      <c r="C8820" s="17"/>
      <c r="D8820" s="184"/>
      <c r="E8820" s="197"/>
      <c r="F8820" s="19"/>
      <c r="G8820" s="20"/>
    </row>
    <row r="8821" spans="1:9">
      <c r="A8821" s="211" t="s">
        <v>499</v>
      </c>
      <c r="B8821" s="216" t="str">
        <f ca="1">_xlfn.CONCAT(B8804,A8821)</f>
        <v>4F25F4-P</v>
      </c>
      <c r="C8821" s="17"/>
      <c r="D8821" s="184"/>
      <c r="E8821" s="197"/>
      <c r="F8821" s="19"/>
      <c r="G8821" s="20"/>
    </row>
    <row r="8822" spans="1:9">
      <c r="A8822" s="211" t="s">
        <v>500</v>
      </c>
      <c r="B8822" s="216" t="str">
        <f ca="1">_xlfn.CONCAT(B8804,A8822)</f>
        <v>4F25F4-Q</v>
      </c>
      <c r="C8822" s="17"/>
      <c r="D8822" s="184"/>
      <c r="E8822" s="197"/>
      <c r="F8822" s="19"/>
      <c r="G8822" s="20"/>
    </row>
    <row r="8823" spans="1:9">
      <c r="A8823" s="211" t="s">
        <v>501</v>
      </c>
      <c r="B8823" s="216" t="str">
        <f ca="1">_xlfn.CONCAT(B8804,A8823)</f>
        <v>4F25F4-R</v>
      </c>
      <c r="C8823" s="17"/>
      <c r="D8823" s="184"/>
      <c r="E8823" s="197"/>
      <c r="F8823" s="19"/>
      <c r="G8823" s="20"/>
    </row>
    <row r="8824" spans="1:9">
      <c r="A8824" s="211" t="s">
        <v>502</v>
      </c>
      <c r="B8824" s="216" t="str">
        <f ca="1">_xlfn.CONCAT(B8804,A8824)</f>
        <v>4F25F4-S</v>
      </c>
      <c r="C8824" s="17"/>
      <c r="D8824" s="184"/>
      <c r="E8824" s="197"/>
      <c r="F8824" s="19"/>
      <c r="G8824" s="20"/>
    </row>
    <row r="8825" spans="1:9">
      <c r="A8825" s="211" t="s">
        <v>503</v>
      </c>
      <c r="B8825" s="216" t="str">
        <f ca="1">_xlfn.CONCAT(B8804,A8825)</f>
        <v>4F25F4-T</v>
      </c>
      <c r="C8825" s="17"/>
      <c r="D8825" s="184"/>
      <c r="E8825" s="197"/>
      <c r="F8825" s="19"/>
      <c r="G8825" s="20"/>
    </row>
    <row r="8826" spans="1:9" ht="14.25" thickBot="1">
      <c r="A8826" s="211" t="s">
        <v>504</v>
      </c>
      <c r="B8826" s="216" t="str">
        <f ca="1">_xlfn.CONCAT(B8804,A8826)</f>
        <v>4F25F4-U</v>
      </c>
      <c r="C8826" s="17"/>
      <c r="D8826" s="184"/>
      <c r="E8826" s="197"/>
      <c r="F8826" s="19"/>
      <c r="G8826" s="20"/>
    </row>
    <row r="8827" spans="1:9" ht="14.25" thickBot="1">
      <c r="A8827" s="211" t="s">
        <v>505</v>
      </c>
      <c r="B8827" s="216" t="str">
        <f ca="1">_xlfn.CONCAT(B8804,A8827)</f>
        <v>4F25F4-V</v>
      </c>
      <c r="C8827" s="17" t="s">
        <v>17</v>
      </c>
      <c r="D8827" s="192" t="s">
        <v>17</v>
      </c>
      <c r="E8827" s="18"/>
      <c r="F8827" s="22" t="s">
        <v>18</v>
      </c>
      <c r="G8827" s="23">
        <f>SUM(G8806:G8826)</f>
        <v>133370.75</v>
      </c>
    </row>
    <row r="8828" spans="1:9" ht="15.75" thickBot="1">
      <c r="A8828" s="211" t="s">
        <v>506</v>
      </c>
      <c r="B8828" s="216" t="str">
        <f ca="1">_xlfn.CONCAT(B8804,A8828)</f>
        <v>4F25F4-W</v>
      </c>
      <c r="C8828" s="10" t="s">
        <v>19</v>
      </c>
      <c r="D8828" s="190"/>
      <c r="E8828" s="11"/>
      <c r="F8828" s="12"/>
      <c r="G8828" s="13"/>
    </row>
    <row r="8829" spans="1:9" ht="14.25" thickBot="1">
      <c r="A8829" s="211" t="s">
        <v>507</v>
      </c>
      <c r="B8829" s="216" t="str">
        <f ca="1">_xlfn.CONCAT(B8804,A8829)</f>
        <v>4F25F4-X</v>
      </c>
      <c r="C8829" s="14" t="s">
        <v>1</v>
      </c>
      <c r="D8829" s="15"/>
      <c r="E8829" s="15" t="s">
        <v>20</v>
      </c>
      <c r="F8829" s="16" t="s">
        <v>21</v>
      </c>
      <c r="G8829" s="15" t="s">
        <v>5</v>
      </c>
      <c r="H8829" s="215"/>
    </row>
    <row r="8830" spans="1:9">
      <c r="A8830" s="211" t="s">
        <v>508</v>
      </c>
      <c r="B8830" s="216" t="str">
        <f ca="1">_xlfn.CONCAT(B8804,A8830)</f>
        <v>4F25F4-Y</v>
      </c>
      <c r="C8830" s="24" t="s">
        <v>22</v>
      </c>
      <c r="D8830" s="184"/>
      <c r="E8830" s="25">
        <f>_xlfn.XLOOKUP(C8830,'H-MO'!B$7:B$30,'H-MO'!D$7:D$30,,0,1)</f>
        <v>2436.5624999999995</v>
      </c>
      <c r="F8830" s="19">
        <v>1.8</v>
      </c>
      <c r="G8830" s="33">
        <f t="shared" ref="G8830:G8835" si="252">+E8830*F8830</f>
        <v>4385.8124999999991</v>
      </c>
      <c r="H8830" s="229">
        <f>0.25*0.13</f>
        <v>3.2500000000000001E-2</v>
      </c>
      <c r="I8830" s="240">
        <f>+G8827*H8830</f>
        <v>4334.5493750000005</v>
      </c>
    </row>
    <row r="8831" spans="1:9">
      <c r="A8831" s="211" t="s">
        <v>509</v>
      </c>
      <c r="B8831" s="216" t="str">
        <f ca="1">_xlfn.CONCAT(B8804,A8831)</f>
        <v>4F25F4-Z</v>
      </c>
      <c r="C8831" s="24" t="s">
        <v>23</v>
      </c>
      <c r="D8831" s="184"/>
      <c r="E8831" s="25">
        <f>_xlfn.XLOOKUP(C8831,'H-MO'!B$7:B$30,'H-MO'!D$7:D$30,,0,1)</f>
        <v>1461.9374999999998</v>
      </c>
      <c r="F8831" s="19">
        <v>3</v>
      </c>
      <c r="G8831" s="33">
        <f t="shared" si="252"/>
        <v>4385.8124999999991</v>
      </c>
      <c r="H8831" s="229">
        <v>0.03</v>
      </c>
    </row>
    <row r="8832" spans="1:9">
      <c r="A8832" s="211" t="s">
        <v>510</v>
      </c>
      <c r="B8832" s="216" t="str">
        <f ca="1">_xlfn.CONCAT(B8804,A8832)</f>
        <v>4F25F4-aa</v>
      </c>
      <c r="C8832" s="24" t="s">
        <v>24</v>
      </c>
      <c r="D8832" s="185"/>
      <c r="E8832" s="25">
        <f>_xlfn.XLOOKUP(C8832,'H-MO'!B$7:B$30,'H-MO'!D$7:D$30,,0,1)</f>
        <v>29238.749999999996</v>
      </c>
      <c r="F8832" s="28">
        <v>0.57999999999999996</v>
      </c>
      <c r="G8832" s="33">
        <f t="shared" si="252"/>
        <v>16958.474999999995</v>
      </c>
      <c r="H8832" s="229">
        <v>0.125</v>
      </c>
      <c r="I8832" s="239">
        <f>+H8832*G8827</f>
        <v>16671.34375</v>
      </c>
    </row>
    <row r="8833" spans="1:9">
      <c r="A8833" s="211" t="s">
        <v>511</v>
      </c>
      <c r="B8833" s="216" t="str">
        <f ca="1">_xlfn.CONCAT(B8804,A8833)</f>
        <v>4F25F4-ab</v>
      </c>
      <c r="C8833" s="24" t="s">
        <v>25</v>
      </c>
      <c r="D8833" s="185"/>
      <c r="E8833" s="25">
        <f>_xlfn.XLOOKUP(C8833,'H-MO'!B$7:B$30,'H-MO'!D$7:D$30,,0,1)</f>
        <v>2761.4374999999995</v>
      </c>
      <c r="F8833" s="28">
        <v>1.2</v>
      </c>
      <c r="G8833" s="33">
        <f t="shared" si="252"/>
        <v>3313.7249999999995</v>
      </c>
      <c r="H8833" s="229">
        <v>2.5000000000000001E-2</v>
      </c>
      <c r="I8833" s="239">
        <f>+H8833*G8827</f>
        <v>3334.2687500000002</v>
      </c>
    </row>
    <row r="8834" spans="1:9">
      <c r="A8834" s="211" t="s">
        <v>512</v>
      </c>
      <c r="B8834" s="216" t="str">
        <f ca="1">_xlfn.CONCAT(B8804,A8834)</f>
        <v>4F25F4-ac</v>
      </c>
      <c r="C8834" s="24"/>
      <c r="D8834" s="185"/>
      <c r="E8834" s="29"/>
      <c r="F8834" s="28">
        <v>0</v>
      </c>
      <c r="G8834" s="33">
        <f t="shared" si="252"/>
        <v>0</v>
      </c>
    </row>
    <row r="8835" spans="1:9" ht="14.25" thickBot="1">
      <c r="A8835" s="211" t="s">
        <v>513</v>
      </c>
      <c r="B8835" s="216" t="str">
        <f ca="1">_xlfn.CONCAT(B8804,A8835)</f>
        <v>4F25F4-ad</v>
      </c>
      <c r="C8835" s="24"/>
      <c r="D8835" s="185"/>
      <c r="E8835" s="29"/>
      <c r="F8835" s="28">
        <v>0</v>
      </c>
      <c r="G8835" s="33">
        <f t="shared" si="252"/>
        <v>0</v>
      </c>
    </row>
    <row r="8836" spans="1:9" ht="14.25" thickBot="1">
      <c r="A8836" s="211" t="s">
        <v>514</v>
      </c>
      <c r="B8836" s="216" t="str">
        <f ca="1">_xlfn.CONCAT(B8804,A8836)</f>
        <v>4F25F4-ae</v>
      </c>
      <c r="C8836" s="17"/>
      <c r="D8836" s="192"/>
      <c r="E8836" s="18"/>
      <c r="F8836" s="22" t="s">
        <v>26</v>
      </c>
      <c r="G8836" s="23">
        <f>SUM(G8830:G8835)</f>
        <v>29043.82499999999</v>
      </c>
      <c r="H8836" s="211">
        <v>0.25</v>
      </c>
    </row>
    <row r="8837" spans="1:9" ht="15.75" thickBot="1">
      <c r="A8837" s="211" t="s">
        <v>515</v>
      </c>
      <c r="B8837" s="216" t="str">
        <f ca="1">_xlfn.CONCAT(B8804,A8837)</f>
        <v>4F25F4-af</v>
      </c>
      <c r="C8837" s="10" t="s">
        <v>27</v>
      </c>
      <c r="D8837" s="190"/>
      <c r="E8837" s="11"/>
      <c r="F8837" s="12"/>
      <c r="G8837" s="13"/>
    </row>
    <row r="8838" spans="1:9" ht="14.25" thickBot="1">
      <c r="A8838" s="211" t="s">
        <v>516</v>
      </c>
      <c r="B8838" s="216" t="str">
        <f ca="1">_xlfn.CONCAT(B8804,A8838)</f>
        <v>4F25F4-ag</v>
      </c>
      <c r="C8838" s="14" t="s">
        <v>1</v>
      </c>
      <c r="D8838" s="15" t="s">
        <v>28</v>
      </c>
      <c r="E8838" s="15" t="s">
        <v>20</v>
      </c>
      <c r="F8838" s="16" t="s">
        <v>21</v>
      </c>
      <c r="G8838" s="15" t="s">
        <v>5</v>
      </c>
      <c r="H8838" s="215"/>
    </row>
    <row r="8839" spans="1:9">
      <c r="A8839" s="211" t="s">
        <v>517</v>
      </c>
      <c r="B8839" s="216" t="str">
        <f ca="1">_xlfn.CONCAT(B8804,A8839)</f>
        <v>4F25F4-ah</v>
      </c>
      <c r="C8839" s="30" t="s">
        <v>29</v>
      </c>
      <c r="D8839" s="186">
        <f>'H-MO'!$N$77</f>
        <v>725918.52892505517</v>
      </c>
      <c r="E8839" s="31">
        <f>+D8839/8</f>
        <v>90739.816115631897</v>
      </c>
      <c r="F8839" s="32">
        <v>0.16</v>
      </c>
      <c r="G8839" s="33">
        <f>+E8839*F8839</f>
        <v>14518.370578501104</v>
      </c>
      <c r="H8839" s="229">
        <v>0.11184496008336237</v>
      </c>
      <c r="I8839" s="239">
        <f>+H8839*G8827</f>
        <v>14916.846210038102</v>
      </c>
    </row>
    <row r="8840" spans="1:9">
      <c r="A8840" s="211" t="s">
        <v>518</v>
      </c>
      <c r="B8840" s="216" t="str">
        <f ca="1">_xlfn.CONCAT(B8804,A8840)</f>
        <v>4F25F4-ai</v>
      </c>
      <c r="C8840" s="34" t="s">
        <v>30</v>
      </c>
      <c r="D8840" s="187">
        <f>'H-MO'!$N$86</f>
        <v>685561.39085756091</v>
      </c>
      <c r="E8840" s="29">
        <f>+D8840/8</f>
        <v>85695.173857195114</v>
      </c>
      <c r="F8840" s="28">
        <v>0.33</v>
      </c>
      <c r="G8840" s="33">
        <f>+E8840*F8840</f>
        <v>28279.40737287439</v>
      </c>
      <c r="H8840" s="229">
        <v>0.21125397228446965</v>
      </c>
      <c r="I8840" s="239">
        <f>+H8840*G8827</f>
        <v>28175.100724058932</v>
      </c>
    </row>
    <row r="8841" spans="1:9" ht="14.25" thickBot="1">
      <c r="A8841" s="211" t="s">
        <v>519</v>
      </c>
      <c r="B8841" s="216" t="str">
        <f ca="1">_xlfn.CONCAT(B8804,A8841)</f>
        <v>4F25F4-aj</v>
      </c>
      <c r="C8841" s="34"/>
      <c r="D8841" s="187"/>
      <c r="E8841" s="29"/>
      <c r="F8841" s="28">
        <v>0</v>
      </c>
      <c r="G8841" s="33">
        <f>+E8841*F8841</f>
        <v>0</v>
      </c>
    </row>
    <row r="8842" spans="1:9" ht="14.25" thickBot="1">
      <c r="A8842" s="211" t="s">
        <v>520</v>
      </c>
      <c r="B8842" s="216" t="str">
        <f ca="1">_xlfn.CONCAT(B8804,A8842)</f>
        <v>4F25F4-ak</v>
      </c>
      <c r="C8842" s="34"/>
      <c r="D8842" s="185"/>
      <c r="E8842" s="26"/>
      <c r="F8842" s="36" t="s">
        <v>31</v>
      </c>
      <c r="G8842" s="23">
        <f>SUM(G8839:G8841)</f>
        <v>42797.777951375494</v>
      </c>
    </row>
    <row r="8843" spans="1:9" ht="14.25" thickBot="1">
      <c r="A8843" s="211" t="s">
        <v>521</v>
      </c>
      <c r="B8843" s="216" t="str">
        <f ca="1">_xlfn.CONCAT(B8804,A8843)</f>
        <v>4F25F4-al</v>
      </c>
      <c r="C8843" s="37"/>
      <c r="E8843" s="38"/>
      <c r="F8843" s="22"/>
      <c r="G8843" s="39"/>
    </row>
    <row r="8844" spans="1:9" ht="16.5" thickBot="1">
      <c r="A8844" s="211" t="s">
        <v>522</v>
      </c>
      <c r="B8844" s="216" t="str">
        <f ca="1">_xlfn.CONCAT(B8804,A8844)</f>
        <v>4F25F4-am</v>
      </c>
      <c r="C8844" s="40"/>
      <c r="D8844" s="193"/>
      <c r="E8844" s="41"/>
      <c r="F8844" s="42"/>
      <c r="G8844" s="43">
        <f>+G8827+G8836+G8842</f>
        <v>205212.35295137548</v>
      </c>
    </row>
    <row r="8845" spans="1:9" ht="21.75" thickBot="1">
      <c r="B8845" s="212" t="s">
        <v>550</v>
      </c>
      <c r="C8845" s="2"/>
      <c r="D8845" s="183"/>
      <c r="F8845" s="4"/>
      <c r="G8845" s="5"/>
    </row>
    <row r="8846" spans="1:9" ht="18.75">
      <c r="A8846" s="213"/>
      <c r="B8846" s="214">
        <v>201</v>
      </c>
      <c r="C8846" s="242" t="str">
        <f ca="1">_xlfn.XLOOKUP(B8846,Cantidades!$A$10:$A$314,Cantidades!$C$10:$C$314,,0,1)</f>
        <v>Suministro e instalación de ductos  5Ø2"+2Ø4" PVC</v>
      </c>
      <c r="D8846" s="243"/>
      <c r="E8846" s="243"/>
      <c r="F8846" s="243"/>
      <c r="G8846" s="244"/>
      <c r="H8846" s="213"/>
    </row>
    <row r="8847" spans="1:9" ht="19.5" thickBot="1">
      <c r="A8847" s="215"/>
      <c r="B8847" s="216" t="s">
        <v>550</v>
      </c>
      <c r="C8847" s="177"/>
      <c r="D8847" s="189"/>
      <c r="E8847" s="178"/>
      <c r="F8847" s="179" t="s">
        <v>636</v>
      </c>
      <c r="G8847" s="209" t="str">
        <f ca="1">B8848</f>
        <v>5F22F4-</v>
      </c>
      <c r="H8847" s="215"/>
    </row>
    <row r="8848" spans="1:9" ht="15.75" thickBot="1">
      <c r="B8848" s="212" t="str">
        <f ca="1">_xlfn.XLOOKUP(C8846,Cantidades!$C$1:$C$314,Cantidades!$B$1:$B$314,"",0,1)</f>
        <v>5F22F4-</v>
      </c>
      <c r="C8848" s="10" t="s">
        <v>0</v>
      </c>
      <c r="D8848" s="190"/>
      <c r="E8848" s="11"/>
      <c r="F8848" s="12"/>
      <c r="G8848" s="13"/>
    </row>
    <row r="8849" spans="1:8" ht="14.25" thickBot="1">
      <c r="A8849" s="215"/>
      <c r="B8849" s="216" t="s">
        <v>550</v>
      </c>
      <c r="C8849" s="14" t="s">
        <v>1</v>
      </c>
      <c r="D8849" s="15" t="s">
        <v>2</v>
      </c>
      <c r="E8849" s="15" t="s">
        <v>3</v>
      </c>
      <c r="F8849" s="16" t="s">
        <v>4</v>
      </c>
      <c r="G8849" s="15" t="s">
        <v>5</v>
      </c>
    </row>
    <row r="8850" spans="1:8">
      <c r="A8850" s="211" t="s">
        <v>484</v>
      </c>
      <c r="B8850" s="216" t="str">
        <f ca="1">_xlfn.CONCAT(B8848,A8850)</f>
        <v>5F22F4-A</v>
      </c>
      <c r="C8850" s="17" t="str">
        <f>_xlfn.XLOOKUP(H8850,'Materiales unitario'!$A$1:$A$2500,'Materiales unitario'!B$1:B$2500,,0,1)</f>
        <v>Ducto telef. Y Electric. pesado TDP ø2" PVC</v>
      </c>
      <c r="D8850" s="184" t="str">
        <f>_xlfn.XLOOKUP(H8850,'Materiales unitario'!A$1:A$2500,'Materiales unitario'!C$1:C$2500,,0,1)</f>
        <v>ml</v>
      </c>
      <c r="E8850" s="197">
        <f>_xlfn.XLOOKUP(H8850,'Materiales unitario'!$A$1:$A$2500,'Materiales unitario'!D$1:D$2500,,0,1)</f>
        <v>6520</v>
      </c>
      <c r="F8850" s="19">
        <v>5.25</v>
      </c>
      <c r="G8850" s="20">
        <f>+E8850*F8850</f>
        <v>34230</v>
      </c>
      <c r="H8850" s="211" t="s">
        <v>1196</v>
      </c>
    </row>
    <row r="8851" spans="1:8">
      <c r="A8851" s="211" t="s">
        <v>485</v>
      </c>
      <c r="B8851" s="216" t="str">
        <f ca="1">_xlfn.CONCAT(B8848,A8851)</f>
        <v>5F22F4-B</v>
      </c>
      <c r="C8851" s="17" t="str">
        <f>_xlfn.XLOOKUP(H8851,'Materiales unitario'!$A$1:$A$2500,'Materiales unitario'!B$1:B$2500,,0,1)</f>
        <v>Campana terminal ducto ø2" PVC</v>
      </c>
      <c r="D8851" s="184" t="str">
        <f>_xlfn.XLOOKUP(H8851,'Materiales unitario'!A$1:A$2500,'Materiales unitario'!C$1:C$2500,,0,1)</f>
        <v>un</v>
      </c>
      <c r="E8851" s="197">
        <f>_xlfn.XLOOKUP(H8851,'Materiales unitario'!$A$1:$A$2500,'Materiales unitario'!D$1:D$2500,,0,1)</f>
        <v>4046</v>
      </c>
      <c r="F8851" s="19">
        <v>1.25</v>
      </c>
      <c r="G8851" s="20">
        <f>+E8851*F8851</f>
        <v>5057.5</v>
      </c>
      <c r="H8851" s="211" t="s">
        <v>286</v>
      </c>
    </row>
    <row r="8852" spans="1:8">
      <c r="A8852" s="211" t="s">
        <v>486</v>
      </c>
      <c r="B8852" s="216" t="str">
        <f ca="1">_xlfn.CONCAT(B8848,A8852)</f>
        <v>5F22F4-C</v>
      </c>
      <c r="C8852" s="17" t="str">
        <f>_xlfn.XLOOKUP(H8852,'Materiales unitario'!$A$1:$A$2500,'Materiales unitario'!B$1:B$2500,,0,1)</f>
        <v>Soldadura liquida PVC 1/4 de galón</v>
      </c>
      <c r="D8852" s="184" t="str">
        <f>_xlfn.XLOOKUP(H8852,'Materiales unitario'!A$1:A$2500,'Materiales unitario'!C$1:C$2500,,0,1)</f>
        <v>un</v>
      </c>
      <c r="E8852" s="197">
        <f>_xlfn.XLOOKUP(H8852,'Materiales unitario'!$A$1:$A$2500,'Materiales unitario'!D$1:D$2500,,0,1)</f>
        <v>60900</v>
      </c>
      <c r="F8852" s="19">
        <v>0.15</v>
      </c>
      <c r="G8852" s="20">
        <f>+E8852*F8852</f>
        <v>9135</v>
      </c>
      <c r="H8852" s="211" t="s">
        <v>530</v>
      </c>
    </row>
    <row r="8853" spans="1:8">
      <c r="A8853" s="211" t="s">
        <v>487</v>
      </c>
      <c r="B8853" s="216" t="str">
        <f ca="1">_xlfn.CONCAT(B8848,A8853)</f>
        <v>5F22F4-D</v>
      </c>
      <c r="C8853" s="17" t="str">
        <f>_xlfn.XLOOKUP(H8853,'Materiales unitario'!$A$1:$A$2500,'Materiales unitario'!B$1:B$2500,,0,1)</f>
        <v>Ducto telef. Y Electric. Corrugado TDP ø4" PVC</v>
      </c>
      <c r="D8853" s="184" t="str">
        <f>_xlfn.XLOOKUP(H8853,'Materiales unitario'!A$1:A$2500,'Materiales unitario'!C$1:C$2500,,0,1)</f>
        <v>ml</v>
      </c>
      <c r="E8853" s="197">
        <f>_xlfn.XLOOKUP(H8853,'Materiales unitario'!$A$1:$A$2500,'Materiales unitario'!D$1:D$2500,,0,1)</f>
        <v>15680</v>
      </c>
      <c r="F8853" s="19">
        <v>2.1</v>
      </c>
      <c r="G8853" s="20">
        <f>+E8853*F8853</f>
        <v>32928</v>
      </c>
      <c r="H8853" s="211" t="s">
        <v>316</v>
      </c>
    </row>
    <row r="8854" spans="1:8">
      <c r="A8854" s="211" t="s">
        <v>488</v>
      </c>
      <c r="B8854" s="216" t="str">
        <f ca="1">_xlfn.CONCAT(B8848,A8854)</f>
        <v>5F22F4-E</v>
      </c>
      <c r="C8854" s="17" t="str">
        <f>_xlfn.XLOOKUP(H8854,'Materiales unitario'!$A$1:$A$2500,'Materiales unitario'!B$1:B$2500,,0,1)</f>
        <v>Campana terminal ducto ø4" PVC</v>
      </c>
      <c r="D8854" s="184" t="str">
        <f>_xlfn.XLOOKUP(H8854,'Materiales unitario'!A$1:A$2500,'Materiales unitario'!C$1:C$2500,,0,1)</f>
        <v>un</v>
      </c>
      <c r="E8854" s="197">
        <f>_xlfn.XLOOKUP(H8854,'Materiales unitario'!$A$1:$A$2500,'Materiales unitario'!D$1:D$2500,,0,1)</f>
        <v>8388.6</v>
      </c>
      <c r="F8854" s="19">
        <v>0.5</v>
      </c>
      <c r="G8854" s="20">
        <f>+E8854*F8854</f>
        <v>4194.3</v>
      </c>
      <c r="H8854" s="211" t="s">
        <v>287</v>
      </c>
    </row>
    <row r="8855" spans="1:8">
      <c r="A8855" s="211" t="s">
        <v>489</v>
      </c>
      <c r="B8855" s="216" t="str">
        <f ca="1">_xlfn.CONCAT(B8848,A8855)</f>
        <v>5F22F4-F</v>
      </c>
      <c r="C8855" s="17"/>
      <c r="D8855" s="184"/>
      <c r="E8855" s="197"/>
      <c r="F8855" s="19"/>
      <c r="G8855" s="20"/>
    </row>
    <row r="8856" spans="1:8">
      <c r="A8856" s="211" t="s">
        <v>490</v>
      </c>
      <c r="B8856" s="216" t="str">
        <f ca="1">_xlfn.CONCAT(B8848,A8856)</f>
        <v>5F22F4-G</v>
      </c>
      <c r="C8856" s="17"/>
      <c r="D8856" s="184"/>
      <c r="E8856" s="197"/>
      <c r="F8856" s="19"/>
      <c r="G8856" s="20"/>
    </row>
    <row r="8857" spans="1:8">
      <c r="A8857" s="211" t="s">
        <v>491</v>
      </c>
      <c r="B8857" s="216" t="str">
        <f ca="1">_xlfn.CONCAT(B8848,A8857)</f>
        <v>5F22F4-H</v>
      </c>
      <c r="C8857" s="17"/>
      <c r="D8857" s="184"/>
      <c r="E8857" s="197"/>
      <c r="F8857" s="19"/>
      <c r="G8857" s="20"/>
    </row>
    <row r="8858" spans="1:8">
      <c r="A8858" s="211" t="s">
        <v>492</v>
      </c>
      <c r="B8858" s="216" t="str">
        <f ca="1">_xlfn.CONCAT(B8848,A8858)</f>
        <v>5F22F4-I</v>
      </c>
      <c r="C8858" s="17"/>
      <c r="D8858" s="184"/>
      <c r="E8858" s="197"/>
      <c r="F8858" s="19"/>
      <c r="G8858" s="20"/>
    </row>
    <row r="8859" spans="1:8">
      <c r="A8859" s="211" t="s">
        <v>493</v>
      </c>
      <c r="B8859" s="216" t="str">
        <f ca="1">_xlfn.CONCAT(B8848,A8859)</f>
        <v>5F22F4-J</v>
      </c>
      <c r="C8859" s="17"/>
      <c r="D8859" s="184"/>
      <c r="E8859" s="197"/>
      <c r="F8859" s="19"/>
      <c r="G8859" s="20"/>
    </row>
    <row r="8860" spans="1:8">
      <c r="A8860" s="211" t="s">
        <v>494</v>
      </c>
      <c r="B8860" s="216" t="str">
        <f ca="1">_xlfn.CONCAT(B8848,A8860)</f>
        <v>5F22F4-K</v>
      </c>
      <c r="C8860" s="17"/>
      <c r="D8860" s="184"/>
      <c r="E8860" s="197"/>
      <c r="F8860" s="19"/>
      <c r="G8860" s="20"/>
    </row>
    <row r="8861" spans="1:8">
      <c r="A8861" s="211" t="s">
        <v>495</v>
      </c>
      <c r="B8861" s="216" t="str">
        <f ca="1">_xlfn.CONCAT(B8848,A8861)</f>
        <v>5F22F4-L</v>
      </c>
      <c r="C8861" s="17"/>
      <c r="D8861" s="184"/>
      <c r="E8861" s="197"/>
      <c r="F8861" s="19"/>
      <c r="G8861" s="20"/>
    </row>
    <row r="8862" spans="1:8">
      <c r="A8862" s="211" t="s">
        <v>496</v>
      </c>
      <c r="B8862" s="216" t="str">
        <f ca="1">_xlfn.CONCAT(B8848,A8862)</f>
        <v>5F22F4-M</v>
      </c>
      <c r="C8862" s="17"/>
      <c r="D8862" s="184"/>
      <c r="E8862" s="197"/>
      <c r="F8862" s="19"/>
      <c r="G8862" s="20"/>
    </row>
    <row r="8863" spans="1:8">
      <c r="A8863" s="211" t="s">
        <v>497</v>
      </c>
      <c r="B8863" s="216" t="str">
        <f ca="1">_xlfn.CONCAT(B8848,A8863)</f>
        <v>5F22F4-N</v>
      </c>
      <c r="C8863" s="17"/>
      <c r="D8863" s="184"/>
      <c r="E8863" s="197"/>
      <c r="F8863" s="19"/>
      <c r="G8863" s="20"/>
    </row>
    <row r="8864" spans="1:8">
      <c r="A8864" s="211" t="s">
        <v>498</v>
      </c>
      <c r="B8864" s="216" t="str">
        <f ca="1">_xlfn.CONCAT(B8848,A8864)</f>
        <v>5F22F4-O</v>
      </c>
      <c r="C8864" s="17"/>
      <c r="D8864" s="184"/>
      <c r="E8864" s="197"/>
      <c r="F8864" s="19"/>
      <c r="G8864" s="20"/>
    </row>
    <row r="8865" spans="1:9">
      <c r="A8865" s="211" t="s">
        <v>499</v>
      </c>
      <c r="B8865" s="216" t="str">
        <f ca="1">_xlfn.CONCAT(B8848,A8865)</f>
        <v>5F22F4-P</v>
      </c>
      <c r="C8865" s="17"/>
      <c r="D8865" s="184"/>
      <c r="E8865" s="197"/>
      <c r="F8865" s="19"/>
      <c r="G8865" s="20"/>
    </row>
    <row r="8866" spans="1:9">
      <c r="A8866" s="211" t="s">
        <v>500</v>
      </c>
      <c r="B8866" s="216" t="str">
        <f ca="1">_xlfn.CONCAT(B8848,A8866)</f>
        <v>5F22F4-Q</v>
      </c>
      <c r="C8866" s="17"/>
      <c r="D8866" s="184"/>
      <c r="E8866" s="197"/>
      <c r="F8866" s="19"/>
      <c r="G8866" s="20"/>
    </row>
    <row r="8867" spans="1:9">
      <c r="A8867" s="211" t="s">
        <v>501</v>
      </c>
      <c r="B8867" s="216" t="str">
        <f ca="1">_xlfn.CONCAT(B8848,A8867)</f>
        <v>5F22F4-R</v>
      </c>
      <c r="C8867" s="17"/>
      <c r="D8867" s="184"/>
      <c r="E8867" s="197"/>
      <c r="F8867" s="19"/>
      <c r="G8867" s="20"/>
    </row>
    <row r="8868" spans="1:9">
      <c r="A8868" s="211" t="s">
        <v>502</v>
      </c>
      <c r="B8868" s="216" t="str">
        <f ca="1">_xlfn.CONCAT(B8848,A8868)</f>
        <v>5F22F4-S</v>
      </c>
      <c r="C8868" s="17"/>
      <c r="D8868" s="184"/>
      <c r="E8868" s="197"/>
      <c r="F8868" s="19"/>
      <c r="G8868" s="20"/>
    </row>
    <row r="8869" spans="1:9">
      <c r="A8869" s="211" t="s">
        <v>503</v>
      </c>
      <c r="B8869" s="216" t="str">
        <f ca="1">_xlfn.CONCAT(B8848,A8869)</f>
        <v>5F22F4-T</v>
      </c>
      <c r="C8869" s="17"/>
      <c r="D8869" s="184"/>
      <c r="E8869" s="197"/>
      <c r="F8869" s="19"/>
      <c r="G8869" s="20"/>
    </row>
    <row r="8870" spans="1:9" ht="14.25" thickBot="1">
      <c r="A8870" s="211" t="s">
        <v>504</v>
      </c>
      <c r="B8870" s="216" t="str">
        <f ca="1">_xlfn.CONCAT(B8848,A8870)</f>
        <v>5F22F4-U</v>
      </c>
      <c r="C8870" s="17"/>
      <c r="D8870" s="184"/>
      <c r="E8870" s="197"/>
      <c r="F8870" s="19"/>
      <c r="G8870" s="20"/>
    </row>
    <row r="8871" spans="1:9" ht="14.25" thickBot="1">
      <c r="A8871" s="211" t="s">
        <v>505</v>
      </c>
      <c r="B8871" s="216" t="str">
        <f ca="1">_xlfn.CONCAT(B8848,A8871)</f>
        <v>5F22F4-V</v>
      </c>
      <c r="C8871" s="17" t="s">
        <v>17</v>
      </c>
      <c r="D8871" s="192" t="s">
        <v>17</v>
      </c>
      <c r="E8871" s="18"/>
      <c r="F8871" s="22" t="s">
        <v>18</v>
      </c>
      <c r="G8871" s="23">
        <f>SUM(G8850:G8870)</f>
        <v>85544.8</v>
      </c>
    </row>
    <row r="8872" spans="1:9" ht="15.75" thickBot="1">
      <c r="A8872" s="211" t="s">
        <v>506</v>
      </c>
      <c r="B8872" s="216" t="str">
        <f ca="1">_xlfn.CONCAT(B8848,A8872)</f>
        <v>5F22F4-W</v>
      </c>
      <c r="C8872" s="10" t="s">
        <v>19</v>
      </c>
      <c r="D8872" s="190"/>
      <c r="E8872" s="11"/>
      <c r="F8872" s="12"/>
      <c r="G8872" s="13"/>
    </row>
    <row r="8873" spans="1:9" ht="14.25" thickBot="1">
      <c r="A8873" s="211" t="s">
        <v>507</v>
      </c>
      <c r="B8873" s="216" t="str">
        <f ca="1">_xlfn.CONCAT(B8848,A8873)</f>
        <v>5F22F4-X</v>
      </c>
      <c r="C8873" s="14" t="s">
        <v>1</v>
      </c>
      <c r="D8873" s="15"/>
      <c r="E8873" s="15" t="s">
        <v>20</v>
      </c>
      <c r="F8873" s="16" t="s">
        <v>21</v>
      </c>
      <c r="G8873" s="15" t="s">
        <v>5</v>
      </c>
      <c r="H8873" s="215"/>
    </row>
    <row r="8874" spans="1:9">
      <c r="A8874" s="211" t="s">
        <v>508</v>
      </c>
      <c r="B8874" s="216" t="str">
        <f ca="1">_xlfn.CONCAT(B8848,A8874)</f>
        <v>5F22F4-Y</v>
      </c>
      <c r="C8874" s="24" t="s">
        <v>22</v>
      </c>
      <c r="D8874" s="184"/>
      <c r="E8874" s="25">
        <f>_xlfn.XLOOKUP(C8874,'H-MO'!B$7:B$30,'H-MO'!D$7:D$30,,0,1)</f>
        <v>2436.5624999999995</v>
      </c>
      <c r="F8874" s="19">
        <v>1.1000000000000001</v>
      </c>
      <c r="G8874" s="33">
        <f t="shared" ref="G8874:G8879" si="253">+E8874*F8874</f>
        <v>2680.2187499999995</v>
      </c>
      <c r="H8874" s="229">
        <f>0.25*0.13</f>
        <v>3.2500000000000001E-2</v>
      </c>
      <c r="I8874" s="240">
        <f>+G8871*H8874</f>
        <v>2780.2060000000001</v>
      </c>
    </row>
    <row r="8875" spans="1:9">
      <c r="A8875" s="211" t="s">
        <v>509</v>
      </c>
      <c r="B8875" s="216" t="str">
        <f ca="1">_xlfn.CONCAT(B8848,A8875)</f>
        <v>5F22F4-Z</v>
      </c>
      <c r="C8875" s="24" t="s">
        <v>23</v>
      </c>
      <c r="D8875" s="184"/>
      <c r="E8875" s="25">
        <f>_xlfn.XLOOKUP(C8875,'H-MO'!B$7:B$30,'H-MO'!D$7:D$30,,0,1)</f>
        <v>1461.9374999999998</v>
      </c>
      <c r="F8875" s="19">
        <v>1.8</v>
      </c>
      <c r="G8875" s="33">
        <f t="shared" si="253"/>
        <v>2631.4874999999997</v>
      </c>
      <c r="H8875" s="229">
        <v>0.03</v>
      </c>
    </row>
    <row r="8876" spans="1:9">
      <c r="A8876" s="211" t="s">
        <v>510</v>
      </c>
      <c r="B8876" s="216" t="str">
        <f ca="1">_xlfn.CONCAT(B8848,A8876)</f>
        <v>5F22F4-aa</v>
      </c>
      <c r="C8876" s="24" t="s">
        <v>24</v>
      </c>
      <c r="D8876" s="185"/>
      <c r="E8876" s="25">
        <f>_xlfn.XLOOKUP(C8876,'H-MO'!B$7:B$30,'H-MO'!D$7:D$30,,0,1)</f>
        <v>29238.749999999996</v>
      </c>
      <c r="F8876" s="28">
        <v>0.35</v>
      </c>
      <c r="G8876" s="33">
        <f t="shared" si="253"/>
        <v>10233.562499999998</v>
      </c>
      <c r="H8876" s="229">
        <v>0.125</v>
      </c>
      <c r="I8876" s="239">
        <f>+H8876*G8871</f>
        <v>10693.1</v>
      </c>
    </row>
    <row r="8877" spans="1:9">
      <c r="A8877" s="211" t="s">
        <v>511</v>
      </c>
      <c r="B8877" s="216" t="str">
        <f ca="1">_xlfn.CONCAT(B8848,A8877)</f>
        <v>5F22F4-ab</v>
      </c>
      <c r="C8877" s="24" t="s">
        <v>25</v>
      </c>
      <c r="D8877" s="185"/>
      <c r="E8877" s="25">
        <f>_xlfn.XLOOKUP(C8877,'H-MO'!B$7:B$30,'H-MO'!D$7:D$30,,0,1)</f>
        <v>2761.4374999999995</v>
      </c>
      <c r="F8877" s="28">
        <v>0.8</v>
      </c>
      <c r="G8877" s="33">
        <f t="shared" si="253"/>
        <v>2209.1499999999996</v>
      </c>
      <c r="H8877" s="229">
        <v>2.5000000000000001E-2</v>
      </c>
      <c r="I8877" s="239">
        <f>+H8877*G8871</f>
        <v>2138.6200000000003</v>
      </c>
    </row>
    <row r="8878" spans="1:9">
      <c r="A8878" s="211" t="s">
        <v>512</v>
      </c>
      <c r="B8878" s="216" t="str">
        <f ca="1">_xlfn.CONCAT(B8848,A8878)</f>
        <v>5F22F4-ac</v>
      </c>
      <c r="C8878" s="24"/>
      <c r="D8878" s="185"/>
      <c r="E8878" s="29"/>
      <c r="F8878" s="28">
        <v>0</v>
      </c>
      <c r="G8878" s="33">
        <f t="shared" si="253"/>
        <v>0</v>
      </c>
    </row>
    <row r="8879" spans="1:9" ht="14.25" thickBot="1">
      <c r="A8879" s="211" t="s">
        <v>513</v>
      </c>
      <c r="B8879" s="216" t="str">
        <f ca="1">_xlfn.CONCAT(B8848,A8879)</f>
        <v>5F22F4-ad</v>
      </c>
      <c r="C8879" s="24"/>
      <c r="D8879" s="185"/>
      <c r="E8879" s="29"/>
      <c r="F8879" s="28">
        <v>0</v>
      </c>
      <c r="G8879" s="33">
        <f t="shared" si="253"/>
        <v>0</v>
      </c>
    </row>
    <row r="8880" spans="1:9" ht="14.25" thickBot="1">
      <c r="A8880" s="211" t="s">
        <v>514</v>
      </c>
      <c r="B8880" s="216" t="str">
        <f ca="1">_xlfn.CONCAT(B8848,A8880)</f>
        <v>5F22F4-ae</v>
      </c>
      <c r="C8880" s="17"/>
      <c r="D8880" s="192"/>
      <c r="E8880" s="18"/>
      <c r="F8880" s="22" t="s">
        <v>26</v>
      </c>
      <c r="G8880" s="23">
        <f>SUM(G8874:G8879)</f>
        <v>17754.418749999997</v>
      </c>
      <c r="H8880" s="211">
        <v>0.25</v>
      </c>
    </row>
    <row r="8881" spans="1:9" ht="15.75" thickBot="1">
      <c r="A8881" s="211" t="s">
        <v>515</v>
      </c>
      <c r="B8881" s="216" t="str">
        <f ca="1">_xlfn.CONCAT(B8848,A8881)</f>
        <v>5F22F4-af</v>
      </c>
      <c r="C8881" s="10" t="s">
        <v>27</v>
      </c>
      <c r="D8881" s="190"/>
      <c r="E8881" s="11"/>
      <c r="F8881" s="12"/>
      <c r="G8881" s="13"/>
    </row>
    <row r="8882" spans="1:9" ht="14.25" thickBot="1">
      <c r="A8882" s="211" t="s">
        <v>516</v>
      </c>
      <c r="B8882" s="216" t="str">
        <f ca="1">_xlfn.CONCAT(B8848,A8882)</f>
        <v>5F22F4-ag</v>
      </c>
      <c r="C8882" s="14" t="s">
        <v>1</v>
      </c>
      <c r="D8882" s="15" t="s">
        <v>28</v>
      </c>
      <c r="E8882" s="15" t="s">
        <v>20</v>
      </c>
      <c r="F8882" s="16" t="s">
        <v>21</v>
      </c>
      <c r="G8882" s="15" t="s">
        <v>5</v>
      </c>
      <c r="H8882" s="215"/>
    </row>
    <row r="8883" spans="1:9">
      <c r="A8883" s="211" t="s">
        <v>517</v>
      </c>
      <c r="B8883" s="216" t="str">
        <f ca="1">_xlfn.CONCAT(B8848,A8883)</f>
        <v>5F22F4-ah</v>
      </c>
      <c r="C8883" s="30" t="s">
        <v>29</v>
      </c>
      <c r="D8883" s="186">
        <f>'H-MO'!$N$77</f>
        <v>725918.52892505517</v>
      </c>
      <c r="E8883" s="31">
        <f>+D8883/8</f>
        <v>90739.816115631897</v>
      </c>
      <c r="F8883" s="32">
        <v>0.11</v>
      </c>
      <c r="G8883" s="33">
        <f>+E8883*F8883</f>
        <v>9981.3797727195088</v>
      </c>
      <c r="H8883" s="229">
        <v>0.11184496008336237</v>
      </c>
      <c r="I8883" s="239">
        <f>+H8883*G8871</f>
        <v>9567.7547413392167</v>
      </c>
    </row>
    <row r="8884" spans="1:9">
      <c r="A8884" s="211" t="s">
        <v>518</v>
      </c>
      <c r="B8884" s="216" t="str">
        <f ca="1">_xlfn.CONCAT(B8848,A8884)</f>
        <v>5F22F4-ai</v>
      </c>
      <c r="C8884" s="34" t="s">
        <v>30</v>
      </c>
      <c r="D8884" s="187">
        <f>'H-MO'!$N$86</f>
        <v>685561.39085756091</v>
      </c>
      <c r="E8884" s="29">
        <f>+D8884/8</f>
        <v>85695.173857195114</v>
      </c>
      <c r="F8884" s="28">
        <v>0.22</v>
      </c>
      <c r="G8884" s="33">
        <f>+E8884*F8884</f>
        <v>18852.938248582926</v>
      </c>
      <c r="H8884" s="229">
        <v>0.21125397228446965</v>
      </c>
      <c r="I8884" s="239">
        <f>+H8884*G8871</f>
        <v>18071.6788082805</v>
      </c>
    </row>
    <row r="8885" spans="1:9" ht="14.25" thickBot="1">
      <c r="A8885" s="211" t="s">
        <v>519</v>
      </c>
      <c r="B8885" s="216" t="str">
        <f ca="1">_xlfn.CONCAT(B8848,A8885)</f>
        <v>5F22F4-aj</v>
      </c>
      <c r="C8885" s="34"/>
      <c r="D8885" s="187"/>
      <c r="E8885" s="29"/>
      <c r="F8885" s="28">
        <v>0</v>
      </c>
      <c r="G8885" s="33">
        <f>+E8885*F8885</f>
        <v>0</v>
      </c>
    </row>
    <row r="8886" spans="1:9" ht="14.25" thickBot="1">
      <c r="A8886" s="211" t="s">
        <v>520</v>
      </c>
      <c r="B8886" s="216" t="str">
        <f ca="1">_xlfn.CONCAT(B8848,A8886)</f>
        <v>5F22F4-ak</v>
      </c>
      <c r="C8886" s="34"/>
      <c r="D8886" s="185"/>
      <c r="E8886" s="26"/>
      <c r="F8886" s="36" t="s">
        <v>31</v>
      </c>
      <c r="G8886" s="23">
        <f>SUM(G8883:G8885)</f>
        <v>28834.318021302435</v>
      </c>
    </row>
    <row r="8887" spans="1:9" ht="14.25" thickBot="1">
      <c r="A8887" s="211" t="s">
        <v>521</v>
      </c>
      <c r="B8887" s="216" t="str">
        <f ca="1">_xlfn.CONCAT(B8848,A8887)</f>
        <v>5F22F4-al</v>
      </c>
      <c r="C8887" s="37"/>
      <c r="E8887" s="38"/>
      <c r="F8887" s="22"/>
      <c r="G8887" s="39"/>
    </row>
    <row r="8888" spans="1:9" ht="16.5" thickBot="1">
      <c r="A8888" s="211" t="s">
        <v>522</v>
      </c>
      <c r="B8888" s="216" t="str">
        <f ca="1">_xlfn.CONCAT(B8848,A8888)</f>
        <v>5F22F4-am</v>
      </c>
      <c r="C8888" s="40"/>
      <c r="D8888" s="193"/>
      <c r="E8888" s="41"/>
      <c r="F8888" s="42"/>
      <c r="G8888" s="43">
        <f>+G8871+G8880+G8886</f>
        <v>132133.53677130243</v>
      </c>
    </row>
    <row r="8889" spans="1:9" ht="21.75" thickBot="1">
      <c r="B8889" s="212" t="s">
        <v>550</v>
      </c>
      <c r="C8889" s="2"/>
      <c r="D8889" s="183"/>
      <c r="F8889" s="4"/>
      <c r="G8889" s="5"/>
    </row>
    <row r="8890" spans="1:9" ht="18.75">
      <c r="A8890" s="213"/>
      <c r="B8890" s="214">
        <v>202</v>
      </c>
      <c r="C8890" s="242" t="str">
        <f ca="1">_xlfn.XLOOKUP(B8890,Cantidades!$A$10:$A$314,Cantidades!$C$10:$C$314,,0,1)</f>
        <v>Suministro e instalación de coraza Liquid Tide Ø1". Incluye coraza, terminales, elementos de soporte y señalización</v>
      </c>
      <c r="D8890" s="243"/>
      <c r="E8890" s="243"/>
      <c r="F8890" s="243"/>
      <c r="G8890" s="244"/>
      <c r="H8890" s="213"/>
    </row>
    <row r="8891" spans="1:9" ht="19.5" thickBot="1">
      <c r="A8891" s="215"/>
      <c r="B8891" s="216" t="s">
        <v>550</v>
      </c>
      <c r="C8891" s="177"/>
      <c r="D8891" s="189"/>
      <c r="E8891" s="178"/>
      <c r="F8891" s="179" t="s">
        <v>636</v>
      </c>
      <c r="G8891" s="209" t="str">
        <f ca="1">B8892</f>
        <v>24A8694-</v>
      </c>
      <c r="H8891" s="215"/>
    </row>
    <row r="8892" spans="1:9" ht="15.75" thickBot="1">
      <c r="B8892" s="212" t="str">
        <f ca="1">_xlfn.XLOOKUP(C8890,Cantidades!$C$1:$C$314,Cantidades!$B$1:$B$314,"",0,1)</f>
        <v>24A8694-</v>
      </c>
      <c r="C8892" s="10" t="s">
        <v>0</v>
      </c>
      <c r="D8892" s="190"/>
      <c r="E8892" s="11"/>
      <c r="F8892" s="12"/>
      <c r="G8892" s="13"/>
    </row>
    <row r="8893" spans="1:9" ht="14.25" thickBot="1">
      <c r="A8893" s="215"/>
      <c r="B8893" s="216" t="s">
        <v>550</v>
      </c>
      <c r="C8893" s="14" t="s">
        <v>1</v>
      </c>
      <c r="D8893" s="15" t="s">
        <v>2</v>
      </c>
      <c r="E8893" s="15" t="s">
        <v>3</v>
      </c>
      <c r="F8893" s="16" t="s">
        <v>4</v>
      </c>
      <c r="G8893" s="15" t="s">
        <v>5</v>
      </c>
    </row>
    <row r="8894" spans="1:9">
      <c r="A8894" s="211" t="s">
        <v>484</v>
      </c>
      <c r="B8894" s="216" t="str">
        <f ca="1">_xlfn.CONCAT(B8892,A8894)</f>
        <v>24A8694-A</v>
      </c>
      <c r="C8894" s="17" t="str">
        <f>_xlfn.XLOOKUP(H8894,'Materiales unitario'!$A$1:$A$2500,'Materiales unitario'!B$1:B$2500,,0,1)</f>
        <v>Coraza metálica plastificada ø1" LT - Americana</v>
      </c>
      <c r="D8894" s="184" t="str">
        <f>_xlfn.XLOOKUP(H8894,'Materiales unitario'!A$1:A$2500,'Materiales unitario'!C$1:C$2500,,0,1)</f>
        <v>ml</v>
      </c>
      <c r="E8894" s="197">
        <f>_xlfn.XLOOKUP(H8894,'Materiales unitario'!$A$1:$A$2500,'Materiales unitario'!D$1:D$2500,,0,1)</f>
        <v>9687</v>
      </c>
      <c r="F8894" s="19">
        <v>1.05</v>
      </c>
      <c r="G8894" s="20">
        <f>+E8894*F8894</f>
        <v>10171.35</v>
      </c>
      <c r="H8894" s="211" t="s">
        <v>1532</v>
      </c>
    </row>
    <row r="8895" spans="1:9">
      <c r="A8895" s="211" t="s">
        <v>485</v>
      </c>
      <c r="B8895" s="216" t="str">
        <f ca="1">_xlfn.CONCAT(B8892,A8895)</f>
        <v>24A8694-B</v>
      </c>
      <c r="C8895" s="17" t="str">
        <f>_xlfn.XLOOKUP(H8895,'Materiales unitario'!$A$1:$A$2500,'Materiales unitario'!B$1:B$2500,,0,1)</f>
        <v>Conector recto coraza plastificada ø1" LT</v>
      </c>
      <c r="D8895" s="184" t="str">
        <f>_xlfn.XLOOKUP(H8895,'Materiales unitario'!A$1:A$2500,'Materiales unitario'!C$1:C$2500,,0,1)</f>
        <v>un</v>
      </c>
      <c r="E8895" s="197">
        <f>_xlfn.XLOOKUP(H8895,'Materiales unitario'!$A$1:$A$2500,'Materiales unitario'!D$1:D$2500,,0,1)</f>
        <v>4896</v>
      </c>
      <c r="F8895" s="19">
        <v>0.5</v>
      </c>
      <c r="G8895" s="20">
        <f>+E8895*F8895</f>
        <v>2448</v>
      </c>
      <c r="H8895" s="211" t="s">
        <v>1531</v>
      </c>
    </row>
    <row r="8896" spans="1:9">
      <c r="A8896" s="211" t="s">
        <v>486</v>
      </c>
      <c r="B8896" s="216" t="str">
        <f ca="1">_xlfn.CONCAT(B8892,A8896)</f>
        <v>24A8694-C</v>
      </c>
      <c r="C8896" s="17" t="str">
        <f>_xlfn.XLOOKUP(H8896,'Materiales unitario'!$A$1:$A$2500,'Materiales unitario'!B$1:B$2500,,0,1)</f>
        <v>Accesorios de anclaje y fijacion.</v>
      </c>
      <c r="D8896" s="184" t="str">
        <f>_xlfn.XLOOKUP(H8896,'Materiales unitario'!A$1:A$2500,'Materiales unitario'!C$1:C$2500,,0,1)</f>
        <v>un</v>
      </c>
      <c r="E8896" s="197">
        <f>_xlfn.XLOOKUP(H8896,'Materiales unitario'!$A$1:$A$2500,'Materiales unitario'!D$1:D$2500,,0,1)</f>
        <v>10000</v>
      </c>
      <c r="F8896" s="19">
        <v>0.3</v>
      </c>
      <c r="G8896" s="20">
        <f>+E8896*F8896</f>
        <v>3000</v>
      </c>
      <c r="H8896" s="211" t="s">
        <v>222</v>
      </c>
    </row>
    <row r="8897" spans="1:7">
      <c r="A8897" s="211" t="s">
        <v>487</v>
      </c>
      <c r="B8897" s="216" t="str">
        <f ca="1">_xlfn.CONCAT(B8892,A8897)</f>
        <v>24A8694-D</v>
      </c>
      <c r="C8897" s="17"/>
      <c r="D8897" s="184"/>
      <c r="E8897" s="197"/>
      <c r="F8897" s="19"/>
      <c r="G8897" s="20"/>
    </row>
    <row r="8898" spans="1:7">
      <c r="A8898" s="211" t="s">
        <v>488</v>
      </c>
      <c r="B8898" s="216" t="str">
        <f ca="1">_xlfn.CONCAT(B8892,A8898)</f>
        <v>24A8694-E</v>
      </c>
      <c r="C8898" s="17"/>
      <c r="D8898" s="184"/>
      <c r="E8898" s="197"/>
      <c r="F8898" s="19"/>
      <c r="G8898" s="20"/>
    </row>
    <row r="8899" spans="1:7">
      <c r="A8899" s="211" t="s">
        <v>489</v>
      </c>
      <c r="B8899" s="216" t="str">
        <f ca="1">_xlfn.CONCAT(B8892,A8899)</f>
        <v>24A8694-F</v>
      </c>
      <c r="C8899" s="17"/>
      <c r="D8899" s="184"/>
      <c r="E8899" s="197"/>
      <c r="F8899" s="19"/>
      <c r="G8899" s="20"/>
    </row>
    <row r="8900" spans="1:7">
      <c r="A8900" s="211" t="s">
        <v>490</v>
      </c>
      <c r="B8900" s="216" t="str">
        <f ca="1">_xlfn.CONCAT(B8892,A8900)</f>
        <v>24A8694-G</v>
      </c>
      <c r="C8900" s="17"/>
      <c r="D8900" s="184"/>
      <c r="E8900" s="197"/>
      <c r="F8900" s="19"/>
      <c r="G8900" s="20"/>
    </row>
    <row r="8901" spans="1:7">
      <c r="A8901" s="211" t="s">
        <v>491</v>
      </c>
      <c r="B8901" s="216" t="str">
        <f ca="1">_xlfn.CONCAT(B8892,A8901)</f>
        <v>24A8694-H</v>
      </c>
      <c r="C8901" s="17"/>
      <c r="D8901" s="184"/>
      <c r="E8901" s="197"/>
      <c r="F8901" s="19"/>
      <c r="G8901" s="20"/>
    </row>
    <row r="8902" spans="1:7">
      <c r="A8902" s="211" t="s">
        <v>492</v>
      </c>
      <c r="B8902" s="216" t="str">
        <f ca="1">_xlfn.CONCAT(B8892,A8902)</f>
        <v>24A8694-I</v>
      </c>
      <c r="C8902" s="17"/>
      <c r="D8902" s="184"/>
      <c r="E8902" s="197"/>
      <c r="F8902" s="19"/>
      <c r="G8902" s="20"/>
    </row>
    <row r="8903" spans="1:7">
      <c r="A8903" s="211" t="s">
        <v>493</v>
      </c>
      <c r="B8903" s="216" t="str">
        <f ca="1">_xlfn.CONCAT(B8892,A8903)</f>
        <v>24A8694-J</v>
      </c>
      <c r="C8903" s="17"/>
      <c r="D8903" s="184"/>
      <c r="E8903" s="197"/>
      <c r="F8903" s="19"/>
      <c r="G8903" s="20"/>
    </row>
    <row r="8904" spans="1:7">
      <c r="A8904" s="211" t="s">
        <v>494</v>
      </c>
      <c r="B8904" s="216" t="str">
        <f ca="1">_xlfn.CONCAT(B8892,A8904)</f>
        <v>24A8694-K</v>
      </c>
      <c r="C8904" s="17"/>
      <c r="D8904" s="184"/>
      <c r="E8904" s="197"/>
      <c r="F8904" s="19"/>
      <c r="G8904" s="20"/>
    </row>
    <row r="8905" spans="1:7">
      <c r="A8905" s="211" t="s">
        <v>495</v>
      </c>
      <c r="B8905" s="216" t="str">
        <f ca="1">_xlfn.CONCAT(B8892,A8905)</f>
        <v>24A8694-L</v>
      </c>
      <c r="C8905" s="17"/>
      <c r="D8905" s="184"/>
      <c r="E8905" s="197"/>
      <c r="F8905" s="19"/>
      <c r="G8905" s="20"/>
    </row>
    <row r="8906" spans="1:7">
      <c r="A8906" s="211" t="s">
        <v>496</v>
      </c>
      <c r="B8906" s="216" t="str">
        <f ca="1">_xlfn.CONCAT(B8892,A8906)</f>
        <v>24A8694-M</v>
      </c>
      <c r="C8906" s="17"/>
      <c r="D8906" s="184"/>
      <c r="E8906" s="197"/>
      <c r="F8906" s="19"/>
      <c r="G8906" s="20"/>
    </row>
    <row r="8907" spans="1:7">
      <c r="A8907" s="211" t="s">
        <v>497</v>
      </c>
      <c r="B8907" s="216" t="str">
        <f ca="1">_xlfn.CONCAT(B8892,A8907)</f>
        <v>24A8694-N</v>
      </c>
      <c r="C8907" s="17"/>
      <c r="D8907" s="184"/>
      <c r="E8907" s="197"/>
      <c r="F8907" s="19"/>
      <c r="G8907" s="20"/>
    </row>
    <row r="8908" spans="1:7">
      <c r="A8908" s="211" t="s">
        <v>498</v>
      </c>
      <c r="B8908" s="216" t="str">
        <f ca="1">_xlfn.CONCAT(B8892,A8908)</f>
        <v>24A8694-O</v>
      </c>
      <c r="C8908" s="17"/>
      <c r="D8908" s="184"/>
      <c r="E8908" s="197"/>
      <c r="F8908" s="19"/>
      <c r="G8908" s="20"/>
    </row>
    <row r="8909" spans="1:7">
      <c r="A8909" s="211" t="s">
        <v>499</v>
      </c>
      <c r="B8909" s="216" t="str">
        <f ca="1">_xlfn.CONCAT(B8892,A8909)</f>
        <v>24A8694-P</v>
      </c>
      <c r="C8909" s="17"/>
      <c r="D8909" s="184"/>
      <c r="E8909" s="197"/>
      <c r="F8909" s="19"/>
      <c r="G8909" s="20"/>
    </row>
    <row r="8910" spans="1:7">
      <c r="A8910" s="211" t="s">
        <v>500</v>
      </c>
      <c r="B8910" s="216" t="str">
        <f ca="1">_xlfn.CONCAT(B8892,A8910)</f>
        <v>24A8694-Q</v>
      </c>
      <c r="C8910" s="17"/>
      <c r="D8910" s="184"/>
      <c r="E8910" s="197"/>
      <c r="F8910" s="19"/>
      <c r="G8910" s="20"/>
    </row>
    <row r="8911" spans="1:7">
      <c r="A8911" s="211" t="s">
        <v>501</v>
      </c>
      <c r="B8911" s="216" t="str">
        <f ca="1">_xlfn.CONCAT(B8892,A8911)</f>
        <v>24A8694-R</v>
      </c>
      <c r="C8911" s="17"/>
      <c r="D8911" s="184"/>
      <c r="E8911" s="197"/>
      <c r="F8911" s="19"/>
      <c r="G8911" s="20"/>
    </row>
    <row r="8912" spans="1:7">
      <c r="A8912" s="211" t="s">
        <v>502</v>
      </c>
      <c r="B8912" s="216" t="str">
        <f ca="1">_xlfn.CONCAT(B8892,A8912)</f>
        <v>24A8694-S</v>
      </c>
      <c r="C8912" s="17"/>
      <c r="D8912" s="184"/>
      <c r="E8912" s="197"/>
      <c r="F8912" s="19"/>
      <c r="G8912" s="20"/>
    </row>
    <row r="8913" spans="1:9">
      <c r="A8913" s="211" t="s">
        <v>503</v>
      </c>
      <c r="B8913" s="216" t="str">
        <f ca="1">_xlfn.CONCAT(B8892,A8913)</f>
        <v>24A8694-T</v>
      </c>
      <c r="C8913" s="17"/>
      <c r="D8913" s="184"/>
      <c r="E8913" s="197"/>
      <c r="F8913" s="19"/>
      <c r="G8913" s="20"/>
    </row>
    <row r="8914" spans="1:9" ht="14.25" thickBot="1">
      <c r="A8914" s="211" t="s">
        <v>504</v>
      </c>
      <c r="B8914" s="216" t="str">
        <f ca="1">_xlfn.CONCAT(B8892,A8914)</f>
        <v>24A8694-U</v>
      </c>
      <c r="C8914" s="17"/>
      <c r="D8914" s="184"/>
      <c r="E8914" s="197"/>
      <c r="F8914" s="19"/>
      <c r="G8914" s="20"/>
    </row>
    <row r="8915" spans="1:9" ht="14.25" thickBot="1">
      <c r="A8915" s="211" t="s">
        <v>505</v>
      </c>
      <c r="B8915" s="216" t="str">
        <f ca="1">_xlfn.CONCAT(B8892,A8915)</f>
        <v>24A8694-V</v>
      </c>
      <c r="C8915" s="17" t="s">
        <v>17</v>
      </c>
      <c r="D8915" s="192" t="s">
        <v>17</v>
      </c>
      <c r="E8915" s="18"/>
      <c r="F8915" s="22" t="s">
        <v>18</v>
      </c>
      <c r="G8915" s="23">
        <f>SUM(G8894:G8914)</f>
        <v>15619.35</v>
      </c>
    </row>
    <row r="8916" spans="1:9" ht="15.75" thickBot="1">
      <c r="A8916" s="211" t="s">
        <v>506</v>
      </c>
      <c r="B8916" s="216" t="str">
        <f ca="1">_xlfn.CONCAT(B8892,A8916)</f>
        <v>24A8694-W</v>
      </c>
      <c r="C8916" s="10" t="s">
        <v>19</v>
      </c>
      <c r="D8916" s="190"/>
      <c r="E8916" s="11"/>
      <c r="F8916" s="12"/>
      <c r="G8916" s="13"/>
    </row>
    <row r="8917" spans="1:9" ht="14.25" thickBot="1">
      <c r="A8917" s="211" t="s">
        <v>507</v>
      </c>
      <c r="B8917" s="216" t="str">
        <f ca="1">_xlfn.CONCAT(B8892,A8917)</f>
        <v>24A8694-X</v>
      </c>
      <c r="C8917" s="14" t="s">
        <v>1</v>
      </c>
      <c r="D8917" s="15"/>
      <c r="E8917" s="15" t="s">
        <v>20</v>
      </c>
      <c r="F8917" s="16" t="s">
        <v>21</v>
      </c>
      <c r="G8917" s="15" t="s">
        <v>5</v>
      </c>
      <c r="H8917" s="228"/>
      <c r="I8917" s="229"/>
    </row>
    <row r="8918" spans="1:9">
      <c r="A8918" s="211" t="s">
        <v>508</v>
      </c>
      <c r="B8918" s="216" t="str">
        <f ca="1">_xlfn.CONCAT(B8892,A8918)</f>
        <v>24A8694-Y</v>
      </c>
      <c r="C8918" s="24" t="s">
        <v>22</v>
      </c>
      <c r="D8918" s="184"/>
      <c r="E8918" s="25">
        <f>_xlfn.XLOOKUP(C8918,'H-MO'!B$7:B$30,'H-MO'!D$7:D$30,,0,1)</f>
        <v>2436.5624999999995</v>
      </c>
      <c r="F8918" s="19">
        <v>0.15</v>
      </c>
      <c r="G8918" s="33">
        <f t="shared" ref="G8918:G8923" si="254">+E8918*F8918</f>
        <v>365.48437499999994</v>
      </c>
      <c r="H8918" s="229">
        <f>+G$4603/E8918</f>
        <v>5.2098807233551376</v>
      </c>
      <c r="I8918" s="229">
        <f>+H8918/F8918</f>
        <v>34.732538155700922</v>
      </c>
    </row>
    <row r="8919" spans="1:9">
      <c r="A8919" s="211" t="s">
        <v>509</v>
      </c>
      <c r="B8919" s="216" t="str">
        <f ca="1">_xlfn.CONCAT(B8892,A8919)</f>
        <v>24A8694-Z</v>
      </c>
      <c r="C8919" s="24" t="s">
        <v>23</v>
      </c>
      <c r="D8919" s="184"/>
      <c r="E8919" s="25">
        <f>_xlfn.XLOOKUP(C8919,'H-MO'!B$7:B$30,'H-MO'!D$7:D$30,,0,1)</f>
        <v>1461.9374999999998</v>
      </c>
      <c r="F8919" s="19">
        <v>0.11</v>
      </c>
      <c r="G8919" s="33">
        <f t="shared" si="254"/>
        <v>160.81312499999999</v>
      </c>
      <c r="H8919" s="229">
        <f>+G$4603/E8919</f>
        <v>8.6831345389252288</v>
      </c>
      <c r="I8919" s="229">
        <f>+H8919/F8919</f>
        <v>78.937586717502086</v>
      </c>
    </row>
    <row r="8920" spans="1:9">
      <c r="A8920" s="211" t="s">
        <v>510</v>
      </c>
      <c r="B8920" s="216" t="str">
        <f ca="1">_xlfn.CONCAT(B8892,A8920)</f>
        <v>24A8694-aa</v>
      </c>
      <c r="C8920" s="24" t="s">
        <v>24</v>
      </c>
      <c r="D8920" s="185"/>
      <c r="E8920" s="25">
        <f>_xlfn.XLOOKUP(C8920,'H-MO'!B$7:B$30,'H-MO'!D$7:D$30,,0,1)</f>
        <v>29238.749999999996</v>
      </c>
      <c r="F8920" s="28">
        <v>1.4999999999999999E-2</v>
      </c>
      <c r="G8920" s="33">
        <f t="shared" si="254"/>
        <v>438.58124999999995</v>
      </c>
      <c r="H8920" s="229">
        <f>+G$4603/E8920</f>
        <v>0.43415672694626145</v>
      </c>
      <c r="I8920" s="229">
        <f>+H8920/F8920</f>
        <v>28.943781796417433</v>
      </c>
    </row>
    <row r="8921" spans="1:9">
      <c r="A8921" s="211" t="s">
        <v>511</v>
      </c>
      <c r="B8921" s="216" t="str">
        <f ca="1">_xlfn.CONCAT(B8892,A8921)</f>
        <v>24A8694-ab</v>
      </c>
      <c r="C8921" s="24" t="s">
        <v>25</v>
      </c>
      <c r="D8921" s="185"/>
      <c r="E8921" s="25">
        <f>_xlfn.XLOOKUP(C8921,'H-MO'!B$7:B$30,'H-MO'!D$7:D$30,,0,1)</f>
        <v>2761.4374999999995</v>
      </c>
      <c r="F8921" s="28">
        <v>0.1</v>
      </c>
      <c r="G8921" s="33">
        <f t="shared" si="254"/>
        <v>276.14374999999995</v>
      </c>
      <c r="H8921" s="229">
        <f>+G$4603/E8921</f>
        <v>4.5969535794310037</v>
      </c>
      <c r="I8921" s="229">
        <f>+H8921/F8921</f>
        <v>45.969535794310033</v>
      </c>
    </row>
    <row r="8922" spans="1:9">
      <c r="A8922" s="211" t="s">
        <v>512</v>
      </c>
      <c r="B8922" s="216" t="str">
        <f ca="1">_xlfn.CONCAT(B8892,A8922)</f>
        <v>24A8694-ac</v>
      </c>
      <c r="C8922" s="24"/>
      <c r="D8922" s="185"/>
      <c r="E8922" s="29"/>
      <c r="F8922" s="28">
        <v>0</v>
      </c>
      <c r="G8922" s="33">
        <f t="shared" si="254"/>
        <v>0</v>
      </c>
      <c r="H8922" s="229"/>
      <c r="I8922" s="229"/>
    </row>
    <row r="8923" spans="1:9" ht="14.25" thickBot="1">
      <c r="A8923" s="211" t="s">
        <v>513</v>
      </c>
      <c r="B8923" s="216" t="str">
        <f ca="1">_xlfn.CONCAT(B8892,A8923)</f>
        <v>24A8694-ad</v>
      </c>
      <c r="C8923" s="24"/>
      <c r="D8923" s="185"/>
      <c r="E8923" s="29"/>
      <c r="F8923" s="28">
        <v>0</v>
      </c>
      <c r="G8923" s="33">
        <f t="shared" si="254"/>
        <v>0</v>
      </c>
      <c r="H8923" s="229"/>
      <c r="I8923" s="229"/>
    </row>
    <row r="8924" spans="1:9" ht="14.25" thickBot="1">
      <c r="A8924" s="211" t="s">
        <v>514</v>
      </c>
      <c r="B8924" s="216" t="str">
        <f ca="1">_xlfn.CONCAT(B8892,A8924)</f>
        <v>24A8694-ae</v>
      </c>
      <c r="C8924" s="17"/>
      <c r="D8924" s="192"/>
      <c r="E8924" s="18"/>
      <c r="F8924" s="22" t="s">
        <v>26</v>
      </c>
      <c r="G8924" s="23">
        <f>SUM(G8918:G8923)</f>
        <v>1241.0224999999998</v>
      </c>
      <c r="H8924" s="229"/>
      <c r="I8924" s="229"/>
    </row>
    <row r="8925" spans="1:9" ht="15.75" thickBot="1">
      <c r="A8925" s="211" t="s">
        <v>515</v>
      </c>
      <c r="B8925" s="216" t="str">
        <f ca="1">_xlfn.CONCAT(B8892,A8925)</f>
        <v>24A8694-af</v>
      </c>
      <c r="C8925" s="10" t="s">
        <v>27</v>
      </c>
      <c r="D8925" s="190"/>
      <c r="E8925" s="11"/>
      <c r="F8925" s="12"/>
      <c r="G8925" s="13"/>
      <c r="H8925" s="229"/>
      <c r="I8925" s="229"/>
    </row>
    <row r="8926" spans="1:9" ht="14.25" thickBot="1">
      <c r="A8926" s="211" t="s">
        <v>516</v>
      </c>
      <c r="B8926" s="216" t="str">
        <f ca="1">_xlfn.CONCAT(B8892,A8926)</f>
        <v>24A8694-ag</v>
      </c>
      <c r="C8926" s="14" t="s">
        <v>1</v>
      </c>
      <c r="D8926" s="15" t="s">
        <v>28</v>
      </c>
      <c r="E8926" s="15" t="s">
        <v>20</v>
      </c>
      <c r="F8926" s="16" t="s">
        <v>21</v>
      </c>
      <c r="G8926" s="15" t="s">
        <v>5</v>
      </c>
      <c r="H8926" s="228"/>
      <c r="I8926" s="229"/>
    </row>
    <row r="8927" spans="1:9">
      <c r="A8927" s="211" t="s">
        <v>517</v>
      </c>
      <c r="B8927" s="216" t="str">
        <f ca="1">_xlfn.CONCAT(B8892,A8927)</f>
        <v>24A8694-ah</v>
      </c>
      <c r="C8927" s="30" t="s">
        <v>29</v>
      </c>
      <c r="D8927" s="186">
        <f>'H-MO'!$N$77</f>
        <v>725918.52892505517</v>
      </c>
      <c r="E8927" s="31">
        <f>+D8927/8</f>
        <v>90739.816115631897</v>
      </c>
      <c r="F8927" s="32">
        <v>0.15</v>
      </c>
      <c r="G8927" s="33">
        <f>+E8927*F8927</f>
        <v>13610.972417344785</v>
      </c>
      <c r="H8927" s="229">
        <f>+G$4603/E8927</f>
        <v>0.13989669081788178</v>
      </c>
      <c r="I8927" s="229">
        <f>+H8927/F8927</f>
        <v>0.93264460545254524</v>
      </c>
    </row>
    <row r="8928" spans="1:9">
      <c r="A8928" s="211" t="s">
        <v>518</v>
      </c>
      <c r="B8928" s="216" t="str">
        <f ca="1">_xlfn.CONCAT(B8892,A8928)</f>
        <v>24A8694-ai</v>
      </c>
      <c r="C8928" s="34" t="s">
        <v>30</v>
      </c>
      <c r="D8928" s="187">
        <f>'H-MO'!$N$86</f>
        <v>685561.39085756091</v>
      </c>
      <c r="E8928" s="29">
        <f>+D8928/8</f>
        <v>85695.173857195114</v>
      </c>
      <c r="F8928" s="28">
        <v>0</v>
      </c>
      <c r="G8928" s="33">
        <f>+E8928*F8928</f>
        <v>0</v>
      </c>
      <c r="H8928" s="229"/>
      <c r="I8928" s="229"/>
    </row>
    <row r="8929" spans="1:9" ht="14.25" thickBot="1">
      <c r="A8929" s="211" t="s">
        <v>519</v>
      </c>
      <c r="B8929" s="216" t="str">
        <f ca="1">_xlfn.CONCAT(B8892,A8929)</f>
        <v>24A8694-aj</v>
      </c>
      <c r="C8929" s="34"/>
      <c r="D8929" s="187"/>
      <c r="E8929" s="29"/>
      <c r="F8929" s="28">
        <v>0</v>
      </c>
      <c r="G8929" s="33">
        <f>+E8929*F8929</f>
        <v>0</v>
      </c>
      <c r="H8929" s="229"/>
      <c r="I8929" s="229"/>
    </row>
    <row r="8930" spans="1:9" ht="14.25" thickBot="1">
      <c r="A8930" s="211" t="s">
        <v>520</v>
      </c>
      <c r="B8930" s="216" t="str">
        <f ca="1">_xlfn.CONCAT(B8892,A8930)</f>
        <v>24A8694-ak</v>
      </c>
      <c r="C8930" s="34"/>
      <c r="D8930" s="185"/>
      <c r="E8930" s="26"/>
      <c r="F8930" s="36" t="s">
        <v>31</v>
      </c>
      <c r="G8930" s="23">
        <f>SUM(G8927:G8929)</f>
        <v>13610.972417344785</v>
      </c>
      <c r="H8930" s="229"/>
      <c r="I8930" s="229"/>
    </row>
    <row r="8931" spans="1:9" ht="14.25" thickBot="1">
      <c r="A8931" s="211" t="s">
        <v>521</v>
      </c>
      <c r="B8931" s="216" t="str">
        <f ca="1">_xlfn.CONCAT(B8892,A8931)</f>
        <v>24A8694-al</v>
      </c>
      <c r="C8931" s="37"/>
      <c r="E8931" s="38"/>
      <c r="F8931" s="22"/>
      <c r="G8931" s="39"/>
    </row>
    <row r="8932" spans="1:9" ht="16.5" thickBot="1">
      <c r="A8932" s="211" t="s">
        <v>522</v>
      </c>
      <c r="B8932" s="216" t="str">
        <f ca="1">_xlfn.CONCAT(B8892,A8932)</f>
        <v>24A8694-am</v>
      </c>
      <c r="C8932" s="40"/>
      <c r="D8932" s="193"/>
      <c r="E8932" s="41"/>
      <c r="F8932" s="42"/>
      <c r="G8932" s="43">
        <f>+G8915+G8924+G8930</f>
        <v>30471.344917344788</v>
      </c>
    </row>
    <row r="8933" spans="1:9" ht="21.75" thickBot="1">
      <c r="B8933" s="212" t="s">
        <v>550</v>
      </c>
      <c r="C8933" s="2"/>
      <c r="D8933" s="183"/>
      <c r="F8933" s="4"/>
      <c r="G8933" s="5"/>
    </row>
    <row r="8934" spans="1:9" ht="18.75">
      <c r="A8934" s="213"/>
      <c r="B8934" s="214">
        <v>203</v>
      </c>
      <c r="C8934" s="242" t="str">
        <f ca="1">_xlfn.XLOOKUP(B8934,Cantidades!$A$10:$A$314,Cantidades!$C$10:$C$314,,0,1)</f>
        <v>Suministro e instalación de coraza Liquid Tide Ø1 1/2". Incluye coraza, terminales, elementos de soporte y señalización</v>
      </c>
      <c r="D8934" s="243"/>
      <c r="E8934" s="243"/>
      <c r="F8934" s="243"/>
      <c r="G8934" s="244"/>
      <c r="H8934" s="213"/>
    </row>
    <row r="8935" spans="1:9" ht="19.5" thickBot="1">
      <c r="A8935" s="215"/>
      <c r="B8935" s="216" t="s">
        <v>550</v>
      </c>
      <c r="C8935" s="177"/>
      <c r="D8935" s="189"/>
      <c r="E8935" s="178"/>
      <c r="F8935" s="179" t="s">
        <v>636</v>
      </c>
      <c r="G8935" s="209" t="str">
        <f ca="1">B8936</f>
        <v>24A8695-</v>
      </c>
      <c r="H8935" s="215"/>
    </row>
    <row r="8936" spans="1:9" ht="15.75" thickBot="1">
      <c r="B8936" s="212" t="str">
        <f ca="1">_xlfn.XLOOKUP(C8934,Cantidades!$C$1:$C$314,Cantidades!$B$1:$B$314,"",0,1)</f>
        <v>24A8695-</v>
      </c>
      <c r="C8936" s="10" t="s">
        <v>0</v>
      </c>
      <c r="D8936" s="190"/>
      <c r="E8936" s="11"/>
      <c r="F8936" s="12"/>
      <c r="G8936" s="13"/>
    </row>
    <row r="8937" spans="1:9" ht="14.25" thickBot="1">
      <c r="A8937" s="215"/>
      <c r="B8937" s="216" t="s">
        <v>550</v>
      </c>
      <c r="C8937" s="14" t="s">
        <v>1</v>
      </c>
      <c r="D8937" s="15" t="s">
        <v>2</v>
      </c>
      <c r="E8937" s="15" t="s">
        <v>3</v>
      </c>
      <c r="F8937" s="16" t="s">
        <v>4</v>
      </c>
      <c r="G8937" s="15" t="s">
        <v>5</v>
      </c>
    </row>
    <row r="8938" spans="1:9">
      <c r="A8938" s="211" t="s">
        <v>484</v>
      </c>
      <c r="B8938" s="216" t="str">
        <f ca="1">_xlfn.CONCAT(B8936,A8938)</f>
        <v>24A8695-A</v>
      </c>
      <c r="C8938" s="17" t="str">
        <f>_xlfn.XLOOKUP(H8938,'Materiales unitario'!$A$1:$A$2500,'Materiales unitario'!B$1:B$2500,,0,1)</f>
        <v>Coraza metálica plastificada ø1 1/2" LT - Americana</v>
      </c>
      <c r="D8938" s="184" t="str">
        <f>_xlfn.XLOOKUP(H8938,'Materiales unitario'!A$1:A$2500,'Materiales unitario'!C$1:C$2500,,0,1)</f>
        <v>ml</v>
      </c>
      <c r="E8938" s="197">
        <f>_xlfn.XLOOKUP(H8938,'Materiales unitario'!$A$1:$A$2500,'Materiales unitario'!D$1:D$2500,,0,1)</f>
        <v>15269</v>
      </c>
      <c r="F8938" s="19">
        <v>1.05</v>
      </c>
      <c r="G8938" s="20">
        <f>+E8938*F8938</f>
        <v>16032.45</v>
      </c>
      <c r="H8938" s="211" t="s">
        <v>1539</v>
      </c>
    </row>
    <row r="8939" spans="1:9">
      <c r="A8939" s="211" t="s">
        <v>485</v>
      </c>
      <c r="B8939" s="216" t="str">
        <f ca="1">_xlfn.CONCAT(B8936,A8939)</f>
        <v>24A8695-B</v>
      </c>
      <c r="C8939" s="17" t="str">
        <f>_xlfn.XLOOKUP(H8939,'Materiales unitario'!$A$1:$A$2500,'Materiales unitario'!B$1:B$2500,,0,1)</f>
        <v>Conector recto coraza plastificada ø1 1/2" LT</v>
      </c>
      <c r="D8939" s="184" t="str">
        <f>_xlfn.XLOOKUP(H8939,'Materiales unitario'!A$1:A$2500,'Materiales unitario'!C$1:C$2500,,0,1)</f>
        <v>un</v>
      </c>
      <c r="E8939" s="197">
        <f>_xlfn.XLOOKUP(H8939,'Materiales unitario'!$A$1:$A$2500,'Materiales unitario'!D$1:D$2500,,0,1)</f>
        <v>10657</v>
      </c>
      <c r="F8939" s="19">
        <v>0.5</v>
      </c>
      <c r="G8939" s="20">
        <f>+E8939*F8939</f>
        <v>5328.5</v>
      </c>
      <c r="H8939" s="211" t="s">
        <v>1538</v>
      </c>
    </row>
    <row r="8940" spans="1:9">
      <c r="A8940" s="211" t="s">
        <v>486</v>
      </c>
      <c r="B8940" s="216" t="str">
        <f ca="1">_xlfn.CONCAT(B8936,A8940)</f>
        <v>24A8695-C</v>
      </c>
      <c r="C8940" s="17" t="str">
        <f>_xlfn.XLOOKUP(H8940,'Materiales unitario'!$A$1:$A$2500,'Materiales unitario'!B$1:B$2500,,0,1)</f>
        <v>Accesorios de anclaje y fijacion.</v>
      </c>
      <c r="D8940" s="184" t="str">
        <f>_xlfn.XLOOKUP(H8940,'Materiales unitario'!A$1:A$2500,'Materiales unitario'!C$1:C$2500,,0,1)</f>
        <v>un</v>
      </c>
      <c r="E8940" s="197">
        <f>_xlfn.XLOOKUP(H8940,'Materiales unitario'!$A$1:$A$2500,'Materiales unitario'!D$1:D$2500,,0,1)</f>
        <v>10000</v>
      </c>
      <c r="F8940" s="19">
        <v>0.3</v>
      </c>
      <c r="G8940" s="20">
        <f>+E8940*F8940</f>
        <v>3000</v>
      </c>
      <c r="H8940" s="211" t="s">
        <v>222</v>
      </c>
    </row>
    <row r="8941" spans="1:9">
      <c r="A8941" s="211" t="s">
        <v>487</v>
      </c>
      <c r="B8941" s="216" t="str">
        <f ca="1">_xlfn.CONCAT(B8936,A8941)</f>
        <v>24A8695-D</v>
      </c>
      <c r="C8941" s="17"/>
      <c r="D8941" s="184"/>
      <c r="E8941" s="197"/>
      <c r="F8941" s="19"/>
      <c r="G8941" s="20"/>
    </row>
    <row r="8942" spans="1:9">
      <c r="A8942" s="211" t="s">
        <v>488</v>
      </c>
      <c r="B8942" s="216" t="str">
        <f ca="1">_xlfn.CONCAT(B8936,A8942)</f>
        <v>24A8695-E</v>
      </c>
      <c r="C8942" s="17"/>
      <c r="D8942" s="184"/>
      <c r="E8942" s="197"/>
      <c r="F8942" s="19"/>
      <c r="G8942" s="20"/>
    </row>
    <row r="8943" spans="1:9">
      <c r="A8943" s="211" t="s">
        <v>489</v>
      </c>
      <c r="B8943" s="216" t="str">
        <f ca="1">_xlfn.CONCAT(B8936,A8943)</f>
        <v>24A8695-F</v>
      </c>
      <c r="C8943" s="17"/>
      <c r="D8943" s="184"/>
      <c r="E8943" s="197"/>
      <c r="F8943" s="19"/>
      <c r="G8943" s="20"/>
    </row>
    <row r="8944" spans="1:9">
      <c r="A8944" s="211" t="s">
        <v>490</v>
      </c>
      <c r="B8944" s="216" t="str">
        <f ca="1">_xlfn.CONCAT(B8936,A8944)</f>
        <v>24A8695-G</v>
      </c>
      <c r="C8944" s="17"/>
      <c r="D8944" s="184"/>
      <c r="E8944" s="197"/>
      <c r="F8944" s="19"/>
      <c r="G8944" s="20"/>
    </row>
    <row r="8945" spans="1:7">
      <c r="A8945" s="211" t="s">
        <v>491</v>
      </c>
      <c r="B8945" s="216" t="str">
        <f ca="1">_xlfn.CONCAT(B8936,A8945)</f>
        <v>24A8695-H</v>
      </c>
      <c r="C8945" s="17"/>
      <c r="D8945" s="184"/>
      <c r="E8945" s="197"/>
      <c r="F8945" s="19"/>
      <c r="G8945" s="20"/>
    </row>
    <row r="8946" spans="1:7">
      <c r="A8946" s="211" t="s">
        <v>492</v>
      </c>
      <c r="B8946" s="216" t="str">
        <f ca="1">_xlfn.CONCAT(B8936,A8946)</f>
        <v>24A8695-I</v>
      </c>
      <c r="C8946" s="17"/>
      <c r="D8946" s="184"/>
      <c r="E8946" s="197"/>
      <c r="F8946" s="19"/>
      <c r="G8946" s="20"/>
    </row>
    <row r="8947" spans="1:7">
      <c r="A8947" s="211" t="s">
        <v>493</v>
      </c>
      <c r="B8947" s="216" t="str">
        <f ca="1">_xlfn.CONCAT(B8936,A8947)</f>
        <v>24A8695-J</v>
      </c>
      <c r="C8947" s="17"/>
      <c r="D8947" s="184"/>
      <c r="E8947" s="197"/>
      <c r="F8947" s="19"/>
      <c r="G8947" s="20"/>
    </row>
    <row r="8948" spans="1:7">
      <c r="A8948" s="211" t="s">
        <v>494</v>
      </c>
      <c r="B8948" s="216" t="str">
        <f ca="1">_xlfn.CONCAT(B8936,A8948)</f>
        <v>24A8695-K</v>
      </c>
      <c r="C8948" s="17"/>
      <c r="D8948" s="184"/>
      <c r="E8948" s="197"/>
      <c r="F8948" s="19"/>
      <c r="G8948" s="20"/>
    </row>
    <row r="8949" spans="1:7">
      <c r="A8949" s="211" t="s">
        <v>495</v>
      </c>
      <c r="B8949" s="216" t="str">
        <f ca="1">_xlfn.CONCAT(B8936,A8949)</f>
        <v>24A8695-L</v>
      </c>
      <c r="C8949" s="17"/>
      <c r="D8949" s="184"/>
      <c r="E8949" s="197"/>
      <c r="F8949" s="19"/>
      <c r="G8949" s="20"/>
    </row>
    <row r="8950" spans="1:7">
      <c r="A8950" s="211" t="s">
        <v>496</v>
      </c>
      <c r="B8950" s="216" t="str">
        <f ca="1">_xlfn.CONCAT(B8936,A8950)</f>
        <v>24A8695-M</v>
      </c>
      <c r="C8950" s="17"/>
      <c r="D8950" s="184"/>
      <c r="E8950" s="197"/>
      <c r="F8950" s="19"/>
      <c r="G8950" s="20"/>
    </row>
    <row r="8951" spans="1:7">
      <c r="A8951" s="211" t="s">
        <v>497</v>
      </c>
      <c r="B8951" s="216" t="str">
        <f ca="1">_xlfn.CONCAT(B8936,A8951)</f>
        <v>24A8695-N</v>
      </c>
      <c r="C8951" s="17"/>
      <c r="D8951" s="184"/>
      <c r="E8951" s="197"/>
      <c r="F8951" s="19"/>
      <c r="G8951" s="20"/>
    </row>
    <row r="8952" spans="1:7">
      <c r="A8952" s="211" t="s">
        <v>498</v>
      </c>
      <c r="B8952" s="216" t="str">
        <f ca="1">_xlfn.CONCAT(B8936,A8952)</f>
        <v>24A8695-O</v>
      </c>
      <c r="C8952" s="17"/>
      <c r="D8952" s="184"/>
      <c r="E8952" s="197"/>
      <c r="F8952" s="19"/>
      <c r="G8952" s="20"/>
    </row>
    <row r="8953" spans="1:7">
      <c r="A8953" s="211" t="s">
        <v>499</v>
      </c>
      <c r="B8953" s="216" t="str">
        <f ca="1">_xlfn.CONCAT(B8936,A8953)</f>
        <v>24A8695-P</v>
      </c>
      <c r="C8953" s="17"/>
      <c r="D8953" s="184"/>
      <c r="E8953" s="197"/>
      <c r="F8953" s="19"/>
      <c r="G8953" s="20"/>
    </row>
    <row r="8954" spans="1:7">
      <c r="A8954" s="211" t="s">
        <v>500</v>
      </c>
      <c r="B8954" s="216" t="str">
        <f ca="1">_xlfn.CONCAT(B8936,A8954)</f>
        <v>24A8695-Q</v>
      </c>
      <c r="C8954" s="17"/>
      <c r="D8954" s="184"/>
      <c r="E8954" s="197"/>
      <c r="F8954" s="19"/>
      <c r="G8954" s="20"/>
    </row>
    <row r="8955" spans="1:7">
      <c r="A8955" s="211" t="s">
        <v>501</v>
      </c>
      <c r="B8955" s="216" t="str">
        <f ca="1">_xlfn.CONCAT(B8936,A8955)</f>
        <v>24A8695-R</v>
      </c>
      <c r="C8955" s="17"/>
      <c r="D8955" s="184"/>
      <c r="E8955" s="197"/>
      <c r="F8955" s="19"/>
      <c r="G8955" s="20"/>
    </row>
    <row r="8956" spans="1:7">
      <c r="A8956" s="211" t="s">
        <v>502</v>
      </c>
      <c r="B8956" s="216" t="str">
        <f ca="1">_xlfn.CONCAT(B8936,A8956)</f>
        <v>24A8695-S</v>
      </c>
      <c r="C8956" s="17"/>
      <c r="D8956" s="184"/>
      <c r="E8956" s="197"/>
      <c r="F8956" s="19"/>
      <c r="G8956" s="20"/>
    </row>
    <row r="8957" spans="1:7">
      <c r="A8957" s="211" t="s">
        <v>503</v>
      </c>
      <c r="B8957" s="216" t="str">
        <f ca="1">_xlfn.CONCAT(B8936,A8957)</f>
        <v>24A8695-T</v>
      </c>
      <c r="C8957" s="17"/>
      <c r="D8957" s="184"/>
      <c r="E8957" s="197"/>
      <c r="F8957" s="19"/>
      <c r="G8957" s="20"/>
    </row>
    <row r="8958" spans="1:7" ht="14.25" thickBot="1">
      <c r="A8958" s="211" t="s">
        <v>504</v>
      </c>
      <c r="B8958" s="216" t="str">
        <f ca="1">_xlfn.CONCAT(B8936,A8958)</f>
        <v>24A8695-U</v>
      </c>
      <c r="C8958" s="17"/>
      <c r="D8958" s="184"/>
      <c r="E8958" s="197"/>
      <c r="F8958" s="19"/>
      <c r="G8958" s="20"/>
    </row>
    <row r="8959" spans="1:7" ht="14.25" thickBot="1">
      <c r="A8959" s="211" t="s">
        <v>505</v>
      </c>
      <c r="B8959" s="216" t="str">
        <f ca="1">_xlfn.CONCAT(B8936,A8959)</f>
        <v>24A8695-V</v>
      </c>
      <c r="C8959" s="17" t="s">
        <v>17</v>
      </c>
      <c r="D8959" s="192" t="s">
        <v>17</v>
      </c>
      <c r="E8959" s="18"/>
      <c r="F8959" s="22" t="s">
        <v>18</v>
      </c>
      <c r="G8959" s="23">
        <f>SUM(G8938:G8958)</f>
        <v>24360.95</v>
      </c>
    </row>
    <row r="8960" spans="1:7" ht="15.75" thickBot="1">
      <c r="A8960" s="211" t="s">
        <v>506</v>
      </c>
      <c r="B8960" s="216" t="str">
        <f ca="1">_xlfn.CONCAT(B8936,A8960)</f>
        <v>24A8695-W</v>
      </c>
      <c r="C8960" s="10" t="s">
        <v>19</v>
      </c>
      <c r="D8960" s="190"/>
      <c r="E8960" s="11"/>
      <c r="F8960" s="12"/>
      <c r="G8960" s="13"/>
    </row>
    <row r="8961" spans="1:8" ht="14.25" thickBot="1">
      <c r="A8961" s="211" t="s">
        <v>507</v>
      </c>
      <c r="B8961" s="216" t="str">
        <f ca="1">_xlfn.CONCAT(B8936,A8961)</f>
        <v>24A8695-X</v>
      </c>
      <c r="C8961" s="14" t="s">
        <v>1</v>
      </c>
      <c r="D8961" s="15"/>
      <c r="E8961" s="15" t="s">
        <v>20</v>
      </c>
      <c r="F8961" s="16" t="s">
        <v>21</v>
      </c>
      <c r="G8961" s="15" t="s">
        <v>5</v>
      </c>
      <c r="H8961" s="228"/>
    </row>
    <row r="8962" spans="1:8">
      <c r="A8962" s="211" t="s">
        <v>508</v>
      </c>
      <c r="B8962" s="216" t="str">
        <f ca="1">_xlfn.CONCAT(B8936,A8962)</f>
        <v>24A8695-Y</v>
      </c>
      <c r="C8962" s="24" t="s">
        <v>22</v>
      </c>
      <c r="D8962" s="184"/>
      <c r="E8962" s="25">
        <f>_xlfn.XLOOKUP(C8962,'H-MO'!B$7:B$30,'H-MO'!D$7:D$30,,0,1)</f>
        <v>2436.5624999999995</v>
      </c>
      <c r="F8962" s="19">
        <v>0.15</v>
      </c>
      <c r="G8962" s="33">
        <f t="shared" ref="G8962:G8967" si="255">+E8962*F8962</f>
        <v>365.48437499999994</v>
      </c>
      <c r="H8962" s="229">
        <f>+G$4603/E8962</f>
        <v>5.2098807233551376</v>
      </c>
    </row>
    <row r="8963" spans="1:8">
      <c r="A8963" s="211" t="s">
        <v>509</v>
      </c>
      <c r="B8963" s="216" t="str">
        <f ca="1">_xlfn.CONCAT(B8936,A8963)</f>
        <v>24A8695-Z</v>
      </c>
      <c r="C8963" s="24" t="s">
        <v>23</v>
      </c>
      <c r="D8963" s="184"/>
      <c r="E8963" s="25">
        <f>_xlfn.XLOOKUP(C8963,'H-MO'!B$7:B$30,'H-MO'!D$7:D$30,,0,1)</f>
        <v>1461.9374999999998</v>
      </c>
      <c r="F8963" s="19">
        <v>0.11</v>
      </c>
      <c r="G8963" s="33">
        <f t="shared" si="255"/>
        <v>160.81312499999999</v>
      </c>
      <c r="H8963" s="229">
        <f>+G$4603/E8963</f>
        <v>8.6831345389252288</v>
      </c>
    </row>
    <row r="8964" spans="1:8">
      <c r="A8964" s="211" t="s">
        <v>510</v>
      </c>
      <c r="B8964" s="216" t="str">
        <f ca="1">_xlfn.CONCAT(B8936,A8964)</f>
        <v>24A8695-aa</v>
      </c>
      <c r="C8964" s="24" t="s">
        <v>24</v>
      </c>
      <c r="D8964" s="185"/>
      <c r="E8964" s="25">
        <f>_xlfn.XLOOKUP(C8964,'H-MO'!B$7:B$30,'H-MO'!D$7:D$30,,0,1)</f>
        <v>29238.749999999996</v>
      </c>
      <c r="F8964" s="28">
        <v>1.4999999999999999E-2</v>
      </c>
      <c r="G8964" s="33">
        <f t="shared" si="255"/>
        <v>438.58124999999995</v>
      </c>
      <c r="H8964" s="229">
        <f>+G$4603/E8964</f>
        <v>0.43415672694626145</v>
      </c>
    </row>
    <row r="8965" spans="1:8">
      <c r="A8965" s="211" t="s">
        <v>511</v>
      </c>
      <c r="B8965" s="216" t="str">
        <f ca="1">_xlfn.CONCAT(B8936,A8965)</f>
        <v>24A8695-ab</v>
      </c>
      <c r="C8965" s="24" t="s">
        <v>25</v>
      </c>
      <c r="D8965" s="185"/>
      <c r="E8965" s="25">
        <f>_xlfn.XLOOKUP(C8965,'H-MO'!B$7:B$30,'H-MO'!D$7:D$30,,0,1)</f>
        <v>2761.4374999999995</v>
      </c>
      <c r="F8965" s="28">
        <v>0.1</v>
      </c>
      <c r="G8965" s="33">
        <f t="shared" si="255"/>
        <v>276.14374999999995</v>
      </c>
      <c r="H8965" s="229">
        <f>+G$4603/E8965</f>
        <v>4.5969535794310037</v>
      </c>
    </row>
    <row r="8966" spans="1:8">
      <c r="A8966" s="211" t="s">
        <v>512</v>
      </c>
      <c r="B8966" s="216" t="str">
        <f ca="1">_xlfn.CONCAT(B8936,A8966)</f>
        <v>24A8695-ac</v>
      </c>
      <c r="C8966" s="24"/>
      <c r="D8966" s="185"/>
      <c r="E8966" s="29"/>
      <c r="F8966" s="28">
        <v>0</v>
      </c>
      <c r="G8966" s="33">
        <f t="shared" si="255"/>
        <v>0</v>
      </c>
      <c r="H8966" s="229"/>
    </row>
    <row r="8967" spans="1:8" ht="14.25" thickBot="1">
      <c r="A8967" s="211" t="s">
        <v>513</v>
      </c>
      <c r="B8967" s="216" t="str">
        <f ca="1">_xlfn.CONCAT(B8936,A8967)</f>
        <v>24A8695-ad</v>
      </c>
      <c r="C8967" s="24"/>
      <c r="D8967" s="185"/>
      <c r="E8967" s="29"/>
      <c r="F8967" s="28">
        <v>0</v>
      </c>
      <c r="G8967" s="33">
        <f t="shared" si="255"/>
        <v>0</v>
      </c>
      <c r="H8967" s="229"/>
    </row>
    <row r="8968" spans="1:8" ht="14.25" thickBot="1">
      <c r="A8968" s="211" t="s">
        <v>514</v>
      </c>
      <c r="B8968" s="216" t="str">
        <f ca="1">_xlfn.CONCAT(B8936,A8968)</f>
        <v>24A8695-ae</v>
      </c>
      <c r="C8968" s="17"/>
      <c r="D8968" s="192"/>
      <c r="E8968" s="18"/>
      <c r="F8968" s="22" t="s">
        <v>26</v>
      </c>
      <c r="G8968" s="23">
        <f>SUM(G8962:G8967)</f>
        <v>1241.0224999999998</v>
      </c>
      <c r="H8968" s="229"/>
    </row>
    <row r="8969" spans="1:8" ht="15.75" thickBot="1">
      <c r="A8969" s="211" t="s">
        <v>515</v>
      </c>
      <c r="B8969" s="216" t="str">
        <f ca="1">_xlfn.CONCAT(B8936,A8969)</f>
        <v>24A8695-af</v>
      </c>
      <c r="C8969" s="10" t="s">
        <v>27</v>
      </c>
      <c r="D8969" s="190"/>
      <c r="E8969" s="11"/>
      <c r="F8969" s="12"/>
      <c r="G8969" s="13"/>
      <c r="H8969" s="229"/>
    </row>
    <row r="8970" spans="1:8" ht="14.25" thickBot="1">
      <c r="A8970" s="211" t="s">
        <v>516</v>
      </c>
      <c r="B8970" s="216" t="str">
        <f ca="1">_xlfn.CONCAT(B8936,A8970)</f>
        <v>24A8695-ag</v>
      </c>
      <c r="C8970" s="14" t="s">
        <v>1</v>
      </c>
      <c r="D8970" s="15" t="s">
        <v>28</v>
      </c>
      <c r="E8970" s="15" t="s">
        <v>20</v>
      </c>
      <c r="F8970" s="16" t="s">
        <v>21</v>
      </c>
      <c r="G8970" s="15" t="s">
        <v>5</v>
      </c>
      <c r="H8970" s="228"/>
    </row>
    <row r="8971" spans="1:8">
      <c r="A8971" s="211" t="s">
        <v>517</v>
      </c>
      <c r="B8971" s="216" t="str">
        <f ca="1">_xlfn.CONCAT(B8936,A8971)</f>
        <v>24A8695-ah</v>
      </c>
      <c r="C8971" s="30" t="s">
        <v>29</v>
      </c>
      <c r="D8971" s="186">
        <f>'H-MO'!$N$77</f>
        <v>725918.52892505517</v>
      </c>
      <c r="E8971" s="31">
        <f>+D8971/8</f>
        <v>90739.816115631897</v>
      </c>
      <c r="F8971" s="32">
        <v>0.15</v>
      </c>
      <c r="G8971" s="33">
        <f>+E8971*F8971</f>
        <v>13610.972417344785</v>
      </c>
      <c r="H8971" s="229">
        <f>+G$4603/E8971</f>
        <v>0.13989669081788178</v>
      </c>
    </row>
    <row r="8972" spans="1:8">
      <c r="A8972" s="211" t="s">
        <v>518</v>
      </c>
      <c r="B8972" s="216" t="str">
        <f ca="1">_xlfn.CONCAT(B8936,A8972)</f>
        <v>24A8695-ai</v>
      </c>
      <c r="C8972" s="34" t="s">
        <v>30</v>
      </c>
      <c r="D8972" s="187">
        <f>'H-MO'!$N$86</f>
        <v>685561.39085756091</v>
      </c>
      <c r="E8972" s="29">
        <f>+D8972/8</f>
        <v>85695.173857195114</v>
      </c>
      <c r="F8972" s="28">
        <v>0</v>
      </c>
      <c r="G8972" s="33">
        <f>+E8972*F8972</f>
        <v>0</v>
      </c>
      <c r="H8972" s="229"/>
    </row>
    <row r="8973" spans="1:8" ht="14.25" thickBot="1">
      <c r="A8973" s="211" t="s">
        <v>519</v>
      </c>
      <c r="B8973" s="216" t="str">
        <f ca="1">_xlfn.CONCAT(B8936,A8973)</f>
        <v>24A8695-aj</v>
      </c>
      <c r="C8973" s="34"/>
      <c r="D8973" s="187"/>
      <c r="E8973" s="29"/>
      <c r="F8973" s="28">
        <v>0</v>
      </c>
      <c r="G8973" s="33">
        <f>+E8973*F8973</f>
        <v>0</v>
      </c>
      <c r="H8973" s="229"/>
    </row>
    <row r="8974" spans="1:8" ht="14.25" thickBot="1">
      <c r="A8974" s="211" t="s">
        <v>520</v>
      </c>
      <c r="B8974" s="216" t="str">
        <f ca="1">_xlfn.CONCAT(B8936,A8974)</f>
        <v>24A8695-ak</v>
      </c>
      <c r="C8974" s="34"/>
      <c r="D8974" s="185"/>
      <c r="E8974" s="26"/>
      <c r="F8974" s="36" t="s">
        <v>31</v>
      </c>
      <c r="G8974" s="23">
        <f>SUM(G8971:G8973)</f>
        <v>13610.972417344785</v>
      </c>
      <c r="H8974" s="229"/>
    </row>
    <row r="8975" spans="1:8" ht="14.25" thickBot="1">
      <c r="A8975" s="211" t="s">
        <v>521</v>
      </c>
      <c r="B8975" s="216" t="str">
        <f ca="1">_xlfn.CONCAT(B8936,A8975)</f>
        <v>24A8695-al</v>
      </c>
      <c r="C8975" s="37"/>
      <c r="E8975" s="38"/>
      <c r="F8975" s="22"/>
      <c r="G8975" s="39"/>
    </row>
    <row r="8976" spans="1:8" ht="16.5" thickBot="1">
      <c r="A8976" s="211" t="s">
        <v>522</v>
      </c>
      <c r="B8976" s="216" t="str">
        <f ca="1">_xlfn.CONCAT(B8936,A8976)</f>
        <v>24A8695-am</v>
      </c>
      <c r="C8976" s="40"/>
      <c r="D8976" s="193"/>
      <c r="E8976" s="41"/>
      <c r="F8976" s="42"/>
      <c r="G8976" s="43">
        <f>+G8959+G8968+G8974</f>
        <v>39212.944917344787</v>
      </c>
    </row>
    <row r="8977" spans="1:8" ht="21.75" thickBot="1">
      <c r="B8977" s="212" t="s">
        <v>550</v>
      </c>
      <c r="C8977" s="2"/>
      <c r="D8977" s="183"/>
      <c r="F8977" s="4"/>
      <c r="G8977" s="5"/>
    </row>
    <row r="8978" spans="1:8" ht="18.75">
      <c r="A8978" s="213"/>
      <c r="B8978" s="214">
        <v>204</v>
      </c>
      <c r="C8978" s="242" t="str">
        <f ca="1">_xlfn.XLOOKUP(B8978,Cantidades!$A$10:$A$314,Cantidades!$C$10:$C$314,,0,1)</f>
        <v>Suministro e instalación de caja de inspección AP280 Para alumbrado publico. Incluye suministro de 1 tapas, excavación y retiro de escombros.</v>
      </c>
      <c r="D8978" s="243"/>
      <c r="E8978" s="243"/>
      <c r="F8978" s="243"/>
      <c r="G8978" s="244"/>
    </row>
    <row r="8979" spans="1:8" ht="19.5" thickBot="1">
      <c r="A8979" s="215"/>
      <c r="B8979" s="216" t="s">
        <v>550</v>
      </c>
      <c r="C8979" s="177"/>
      <c r="D8979" s="189"/>
      <c r="E8979" s="178"/>
      <c r="F8979" s="179" t="s">
        <v>636</v>
      </c>
      <c r="G8979" s="209" t="str">
        <f ca="1">B8980</f>
        <v>227B31E3-</v>
      </c>
    </row>
    <row r="8980" spans="1:8" ht="15.75" thickBot="1">
      <c r="B8980" s="212" t="str">
        <f ca="1">_xlfn.XLOOKUP(C8978,Cantidades!$C$1:$C$314,Cantidades!$B$1:$B$314,"",0,1)</f>
        <v>227B31E3-</v>
      </c>
      <c r="C8980" s="10" t="s">
        <v>0</v>
      </c>
      <c r="D8980" s="190"/>
      <c r="E8980" s="11"/>
      <c r="F8980" s="12"/>
      <c r="G8980" s="13"/>
    </row>
    <row r="8981" spans="1:8" ht="14.25" thickBot="1">
      <c r="A8981" s="215"/>
      <c r="B8981" s="216" t="s">
        <v>550</v>
      </c>
      <c r="C8981" s="14" t="s">
        <v>1</v>
      </c>
      <c r="D8981" s="15" t="s">
        <v>2</v>
      </c>
      <c r="E8981" s="15" t="s">
        <v>3</v>
      </c>
      <c r="F8981" s="16" t="s">
        <v>4</v>
      </c>
      <c r="G8981" s="15" t="s">
        <v>5</v>
      </c>
    </row>
    <row r="8982" spans="1:8">
      <c r="A8982" s="211" t="s">
        <v>484</v>
      </c>
      <c r="B8982" s="216" t="str">
        <f ca="1">_xlfn.CONCAT(B8980,A8982)</f>
        <v>227B31E3-A</v>
      </c>
      <c r="C8982" s="17" t="str">
        <f>_xlfn.XLOOKUP(H8982,'Materiales unitario'!$A$1:$A$2500,'Materiales unitario'!B$1:B$2500,,0,1)</f>
        <v>Ladrillo tolete recocido</v>
      </c>
      <c r="D8982" s="184" t="str">
        <f>_xlfn.XLOOKUP(H8982,'Materiales unitario'!A$1:A$2500,'Materiales unitario'!C$1:C$2500,,0,1)</f>
        <v>un</v>
      </c>
      <c r="E8982" s="197">
        <f>_xlfn.XLOOKUP(H8982,'Materiales unitario'!$A$1:$A$2500,'Materiales unitario'!D$1:D$2500,,0,1)</f>
        <v>714</v>
      </c>
      <c r="F8982" s="19">
        <v>88</v>
      </c>
      <c r="G8982" s="20">
        <f t="shared" ref="G8982:G8987" si="256">+E8982*F8982</f>
        <v>62832</v>
      </c>
      <c r="H8982" s="211" t="s">
        <v>330</v>
      </c>
    </row>
    <row r="8983" spans="1:8">
      <c r="A8983" s="211" t="s">
        <v>485</v>
      </c>
      <c r="B8983" s="216" t="str">
        <f ca="1">_xlfn.CONCAT(B8980,A8983)</f>
        <v>227B31E3-B</v>
      </c>
      <c r="C8983" s="17" t="str">
        <f>_xlfn.XLOOKUP(H8983,'Materiales unitario'!$A$1:$A$2500,'Materiales unitario'!B$1:B$2500,,0,1)</f>
        <v>Cemento gris</v>
      </c>
      <c r="D8983" s="184" t="str">
        <f>_xlfn.XLOOKUP(H8983,'Materiales unitario'!A$1:A$2500,'Materiales unitario'!C$1:C$2500,,0,1)</f>
        <v>bt</v>
      </c>
      <c r="E8983" s="197">
        <f>_xlfn.XLOOKUP(H8983,'Materiales unitario'!$A$1:$A$2500,'Materiales unitario'!D$1:D$2500,,0,1)</f>
        <v>36771</v>
      </c>
      <c r="F8983" s="19">
        <v>1.6500000000000001</v>
      </c>
      <c r="G8983" s="20">
        <f t="shared" si="256"/>
        <v>60672.15</v>
      </c>
      <c r="H8983" s="211" t="s">
        <v>295</v>
      </c>
    </row>
    <row r="8984" spans="1:8">
      <c r="A8984" s="211" t="s">
        <v>486</v>
      </c>
      <c r="B8984" s="216" t="str">
        <f ca="1">_xlfn.CONCAT(B8980,A8984)</f>
        <v>227B31E3-C</v>
      </c>
      <c r="C8984" s="17" t="str">
        <f>_xlfn.XLOOKUP(H8984,'Materiales unitario'!$A$1:$A$2500,'Materiales unitario'!B$1:B$2500,,0,1)</f>
        <v xml:space="preserve">Arena de peña </v>
      </c>
      <c r="D8984" s="184" t="str">
        <f>_xlfn.XLOOKUP(H8984,'Materiales unitario'!A$1:A$2500,'Materiales unitario'!C$1:C$2500,,0,1)</f>
        <v>m3</v>
      </c>
      <c r="E8984" s="197">
        <f>_xlfn.XLOOKUP(H8984,'Materiales unitario'!$A$1:$A$2500,'Materiales unitario'!D$1:D$2500,,0,1)</f>
        <v>154700</v>
      </c>
      <c r="F8984" s="19">
        <v>0.24200000000000002</v>
      </c>
      <c r="G8984" s="20">
        <f t="shared" si="256"/>
        <v>37437.4</v>
      </c>
      <c r="H8984" s="211" t="s">
        <v>231</v>
      </c>
    </row>
    <row r="8985" spans="1:8">
      <c r="A8985" s="211" t="s">
        <v>487</v>
      </c>
      <c r="B8985" s="216" t="str">
        <f ca="1">_xlfn.CONCAT(B8980,A8985)</f>
        <v>227B31E3-D</v>
      </c>
      <c r="C8985" s="17" t="str">
        <f>_xlfn.XLOOKUP(H8985,'Materiales unitario'!$A$1:$A$2500,'Materiales unitario'!B$1:B$2500,,0,1)</f>
        <v>Arena lavada + Gravilla = Mixto</v>
      </c>
      <c r="D8985" s="184" t="str">
        <f>_xlfn.XLOOKUP(H8985,'Materiales unitario'!A$1:A$2500,'Materiales unitario'!C$1:C$2500,,0,1)</f>
        <v>m3</v>
      </c>
      <c r="E8985" s="197">
        <f>_xlfn.XLOOKUP(H8985,'Materiales unitario'!$A$1:$A$2500,'Materiales unitario'!D$1:D$2500,,0,1)</f>
        <v>190400</v>
      </c>
      <c r="F8985" s="19">
        <v>8.8000000000000009E-2</v>
      </c>
      <c r="G8985" s="20">
        <f t="shared" si="256"/>
        <v>16755.2</v>
      </c>
      <c r="H8985" s="211" t="s">
        <v>523</v>
      </c>
    </row>
    <row r="8986" spans="1:8">
      <c r="A8986" s="211" t="s">
        <v>488</v>
      </c>
      <c r="B8986" s="216" t="str">
        <f ca="1">_xlfn.CONCAT(B8980,A8986)</f>
        <v>227B31E3-E</v>
      </c>
      <c r="C8986" s="17" t="str">
        <f>_xlfn.XLOOKUP(H8986,'Materiales unitario'!$A$1:$A$2500,'Materiales unitario'!B$1:B$2500,,0,1)</f>
        <v>Marco + tapas de inspección cámara tipo AP -280 40x40</v>
      </c>
      <c r="D8986" s="184" t="str">
        <f>_xlfn.XLOOKUP(H8986,'Materiales unitario'!A$1:A$2500,'Materiales unitario'!C$1:C$2500,,0,1)</f>
        <v>jg</v>
      </c>
      <c r="E8986" s="197">
        <f>_xlfn.XLOOKUP(H8986,'Materiales unitario'!$A$1:$A$2500,'Materiales unitario'!D$1:D$2500,,0,1)</f>
        <v>86320</v>
      </c>
      <c r="F8986" s="19">
        <v>1</v>
      </c>
      <c r="G8986" s="20">
        <f t="shared" si="256"/>
        <v>86320</v>
      </c>
      <c r="H8986" s="211" t="s">
        <v>1545</v>
      </c>
    </row>
    <row r="8987" spans="1:8">
      <c r="A8987" s="211" t="s">
        <v>489</v>
      </c>
      <c r="B8987" s="216" t="str">
        <f ca="1">_xlfn.CONCAT(B8980,A8987)</f>
        <v>227B31E3-F</v>
      </c>
      <c r="C8987" s="17" t="str">
        <f>_xlfn.XLOOKUP(H8987,'Materiales unitario'!$A$1:$A$2500,'Materiales unitario'!B$1:B$2500,,0,1)</f>
        <v>Fungibles (Madera para formaleta, puntillas y accesorios).</v>
      </c>
      <c r="D8987" s="184" t="str">
        <f>_xlfn.XLOOKUP(H8987,'Materiales unitario'!A$1:A$2500,'Materiales unitario'!C$1:C$2500,,0,1)</f>
        <v>ml</v>
      </c>
      <c r="E8987" s="197">
        <f>_xlfn.XLOOKUP(H8987,'Materiales unitario'!$A$1:$A$2500,'Materiales unitario'!D$1:D$2500,,0,1)</f>
        <v>22600</v>
      </c>
      <c r="F8987" s="19">
        <v>1.6500000000000001</v>
      </c>
      <c r="G8987" s="20">
        <f t="shared" si="256"/>
        <v>37290</v>
      </c>
      <c r="H8987" s="211" t="s">
        <v>324</v>
      </c>
    </row>
    <row r="8988" spans="1:8">
      <c r="A8988" s="211" t="s">
        <v>490</v>
      </c>
      <c r="B8988" s="216" t="str">
        <f ca="1">_xlfn.CONCAT(B8980,A8988)</f>
        <v>227B31E3-G</v>
      </c>
      <c r="C8988" s="17"/>
      <c r="D8988" s="184"/>
      <c r="E8988" s="197"/>
      <c r="F8988" s="19"/>
      <c r="G8988" s="20"/>
    </row>
    <row r="8989" spans="1:8">
      <c r="A8989" s="211" t="s">
        <v>491</v>
      </c>
      <c r="B8989" s="216" t="str">
        <f ca="1">_xlfn.CONCAT(B8980,A8989)</f>
        <v>227B31E3-H</v>
      </c>
      <c r="C8989" s="17"/>
      <c r="D8989" s="184"/>
      <c r="E8989" s="197"/>
      <c r="F8989" s="19"/>
      <c r="G8989" s="20"/>
    </row>
    <row r="8990" spans="1:8">
      <c r="A8990" s="211" t="s">
        <v>492</v>
      </c>
      <c r="B8990" s="216" t="str">
        <f ca="1">_xlfn.CONCAT(B8980,A8990)</f>
        <v>227B31E3-I</v>
      </c>
      <c r="C8990" s="17"/>
      <c r="D8990" s="184"/>
      <c r="E8990" s="197"/>
      <c r="F8990" s="19"/>
      <c r="G8990" s="20"/>
    </row>
    <row r="8991" spans="1:8">
      <c r="A8991" s="211" t="s">
        <v>493</v>
      </c>
      <c r="B8991" s="216" t="str">
        <f ca="1">_xlfn.CONCAT(B8980,A8991)</f>
        <v>227B31E3-J</v>
      </c>
      <c r="C8991" s="17"/>
      <c r="D8991" s="184"/>
      <c r="E8991" s="197"/>
      <c r="F8991" s="19"/>
      <c r="G8991" s="20"/>
    </row>
    <row r="8992" spans="1:8">
      <c r="A8992" s="211" t="s">
        <v>494</v>
      </c>
      <c r="B8992" s="216" t="str">
        <f ca="1">_xlfn.CONCAT(B8980,A8992)</f>
        <v>227B31E3-K</v>
      </c>
      <c r="C8992" s="17"/>
      <c r="D8992" s="184"/>
      <c r="E8992" s="197"/>
      <c r="F8992" s="19"/>
      <c r="G8992" s="20"/>
    </row>
    <row r="8993" spans="1:7">
      <c r="A8993" s="211" t="s">
        <v>495</v>
      </c>
      <c r="B8993" s="216" t="str">
        <f ca="1">_xlfn.CONCAT(B8980,A8993)</f>
        <v>227B31E3-L</v>
      </c>
      <c r="C8993" s="17"/>
      <c r="D8993" s="184"/>
      <c r="E8993" s="197"/>
      <c r="F8993" s="19"/>
      <c r="G8993" s="20"/>
    </row>
    <row r="8994" spans="1:7">
      <c r="A8994" s="211" t="s">
        <v>496</v>
      </c>
      <c r="B8994" s="216" t="str">
        <f ca="1">_xlfn.CONCAT(B8980,A8994)</f>
        <v>227B31E3-M</v>
      </c>
      <c r="C8994" s="17"/>
      <c r="D8994" s="184"/>
      <c r="E8994" s="197"/>
      <c r="F8994" s="19"/>
      <c r="G8994" s="20"/>
    </row>
    <row r="8995" spans="1:7">
      <c r="A8995" s="211" t="s">
        <v>497</v>
      </c>
      <c r="B8995" s="216" t="str">
        <f ca="1">_xlfn.CONCAT(B8980,A8995)</f>
        <v>227B31E3-N</v>
      </c>
      <c r="C8995" s="17"/>
      <c r="D8995" s="184"/>
      <c r="E8995" s="197"/>
      <c r="F8995" s="19"/>
      <c r="G8995" s="20"/>
    </row>
    <row r="8996" spans="1:7">
      <c r="A8996" s="211" t="s">
        <v>498</v>
      </c>
      <c r="B8996" s="216" t="str">
        <f ca="1">_xlfn.CONCAT(B8980,A8996)</f>
        <v>227B31E3-O</v>
      </c>
      <c r="C8996" s="17"/>
      <c r="D8996" s="184"/>
      <c r="E8996" s="197"/>
      <c r="F8996" s="19"/>
      <c r="G8996" s="20"/>
    </row>
    <row r="8997" spans="1:7">
      <c r="A8997" s="211" t="s">
        <v>499</v>
      </c>
      <c r="B8997" s="216" t="str">
        <f ca="1">_xlfn.CONCAT(B8980,A8997)</f>
        <v>227B31E3-P</v>
      </c>
      <c r="C8997" s="17"/>
      <c r="D8997" s="184"/>
      <c r="E8997" s="197"/>
      <c r="F8997" s="19"/>
      <c r="G8997" s="20"/>
    </row>
    <row r="8998" spans="1:7">
      <c r="A8998" s="211" t="s">
        <v>500</v>
      </c>
      <c r="B8998" s="216" t="str">
        <f ca="1">_xlfn.CONCAT(B8980,A8998)</f>
        <v>227B31E3-Q</v>
      </c>
      <c r="C8998" s="17"/>
      <c r="D8998" s="184"/>
      <c r="E8998" s="197"/>
      <c r="F8998" s="19"/>
      <c r="G8998" s="20"/>
    </row>
    <row r="8999" spans="1:7">
      <c r="A8999" s="211" t="s">
        <v>501</v>
      </c>
      <c r="B8999" s="216" t="str">
        <f ca="1">_xlfn.CONCAT(B8980,A8999)</f>
        <v>227B31E3-R</v>
      </c>
      <c r="C8999" s="17"/>
      <c r="D8999" s="184"/>
      <c r="E8999" s="197"/>
      <c r="F8999" s="19"/>
      <c r="G8999" s="20"/>
    </row>
    <row r="9000" spans="1:7">
      <c r="A9000" s="211" t="s">
        <v>502</v>
      </c>
      <c r="B9000" s="216" t="str">
        <f ca="1">_xlfn.CONCAT(B8980,A9000)</f>
        <v>227B31E3-S</v>
      </c>
      <c r="C9000" s="17"/>
      <c r="D9000" s="184"/>
      <c r="E9000" s="197"/>
      <c r="F9000" s="19"/>
      <c r="G9000" s="20"/>
    </row>
    <row r="9001" spans="1:7">
      <c r="A9001" s="211" t="s">
        <v>503</v>
      </c>
      <c r="B9001" s="216" t="str">
        <f ca="1">_xlfn.CONCAT(B8980,A9001)</f>
        <v>227B31E3-T</v>
      </c>
      <c r="C9001" s="17"/>
      <c r="D9001" s="184"/>
      <c r="E9001" s="197"/>
      <c r="F9001" s="19"/>
      <c r="G9001" s="20"/>
    </row>
    <row r="9002" spans="1:7" ht="14.25" thickBot="1">
      <c r="A9002" s="211" t="s">
        <v>504</v>
      </c>
      <c r="B9002" s="216" t="str">
        <f ca="1">_xlfn.CONCAT(B8980,A9002)</f>
        <v>227B31E3-U</v>
      </c>
      <c r="C9002" s="17"/>
      <c r="D9002" s="184"/>
      <c r="E9002" s="197"/>
      <c r="F9002" s="19"/>
      <c r="G9002" s="20"/>
    </row>
    <row r="9003" spans="1:7" ht="14.25" thickBot="1">
      <c r="A9003" s="211" t="s">
        <v>505</v>
      </c>
      <c r="B9003" s="216" t="str">
        <f ca="1">_xlfn.CONCAT(B8980,A9003)</f>
        <v>227B31E3-V</v>
      </c>
      <c r="C9003" s="17" t="s">
        <v>17</v>
      </c>
      <c r="D9003" s="192" t="s">
        <v>17</v>
      </c>
      <c r="E9003" s="18"/>
      <c r="F9003" s="22" t="s">
        <v>18</v>
      </c>
      <c r="G9003" s="23">
        <f>SUM(G8982:G9002)</f>
        <v>301306.75</v>
      </c>
    </row>
    <row r="9004" spans="1:7" ht="15.75" thickBot="1">
      <c r="A9004" s="211" t="s">
        <v>506</v>
      </c>
      <c r="B9004" s="216" t="str">
        <f ca="1">_xlfn.CONCAT(B8980,A9004)</f>
        <v>227B31E3-W</v>
      </c>
      <c r="C9004" s="10" t="s">
        <v>19</v>
      </c>
      <c r="D9004" s="190"/>
      <c r="E9004" s="11"/>
      <c r="F9004" s="12"/>
      <c r="G9004" s="13"/>
    </row>
    <row r="9005" spans="1:7" ht="14.25" thickBot="1">
      <c r="A9005" s="211" t="s">
        <v>507</v>
      </c>
      <c r="B9005" s="216" t="str">
        <f ca="1">_xlfn.CONCAT(B8980,A9005)</f>
        <v>227B31E3-X</v>
      </c>
      <c r="C9005" s="14" t="s">
        <v>1</v>
      </c>
      <c r="D9005" s="15"/>
      <c r="E9005" s="15" t="s">
        <v>20</v>
      </c>
      <c r="F9005" s="16" t="s">
        <v>21</v>
      </c>
      <c r="G9005" s="15" t="s">
        <v>5</v>
      </c>
    </row>
    <row r="9006" spans="1:7">
      <c r="A9006" s="211" t="s">
        <v>508</v>
      </c>
      <c r="B9006" s="216" t="str">
        <f ca="1">_xlfn.CONCAT(B8980,A9006)</f>
        <v>227B31E3-Y</v>
      </c>
      <c r="C9006" s="24" t="s">
        <v>22</v>
      </c>
      <c r="D9006" s="184"/>
      <c r="E9006" s="25">
        <f>_xlfn.XLOOKUP(C9006,'H-MO'!B$7:B$30,'H-MO'!D$7:D$30,,0,1)</f>
        <v>2436.5624999999995</v>
      </c>
      <c r="F9006" s="19">
        <v>0.29127605797101447</v>
      </c>
      <c r="G9006" s="33">
        <f t="shared" ref="G9006:G9011" si="257">+E9006*F9006</f>
        <v>709.71231999999986</v>
      </c>
    </row>
    <row r="9007" spans="1:7">
      <c r="A9007" s="211" t="s">
        <v>509</v>
      </c>
      <c r="B9007" s="216" t="str">
        <f ca="1">_xlfn.CONCAT(B8980,A9007)</f>
        <v>227B31E3-Z</v>
      </c>
      <c r="C9007" s="24" t="s">
        <v>23</v>
      </c>
      <c r="D9007" s="184"/>
      <c r="E9007" s="25">
        <f>_xlfn.XLOOKUP(C9007,'H-MO'!B$7:B$30,'H-MO'!D$7:D$30,,0,1)</f>
        <v>1461.9374999999998</v>
      </c>
      <c r="F9007" s="19">
        <v>0.7281901449275362</v>
      </c>
      <c r="G9007" s="33">
        <f t="shared" si="257"/>
        <v>1064.5684799999997</v>
      </c>
    </row>
    <row r="9008" spans="1:7">
      <c r="A9008" s="211" t="s">
        <v>510</v>
      </c>
      <c r="B9008" s="216" t="str">
        <f ca="1">_xlfn.CONCAT(B8980,A9008)</f>
        <v>227B31E3-aa</v>
      </c>
      <c r="C9008" s="24" t="s">
        <v>24</v>
      </c>
      <c r="D9008" s="185"/>
      <c r="E9008" s="25">
        <f>_xlfn.XLOOKUP(C9008,'H-MO'!B$7:B$30,'H-MO'!D$7:D$30,,0,1)</f>
        <v>29238.749999999996</v>
      </c>
      <c r="F9008" s="28">
        <v>1.2136502415458937E-2</v>
      </c>
      <c r="G9008" s="33">
        <f t="shared" si="257"/>
        <v>354.85615999999993</v>
      </c>
    </row>
    <row r="9009" spans="1:7">
      <c r="A9009" s="211" t="s">
        <v>511</v>
      </c>
      <c r="B9009" s="216" t="str">
        <f ca="1">_xlfn.CONCAT(B8980,A9009)</f>
        <v>227B31E3-ab</v>
      </c>
      <c r="C9009" s="24" t="s">
        <v>25</v>
      </c>
      <c r="D9009" s="185"/>
      <c r="E9009" s="25">
        <f>_xlfn.XLOOKUP(C9009,'H-MO'!B$7:B$30,'H-MO'!D$7:D$30,,0,1)</f>
        <v>2761.4374999999995</v>
      </c>
      <c r="F9009" s="28">
        <v>0.25700828644501278</v>
      </c>
      <c r="G9009" s="33">
        <f t="shared" si="257"/>
        <v>709.71231999999986</v>
      </c>
    </row>
    <row r="9010" spans="1:7">
      <c r="A9010" s="211" t="s">
        <v>512</v>
      </c>
      <c r="B9010" s="216" t="str">
        <f ca="1">_xlfn.CONCAT(B8980,A9010)</f>
        <v>227B31E3-ac</v>
      </c>
      <c r="C9010" s="24"/>
      <c r="D9010" s="185"/>
      <c r="E9010" s="29"/>
      <c r="F9010" s="28"/>
      <c r="G9010" s="33">
        <f t="shared" si="257"/>
        <v>0</v>
      </c>
    </row>
    <row r="9011" spans="1:7" ht="14.25" thickBot="1">
      <c r="A9011" s="211" t="s">
        <v>513</v>
      </c>
      <c r="B9011" s="216" t="str">
        <f ca="1">_xlfn.CONCAT(B8980,A9011)</f>
        <v>227B31E3-ad</v>
      </c>
      <c r="C9011" s="24"/>
      <c r="D9011" s="185"/>
      <c r="E9011" s="29"/>
      <c r="F9011" s="28"/>
      <c r="G9011" s="33">
        <f t="shared" si="257"/>
        <v>0</v>
      </c>
    </row>
    <row r="9012" spans="1:7" ht="14.25" thickBot="1">
      <c r="A9012" s="211" t="s">
        <v>514</v>
      </c>
      <c r="B9012" s="216" t="str">
        <f ca="1">_xlfn.CONCAT(B8980,A9012)</f>
        <v>227B31E3-ae</v>
      </c>
      <c r="C9012" s="17"/>
      <c r="D9012" s="192"/>
      <c r="E9012" s="18"/>
      <c r="F9012" s="22" t="s">
        <v>26</v>
      </c>
      <c r="G9012" s="23">
        <f>SUM(G9006:G9011)</f>
        <v>2838.8492799999995</v>
      </c>
    </row>
    <row r="9013" spans="1:7" ht="15.75" thickBot="1">
      <c r="A9013" s="211" t="s">
        <v>515</v>
      </c>
      <c r="B9013" s="216" t="str">
        <f ca="1">_xlfn.CONCAT(B8980,A9013)</f>
        <v>227B31E3-af</v>
      </c>
      <c r="C9013" s="10" t="s">
        <v>27</v>
      </c>
      <c r="D9013" s="190"/>
      <c r="E9013" s="11"/>
      <c r="F9013" s="12"/>
      <c r="G9013" s="13"/>
    </row>
    <row r="9014" spans="1:7" ht="14.25" thickBot="1">
      <c r="A9014" s="211" t="s">
        <v>516</v>
      </c>
      <c r="B9014" s="216" t="str">
        <f ca="1">_xlfn.CONCAT(B8980,A9014)</f>
        <v>227B31E3-ag</v>
      </c>
      <c r="C9014" s="14" t="s">
        <v>1</v>
      </c>
      <c r="D9014" s="15" t="s">
        <v>28</v>
      </c>
      <c r="E9014" s="15" t="s">
        <v>20</v>
      </c>
      <c r="F9014" s="16" t="s">
        <v>21</v>
      </c>
      <c r="G9014" s="15" t="s">
        <v>5</v>
      </c>
    </row>
    <row r="9015" spans="1:7">
      <c r="A9015" s="211" t="s">
        <v>517</v>
      </c>
      <c r="B9015" s="216" t="str">
        <f ca="1">_xlfn.CONCAT(B8980,A9015)</f>
        <v>227B31E3-ah</v>
      </c>
      <c r="C9015" s="30" t="s">
        <v>29</v>
      </c>
      <c r="D9015" s="186">
        <f>'H-MO'!$N$77</f>
        <v>725918.52892505517</v>
      </c>
      <c r="E9015" s="31">
        <f>+D9015/8</f>
        <v>90739.816115631897</v>
      </c>
      <c r="F9015" s="32">
        <v>0</v>
      </c>
      <c r="G9015" s="33">
        <f>+E9015*F9015</f>
        <v>0</v>
      </c>
    </row>
    <row r="9016" spans="1:7">
      <c r="A9016" s="211" t="s">
        <v>518</v>
      </c>
      <c r="B9016" s="216" t="str">
        <f ca="1">_xlfn.CONCAT(B8980,A9016)</f>
        <v>227B31E3-ai</v>
      </c>
      <c r="C9016" s="34" t="s">
        <v>30</v>
      </c>
      <c r="D9016" s="187">
        <f>'H-MO'!$N$86</f>
        <v>685561.39085756091</v>
      </c>
      <c r="E9016" s="29">
        <f>+D9016/8</f>
        <v>85695.173857195114</v>
      </c>
      <c r="F9016" s="28">
        <v>4.4000000000000004</v>
      </c>
      <c r="G9016" s="33">
        <f>+E9016*F9016</f>
        <v>377058.76497165853</v>
      </c>
    </row>
    <row r="9017" spans="1:7" ht="14.25" thickBot="1">
      <c r="A9017" s="211" t="s">
        <v>519</v>
      </c>
      <c r="B9017" s="216" t="str">
        <f ca="1">_xlfn.CONCAT(B8980,A9017)</f>
        <v>227B31E3-aj</v>
      </c>
      <c r="C9017" s="34"/>
      <c r="D9017" s="187"/>
      <c r="E9017" s="29"/>
      <c r="F9017" s="28"/>
      <c r="G9017" s="33">
        <f>+E9017*F9017</f>
        <v>0</v>
      </c>
    </row>
    <row r="9018" spans="1:7" ht="14.25" thickBot="1">
      <c r="A9018" s="211" t="s">
        <v>520</v>
      </c>
      <c r="B9018" s="216" t="str">
        <f ca="1">_xlfn.CONCAT(B8980,A9018)</f>
        <v>227B31E3-ak</v>
      </c>
      <c r="C9018" s="34"/>
      <c r="D9018" s="185"/>
      <c r="E9018" s="26"/>
      <c r="F9018" s="36" t="s">
        <v>31</v>
      </c>
      <c r="G9018" s="23">
        <f>SUM(G9015:G9017)</f>
        <v>377058.76497165853</v>
      </c>
    </row>
    <row r="9019" spans="1:7" ht="14.25" thickBot="1">
      <c r="A9019" s="211" t="s">
        <v>521</v>
      </c>
      <c r="B9019" s="216" t="str">
        <f ca="1">_xlfn.CONCAT(B8980,A9019)</f>
        <v>227B31E3-al</v>
      </c>
      <c r="C9019" s="37"/>
      <c r="E9019" s="38"/>
      <c r="F9019" s="22"/>
      <c r="G9019" s="39"/>
    </row>
    <row r="9020" spans="1:7" ht="16.5" thickBot="1">
      <c r="A9020" s="211" t="s">
        <v>522</v>
      </c>
      <c r="B9020" s="216" t="str">
        <f ca="1">_xlfn.CONCAT(B8980,A9020)</f>
        <v>227B31E3-am</v>
      </c>
      <c r="C9020" s="40"/>
      <c r="D9020" s="193"/>
      <c r="E9020" s="41"/>
      <c r="F9020" s="42"/>
      <c r="G9020" s="43">
        <f>+G9003+G9012+G9018</f>
        <v>681204.36425165855</v>
      </c>
    </row>
    <row r="9021" spans="1:7" ht="21.75" thickBot="1">
      <c r="B9021" s="212" t="s">
        <v>550</v>
      </c>
      <c r="C9021" s="2"/>
      <c r="D9021" s="183"/>
      <c r="F9021" s="4"/>
      <c r="G9021" s="5"/>
    </row>
    <row r="9022" spans="1:7" ht="18.75">
      <c r="A9022" s="213"/>
      <c r="B9022" s="214">
        <v>205</v>
      </c>
      <c r="C9022" s="242" t="str">
        <f ca="1">_xlfn.XLOOKUP(B9022,Cantidades!$A$10:$A$314,Cantidades!$C$10:$C$314,,0,1)</f>
        <v>Suministro e instalación de caja de inspección CS276 P. Incluye suministro de 2 tapas, excavación y retiro de escombros.</v>
      </c>
      <c r="D9022" s="243"/>
      <c r="E9022" s="243"/>
      <c r="F9022" s="243"/>
      <c r="G9022" s="244"/>
    </row>
    <row r="9023" spans="1:7" ht="19.5" thickBot="1">
      <c r="A9023" s="215"/>
      <c r="B9023" s="216" t="s">
        <v>550</v>
      </c>
      <c r="C9023" s="177"/>
      <c r="D9023" s="189"/>
      <c r="E9023" s="178"/>
      <c r="F9023" s="179" t="s">
        <v>636</v>
      </c>
      <c r="G9023" s="209" t="str">
        <f ca="1">B9024</f>
        <v>23D159F6-</v>
      </c>
    </row>
    <row r="9024" spans="1:7" ht="15.75" thickBot="1">
      <c r="B9024" s="212" t="str">
        <f ca="1">_xlfn.XLOOKUP(C9022,Cantidades!$C$1:$C$314,Cantidades!$B$1:$B$314,"",0,1)</f>
        <v>23D159F6-</v>
      </c>
      <c r="C9024" s="10" t="s">
        <v>0</v>
      </c>
      <c r="D9024" s="190"/>
      <c r="E9024" s="11"/>
      <c r="F9024" s="12"/>
      <c r="G9024" s="13"/>
    </row>
    <row r="9025" spans="1:8" ht="14.25" thickBot="1">
      <c r="A9025" s="215"/>
      <c r="B9025" s="216" t="s">
        <v>550</v>
      </c>
      <c r="C9025" s="14" t="s">
        <v>1</v>
      </c>
      <c r="D9025" s="15" t="s">
        <v>2</v>
      </c>
      <c r="E9025" s="15" t="s">
        <v>3</v>
      </c>
      <c r="F9025" s="16" t="s">
        <v>4</v>
      </c>
      <c r="G9025" s="15" t="s">
        <v>5</v>
      </c>
    </row>
    <row r="9026" spans="1:8">
      <c r="A9026" s="211" t="s">
        <v>484</v>
      </c>
      <c r="B9026" s="216" t="str">
        <f ca="1">_xlfn.CONCAT(B9024,A9026)</f>
        <v>23D159F6-A</v>
      </c>
      <c r="C9026" s="17" t="str">
        <f>_xlfn.XLOOKUP(H9026,'Materiales unitario'!$A$1:$A$2500,'Materiales unitario'!B$1:B$2500,,0,1)</f>
        <v>Ladrillo tolete recocido</v>
      </c>
      <c r="D9026" s="184" t="str">
        <f>_xlfn.XLOOKUP(H9026,'Materiales unitario'!A$1:A$2500,'Materiales unitario'!C$1:C$2500,,0,1)</f>
        <v>un</v>
      </c>
      <c r="E9026" s="197">
        <f>_xlfn.XLOOKUP(H9026,'Materiales unitario'!$A$1:$A$2500,'Materiales unitario'!D$1:D$2500,,0,1)</f>
        <v>714</v>
      </c>
      <c r="F9026" s="19">
        <v>950</v>
      </c>
      <c r="G9026" s="20">
        <f>+E9026*F9026</f>
        <v>678300</v>
      </c>
      <c r="H9026" s="211" t="s">
        <v>330</v>
      </c>
    </row>
    <row r="9027" spans="1:8">
      <c r="A9027" s="211" t="s">
        <v>485</v>
      </c>
      <c r="B9027" s="216" t="str">
        <f ca="1">_xlfn.CONCAT(B9024,A9027)</f>
        <v>23D159F6-B</v>
      </c>
      <c r="C9027" s="17" t="str">
        <f>_xlfn.XLOOKUP(H9027,'Materiales unitario'!$A$1:$A$2500,'Materiales unitario'!B$1:B$2500,,0,1)</f>
        <v>Cemento gris</v>
      </c>
      <c r="D9027" s="184" t="str">
        <f>_xlfn.XLOOKUP(H9027,'Materiales unitario'!A$1:A$2500,'Materiales unitario'!C$1:C$2500,,0,1)</f>
        <v>bt</v>
      </c>
      <c r="E9027" s="197">
        <f>_xlfn.XLOOKUP(H9027,'Materiales unitario'!$A$1:$A$2500,'Materiales unitario'!D$1:D$2500,,0,1)</f>
        <v>36771</v>
      </c>
      <c r="F9027" s="19">
        <v>7.5</v>
      </c>
      <c r="G9027" s="20">
        <f t="shared" ref="G9027:G9032" si="258">+E9027*F9027</f>
        <v>275782.5</v>
      </c>
      <c r="H9027" s="211" t="s">
        <v>295</v>
      </c>
    </row>
    <row r="9028" spans="1:8">
      <c r="A9028" s="211" t="s">
        <v>486</v>
      </c>
      <c r="B9028" s="216" t="str">
        <f ca="1">_xlfn.CONCAT(B9024,A9028)</f>
        <v>23D159F6-C</v>
      </c>
      <c r="C9028" s="17" t="str">
        <f>_xlfn.XLOOKUP(H9028,'Materiales unitario'!$A$1:$A$2500,'Materiales unitario'!B$1:B$2500,,0,1)</f>
        <v xml:space="preserve">Arena de peña </v>
      </c>
      <c r="D9028" s="184" t="str">
        <f>_xlfn.XLOOKUP(H9028,'Materiales unitario'!A$1:A$2500,'Materiales unitario'!C$1:C$2500,,0,1)</f>
        <v>m3</v>
      </c>
      <c r="E9028" s="197">
        <f>_xlfn.XLOOKUP(H9028,'Materiales unitario'!$A$1:$A$2500,'Materiales unitario'!D$1:D$2500,,0,1)</f>
        <v>154700</v>
      </c>
      <c r="F9028" s="19">
        <v>1</v>
      </c>
      <c r="G9028" s="20">
        <f t="shared" si="258"/>
        <v>154700</v>
      </c>
      <c r="H9028" s="211" t="s">
        <v>231</v>
      </c>
    </row>
    <row r="9029" spans="1:8">
      <c r="A9029" s="211" t="s">
        <v>487</v>
      </c>
      <c r="B9029" s="216" t="str">
        <f ca="1">_xlfn.CONCAT(B9024,A9029)</f>
        <v>23D159F6-D</v>
      </c>
      <c r="C9029" s="17" t="str">
        <f>_xlfn.XLOOKUP(H9029,'Materiales unitario'!$A$1:$A$2500,'Materiales unitario'!B$1:B$2500,,0,1)</f>
        <v>Arena lavada + Gravilla = Mixto</v>
      </c>
      <c r="D9029" s="184" t="str">
        <f>_xlfn.XLOOKUP(H9029,'Materiales unitario'!A$1:A$2500,'Materiales unitario'!C$1:C$2500,,0,1)</f>
        <v>m3</v>
      </c>
      <c r="E9029" s="197">
        <f>_xlfn.XLOOKUP(H9029,'Materiales unitario'!$A$1:$A$2500,'Materiales unitario'!D$1:D$2500,,0,1)</f>
        <v>190400</v>
      </c>
      <c r="F9029" s="19">
        <v>1</v>
      </c>
      <c r="G9029" s="20">
        <f t="shared" si="258"/>
        <v>190400</v>
      </c>
      <c r="H9029" s="211" t="s">
        <v>523</v>
      </c>
    </row>
    <row r="9030" spans="1:8">
      <c r="A9030" s="211" t="s">
        <v>488</v>
      </c>
      <c r="B9030" s="216" t="str">
        <f ca="1">_xlfn.CONCAT(B9024,A9030)</f>
        <v>23D159F6-E</v>
      </c>
      <c r="C9030" s="17" t="str">
        <f>_xlfn.XLOOKUP(H9030,'Materiales unitario'!$A$1:$A$2500,'Materiales unitario'!B$1:B$2500,,0,1)</f>
        <v>Vigueta en concreto y acero</v>
      </c>
      <c r="D9030" s="184" t="str">
        <f>_xlfn.XLOOKUP(H9030,'Materiales unitario'!A$1:A$2500,'Materiales unitario'!C$1:C$2500,,0,1)</f>
        <v>un</v>
      </c>
      <c r="E9030" s="197">
        <f>_xlfn.XLOOKUP(H9030,'Materiales unitario'!$A$1:$A$2500,'Materiales unitario'!D$1:D$2500,,0,1)</f>
        <v>85400</v>
      </c>
      <c r="F9030" s="19">
        <v>1</v>
      </c>
      <c r="G9030" s="20">
        <f t="shared" si="258"/>
        <v>85400</v>
      </c>
      <c r="H9030" s="211" t="s">
        <v>395</v>
      </c>
    </row>
    <row r="9031" spans="1:8">
      <c r="A9031" s="211" t="s">
        <v>489</v>
      </c>
      <c r="B9031" s="216" t="str">
        <f ca="1">_xlfn.CONCAT(B9024,A9031)</f>
        <v>23D159F6-F</v>
      </c>
      <c r="C9031" s="17" t="str">
        <f>_xlfn.XLOOKUP(H9031,'Materiales unitario'!$A$1:$A$2500,'Materiales unitario'!B$1:B$2500,,0,1)</f>
        <v>Marco + tapas de inspección cámara tipo CS -276</v>
      </c>
      <c r="D9031" s="184" t="str">
        <f>_xlfn.XLOOKUP(H9031,'Materiales unitario'!A$1:A$2500,'Materiales unitario'!C$1:C$2500,,0,1)</f>
        <v>jg</v>
      </c>
      <c r="E9031" s="197">
        <f>_xlfn.XLOOKUP(H9031,'Materiales unitario'!$A$1:$A$2500,'Materiales unitario'!D$1:D$2500,,0,1)</f>
        <v>863200</v>
      </c>
      <c r="F9031" s="19">
        <v>1</v>
      </c>
      <c r="G9031" s="20">
        <f t="shared" si="258"/>
        <v>863200</v>
      </c>
      <c r="H9031" s="211" t="s">
        <v>338</v>
      </c>
    </row>
    <row r="9032" spans="1:8">
      <c r="A9032" s="211" t="s">
        <v>490</v>
      </c>
      <c r="B9032" s="216" t="str">
        <f ca="1">_xlfn.CONCAT(B9024,A9032)</f>
        <v>23D159F6-G</v>
      </c>
      <c r="C9032" s="17" t="str">
        <f>_xlfn.XLOOKUP(H9032,'Materiales unitario'!$A$1:$A$2500,'Materiales unitario'!B$1:B$2500,,0,1)</f>
        <v>Fungibles (Madera para formaleta, puntillas y accesorios).</v>
      </c>
      <c r="D9032" s="184" t="str">
        <f>_xlfn.XLOOKUP(H9032,'Materiales unitario'!A$1:A$2500,'Materiales unitario'!C$1:C$2500,,0,1)</f>
        <v>ml</v>
      </c>
      <c r="E9032" s="197">
        <f>_xlfn.XLOOKUP(H9032,'Materiales unitario'!$A$1:$A$2500,'Materiales unitario'!D$1:D$2500,,0,1)</f>
        <v>22600</v>
      </c>
      <c r="F9032" s="19">
        <v>6.5</v>
      </c>
      <c r="G9032" s="20">
        <f t="shared" si="258"/>
        <v>146900</v>
      </c>
      <c r="H9032" s="211" t="s">
        <v>324</v>
      </c>
    </row>
    <row r="9033" spans="1:8">
      <c r="A9033" s="211" t="s">
        <v>491</v>
      </c>
      <c r="B9033" s="216" t="str">
        <f ca="1">_xlfn.CONCAT(B9024,A9033)</f>
        <v>23D159F6-H</v>
      </c>
      <c r="C9033" s="17"/>
      <c r="D9033" s="184"/>
      <c r="E9033" s="197"/>
      <c r="F9033" s="19"/>
      <c r="G9033" s="20"/>
    </row>
    <row r="9034" spans="1:8">
      <c r="A9034" s="211" t="s">
        <v>492</v>
      </c>
      <c r="B9034" s="216" t="str">
        <f ca="1">_xlfn.CONCAT(B9024,A9034)</f>
        <v>23D159F6-I</v>
      </c>
      <c r="C9034" s="17"/>
      <c r="D9034" s="184"/>
      <c r="E9034" s="197"/>
      <c r="F9034" s="19"/>
      <c r="G9034" s="20"/>
    </row>
    <row r="9035" spans="1:8">
      <c r="A9035" s="211" t="s">
        <v>493</v>
      </c>
      <c r="B9035" s="216" t="str">
        <f ca="1">_xlfn.CONCAT(B9024,A9035)</f>
        <v>23D159F6-J</v>
      </c>
      <c r="C9035" s="17"/>
      <c r="D9035" s="184"/>
      <c r="E9035" s="197"/>
      <c r="F9035" s="19"/>
      <c r="G9035" s="20"/>
    </row>
    <row r="9036" spans="1:8">
      <c r="A9036" s="211" t="s">
        <v>494</v>
      </c>
      <c r="B9036" s="216" t="str">
        <f ca="1">_xlfn.CONCAT(B9024,A9036)</f>
        <v>23D159F6-K</v>
      </c>
      <c r="C9036" s="17"/>
      <c r="D9036" s="184"/>
      <c r="E9036" s="197"/>
      <c r="F9036" s="19"/>
      <c r="G9036" s="20"/>
    </row>
    <row r="9037" spans="1:8">
      <c r="A9037" s="211" t="s">
        <v>495</v>
      </c>
      <c r="B9037" s="216" t="str">
        <f ca="1">_xlfn.CONCAT(B9024,A9037)</f>
        <v>23D159F6-L</v>
      </c>
      <c r="C9037" s="17"/>
      <c r="D9037" s="184"/>
      <c r="E9037" s="197"/>
      <c r="F9037" s="19"/>
      <c r="G9037" s="20"/>
    </row>
    <row r="9038" spans="1:8">
      <c r="A9038" s="211" t="s">
        <v>496</v>
      </c>
      <c r="B9038" s="216" t="str">
        <f ca="1">_xlfn.CONCAT(B9024,A9038)</f>
        <v>23D159F6-M</v>
      </c>
      <c r="C9038" s="17"/>
      <c r="D9038" s="184"/>
      <c r="E9038" s="197"/>
      <c r="F9038" s="19"/>
      <c r="G9038" s="20"/>
    </row>
    <row r="9039" spans="1:8">
      <c r="A9039" s="211" t="s">
        <v>497</v>
      </c>
      <c r="B9039" s="216" t="str">
        <f ca="1">_xlfn.CONCAT(B9024,A9039)</f>
        <v>23D159F6-N</v>
      </c>
      <c r="C9039" s="17"/>
      <c r="D9039" s="184"/>
      <c r="E9039" s="197"/>
      <c r="F9039" s="19"/>
      <c r="G9039" s="20"/>
    </row>
    <row r="9040" spans="1:8">
      <c r="A9040" s="211" t="s">
        <v>498</v>
      </c>
      <c r="B9040" s="216" t="str">
        <f ca="1">_xlfn.CONCAT(B9024,A9040)</f>
        <v>23D159F6-O</v>
      </c>
      <c r="C9040" s="17"/>
      <c r="D9040" s="184"/>
      <c r="E9040" s="197"/>
      <c r="F9040" s="19"/>
      <c r="G9040" s="20"/>
    </row>
    <row r="9041" spans="1:7">
      <c r="A9041" s="211" t="s">
        <v>499</v>
      </c>
      <c r="B9041" s="216" t="str">
        <f ca="1">_xlfn.CONCAT(B9024,A9041)</f>
        <v>23D159F6-P</v>
      </c>
      <c r="C9041" s="17"/>
      <c r="D9041" s="184"/>
      <c r="E9041" s="197"/>
      <c r="F9041" s="19"/>
      <c r="G9041" s="20"/>
    </row>
    <row r="9042" spans="1:7">
      <c r="A9042" s="211" t="s">
        <v>500</v>
      </c>
      <c r="B9042" s="216" t="str">
        <f ca="1">_xlfn.CONCAT(B9024,A9042)</f>
        <v>23D159F6-Q</v>
      </c>
      <c r="C9042" s="17"/>
      <c r="D9042" s="184"/>
      <c r="E9042" s="197"/>
      <c r="F9042" s="19"/>
      <c r="G9042" s="20"/>
    </row>
    <row r="9043" spans="1:7">
      <c r="A9043" s="211" t="s">
        <v>501</v>
      </c>
      <c r="B9043" s="216" t="str">
        <f ca="1">_xlfn.CONCAT(B9024,A9043)</f>
        <v>23D159F6-R</v>
      </c>
      <c r="C9043" s="17"/>
      <c r="D9043" s="184"/>
      <c r="E9043" s="197"/>
      <c r="F9043" s="19"/>
      <c r="G9043" s="20"/>
    </row>
    <row r="9044" spans="1:7">
      <c r="A9044" s="211" t="s">
        <v>502</v>
      </c>
      <c r="B9044" s="216" t="str">
        <f ca="1">_xlfn.CONCAT(B9024,A9044)</f>
        <v>23D159F6-S</v>
      </c>
      <c r="C9044" s="17"/>
      <c r="D9044" s="184"/>
      <c r="E9044" s="197"/>
      <c r="F9044" s="19"/>
      <c r="G9044" s="20"/>
    </row>
    <row r="9045" spans="1:7">
      <c r="A9045" s="211" t="s">
        <v>503</v>
      </c>
      <c r="B9045" s="216" t="str">
        <f ca="1">_xlfn.CONCAT(B9024,A9045)</f>
        <v>23D159F6-T</v>
      </c>
      <c r="C9045" s="17"/>
      <c r="D9045" s="184"/>
      <c r="E9045" s="197"/>
      <c r="F9045" s="19"/>
      <c r="G9045" s="20"/>
    </row>
    <row r="9046" spans="1:7" ht="14.25" thickBot="1">
      <c r="A9046" s="211" t="s">
        <v>504</v>
      </c>
      <c r="B9046" s="216" t="str">
        <f ca="1">_xlfn.CONCAT(B9024,A9046)</f>
        <v>23D159F6-U</v>
      </c>
      <c r="C9046" s="17"/>
      <c r="D9046" s="184"/>
      <c r="E9046" s="197"/>
      <c r="F9046" s="19"/>
      <c r="G9046" s="20"/>
    </row>
    <row r="9047" spans="1:7" ht="14.25" thickBot="1">
      <c r="A9047" s="211" t="s">
        <v>505</v>
      </c>
      <c r="B9047" s="216" t="str">
        <f ca="1">_xlfn.CONCAT(B9024,A9047)</f>
        <v>23D159F6-V</v>
      </c>
      <c r="C9047" s="17" t="s">
        <v>17</v>
      </c>
      <c r="D9047" s="192" t="s">
        <v>17</v>
      </c>
      <c r="E9047" s="18"/>
      <c r="F9047" s="22" t="s">
        <v>18</v>
      </c>
      <c r="G9047" s="23">
        <f>SUM(G9026:G9046)</f>
        <v>2394682.5</v>
      </c>
    </row>
    <row r="9048" spans="1:7" ht="15.75" thickBot="1">
      <c r="A9048" s="211" t="s">
        <v>506</v>
      </c>
      <c r="B9048" s="216" t="str">
        <f ca="1">_xlfn.CONCAT(B9024,A9048)</f>
        <v>23D159F6-W</v>
      </c>
      <c r="C9048" s="10" t="s">
        <v>19</v>
      </c>
      <c r="D9048" s="190"/>
      <c r="E9048" s="11"/>
      <c r="F9048" s="12"/>
      <c r="G9048" s="13"/>
    </row>
    <row r="9049" spans="1:7" ht="14.25" thickBot="1">
      <c r="A9049" s="211" t="s">
        <v>507</v>
      </c>
      <c r="B9049" s="216" t="str">
        <f ca="1">_xlfn.CONCAT(B9024,A9049)</f>
        <v>23D159F6-X</v>
      </c>
      <c r="C9049" s="14" t="s">
        <v>1</v>
      </c>
      <c r="D9049" s="15"/>
      <c r="E9049" s="15" t="s">
        <v>20</v>
      </c>
      <c r="F9049" s="16" t="s">
        <v>21</v>
      </c>
      <c r="G9049" s="15" t="s">
        <v>5</v>
      </c>
    </row>
    <row r="9050" spans="1:7">
      <c r="A9050" s="211" t="s">
        <v>508</v>
      </c>
      <c r="B9050" s="216" t="str">
        <f ca="1">_xlfn.CONCAT(B9024,A9050)</f>
        <v>23D159F6-Y</v>
      </c>
      <c r="C9050" s="24" t="s">
        <v>22</v>
      </c>
      <c r="D9050" s="184"/>
      <c r="E9050" s="25">
        <f>_xlfn.XLOOKUP(C9050,'H-MO'!B$7:B$30,'H-MO'!D$7:D$30,,0,1)</f>
        <v>2436.5624999999995</v>
      </c>
      <c r="F9050" s="19">
        <v>2.2441182608695653</v>
      </c>
      <c r="G9050" s="33">
        <f t="shared" ref="G9050:G9055" si="259">+E9050*F9050</f>
        <v>5467.9343999999992</v>
      </c>
    </row>
    <row r="9051" spans="1:7">
      <c r="A9051" s="211" t="s">
        <v>509</v>
      </c>
      <c r="B9051" s="216" t="str">
        <f ca="1">_xlfn.CONCAT(B9024,A9051)</f>
        <v>23D159F6-Z</v>
      </c>
      <c r="C9051" s="24" t="s">
        <v>23</v>
      </c>
      <c r="D9051" s="184"/>
      <c r="E9051" s="25">
        <f>_xlfn.XLOOKUP(C9051,'H-MO'!B$7:B$30,'H-MO'!D$7:D$30,,0,1)</f>
        <v>1461.9374999999998</v>
      </c>
      <c r="F9051" s="19">
        <v>5.6102956521739129</v>
      </c>
      <c r="G9051" s="33">
        <f t="shared" si="259"/>
        <v>8201.9015999999992</v>
      </c>
    </row>
    <row r="9052" spans="1:7">
      <c r="A9052" s="211" t="s">
        <v>510</v>
      </c>
      <c r="B9052" s="216" t="str">
        <f ca="1">_xlfn.CONCAT(B9024,A9052)</f>
        <v>23D159F6-aa</v>
      </c>
      <c r="C9052" s="24" t="s">
        <v>24</v>
      </c>
      <c r="D9052" s="185"/>
      <c r="E9052" s="25">
        <f>_xlfn.XLOOKUP(C9052,'H-MO'!B$7:B$30,'H-MO'!D$7:D$30,,0,1)</f>
        <v>29238.749999999996</v>
      </c>
      <c r="F9052" s="28">
        <v>9.350492753623188E-2</v>
      </c>
      <c r="G9052" s="33">
        <f t="shared" si="259"/>
        <v>2733.9671999999996</v>
      </c>
    </row>
    <row r="9053" spans="1:7">
      <c r="A9053" s="211" t="s">
        <v>511</v>
      </c>
      <c r="B9053" s="216" t="str">
        <f ca="1">_xlfn.CONCAT(B9024,A9053)</f>
        <v>23D159F6-ab</v>
      </c>
      <c r="C9053" s="24" t="s">
        <v>25</v>
      </c>
      <c r="D9053" s="185"/>
      <c r="E9053" s="25">
        <f>_xlfn.XLOOKUP(C9053,'H-MO'!B$7:B$30,'H-MO'!D$7:D$30,,0,1)</f>
        <v>2761.4374999999995</v>
      </c>
      <c r="F9053" s="28">
        <v>1.9801043478260869</v>
      </c>
      <c r="G9053" s="33">
        <f t="shared" si="259"/>
        <v>5467.9343999999992</v>
      </c>
    </row>
    <row r="9054" spans="1:7">
      <c r="A9054" s="211" t="s">
        <v>512</v>
      </c>
      <c r="B9054" s="216" t="str">
        <f ca="1">_xlfn.CONCAT(B9024,A9054)</f>
        <v>23D159F6-ac</v>
      </c>
      <c r="C9054" s="24"/>
      <c r="D9054" s="185"/>
      <c r="E9054" s="29"/>
      <c r="F9054" s="28"/>
      <c r="G9054" s="33">
        <f t="shared" si="259"/>
        <v>0</v>
      </c>
    </row>
    <row r="9055" spans="1:7" ht="14.25" thickBot="1">
      <c r="A9055" s="211" t="s">
        <v>513</v>
      </c>
      <c r="B9055" s="216" t="str">
        <f ca="1">_xlfn.CONCAT(B9024,A9055)</f>
        <v>23D159F6-ad</v>
      </c>
      <c r="C9055" s="24"/>
      <c r="D9055" s="185"/>
      <c r="E9055" s="29"/>
      <c r="F9055" s="28"/>
      <c r="G9055" s="33">
        <f t="shared" si="259"/>
        <v>0</v>
      </c>
    </row>
    <row r="9056" spans="1:7" ht="14.25" thickBot="1">
      <c r="A9056" s="211" t="s">
        <v>514</v>
      </c>
      <c r="B9056" s="216" t="str">
        <f ca="1">_xlfn.CONCAT(B9024,A9056)</f>
        <v>23D159F6-ae</v>
      </c>
      <c r="C9056" s="17"/>
      <c r="D9056" s="192"/>
      <c r="E9056" s="18"/>
      <c r="F9056" s="22" t="s">
        <v>26</v>
      </c>
      <c r="G9056" s="23">
        <f>SUM(G9050:G9055)</f>
        <v>21871.737599999997</v>
      </c>
    </row>
    <row r="9057" spans="1:8" ht="15.75" thickBot="1">
      <c r="A9057" s="211" t="s">
        <v>515</v>
      </c>
      <c r="B9057" s="216" t="str">
        <f ca="1">_xlfn.CONCAT(B9024,A9057)</f>
        <v>23D159F6-af</v>
      </c>
      <c r="C9057" s="10" t="s">
        <v>27</v>
      </c>
      <c r="D9057" s="190"/>
      <c r="E9057" s="11"/>
      <c r="F9057" s="12"/>
      <c r="G9057" s="13"/>
    </row>
    <row r="9058" spans="1:8" ht="14.25" thickBot="1">
      <c r="A9058" s="211" t="s">
        <v>516</v>
      </c>
      <c r="B9058" s="216" t="str">
        <f ca="1">_xlfn.CONCAT(B9024,A9058)</f>
        <v>23D159F6-ag</v>
      </c>
      <c r="C9058" s="14" t="s">
        <v>1</v>
      </c>
      <c r="D9058" s="15" t="s">
        <v>28</v>
      </c>
      <c r="E9058" s="15" t="s">
        <v>20</v>
      </c>
      <c r="F9058" s="16" t="s">
        <v>21</v>
      </c>
      <c r="G9058" s="15" t="s">
        <v>5</v>
      </c>
    </row>
    <row r="9059" spans="1:8">
      <c r="A9059" s="211" t="s">
        <v>517</v>
      </c>
      <c r="B9059" s="216" t="str">
        <f ca="1">_xlfn.CONCAT(B9024,A9059)</f>
        <v>23D159F6-ah</v>
      </c>
      <c r="C9059" s="30" t="s">
        <v>29</v>
      </c>
      <c r="D9059" s="186">
        <f>'H-MO'!$N$77</f>
        <v>725918.52892505517</v>
      </c>
      <c r="E9059" s="31">
        <f>+D9059/8</f>
        <v>90739.816115631897</v>
      </c>
      <c r="F9059" s="32">
        <v>0</v>
      </c>
      <c r="G9059" s="33">
        <f>+E9059*F9059</f>
        <v>0</v>
      </c>
    </row>
    <row r="9060" spans="1:8">
      <c r="A9060" s="211" t="s">
        <v>518</v>
      </c>
      <c r="B9060" s="216" t="str">
        <f ca="1">_xlfn.CONCAT(B9024,A9060)</f>
        <v>23D159F6-ai</v>
      </c>
      <c r="C9060" s="34" t="s">
        <v>30</v>
      </c>
      <c r="D9060" s="187">
        <f>'H-MO'!$N$86</f>
        <v>685561.39085756091</v>
      </c>
      <c r="E9060" s="29">
        <f>+D9060/8</f>
        <v>85695.173857195114</v>
      </c>
      <c r="F9060" s="28">
        <v>24</v>
      </c>
      <c r="G9060" s="33">
        <f>+E9060*F9060</f>
        <v>2056684.1725726826</v>
      </c>
    </row>
    <row r="9061" spans="1:8" ht="14.25" thickBot="1">
      <c r="A9061" s="211" t="s">
        <v>519</v>
      </c>
      <c r="B9061" s="216" t="str">
        <f ca="1">_xlfn.CONCAT(B9024,A9061)</f>
        <v>23D159F6-aj</v>
      </c>
      <c r="C9061" s="34"/>
      <c r="D9061" s="187"/>
      <c r="E9061" s="29"/>
      <c r="F9061" s="28"/>
      <c r="G9061" s="33">
        <f>+E9061*F9061</f>
        <v>0</v>
      </c>
    </row>
    <row r="9062" spans="1:8" ht="14.25" thickBot="1">
      <c r="A9062" s="211" t="s">
        <v>520</v>
      </c>
      <c r="B9062" s="216" t="str">
        <f ca="1">_xlfn.CONCAT(B9024,A9062)</f>
        <v>23D159F6-ak</v>
      </c>
      <c r="C9062" s="34"/>
      <c r="D9062" s="185"/>
      <c r="E9062" s="26"/>
      <c r="F9062" s="36" t="s">
        <v>31</v>
      </c>
      <c r="G9062" s="23">
        <f>SUM(G9059:G9061)</f>
        <v>2056684.1725726826</v>
      </c>
    </row>
    <row r="9063" spans="1:8" ht="14.25" thickBot="1">
      <c r="A9063" s="211" t="s">
        <v>521</v>
      </c>
      <c r="B9063" s="216" t="str">
        <f ca="1">_xlfn.CONCAT(B9024,A9063)</f>
        <v>23D159F6-al</v>
      </c>
      <c r="C9063" s="37"/>
      <c r="E9063" s="38"/>
      <c r="F9063" s="22"/>
      <c r="G9063" s="39"/>
    </row>
    <row r="9064" spans="1:8" ht="16.5" thickBot="1">
      <c r="A9064" s="211" t="s">
        <v>522</v>
      </c>
      <c r="B9064" s="216" t="str">
        <f ca="1">_xlfn.CONCAT(B9024,A9064)</f>
        <v>23D159F6-am</v>
      </c>
      <c r="C9064" s="40"/>
      <c r="D9064" s="193"/>
      <c r="E9064" s="41"/>
      <c r="F9064" s="42"/>
      <c r="G9064" s="43">
        <f>+G9047+G9056+G9062</f>
        <v>4473238.4101726823</v>
      </c>
    </row>
    <row r="9065" spans="1:8" ht="21.75" thickBot="1">
      <c r="B9065" s="212" t="s">
        <v>550</v>
      </c>
      <c r="C9065" s="2"/>
      <c r="D9065" s="183"/>
      <c r="F9065" s="4"/>
      <c r="G9065" s="5"/>
    </row>
    <row r="9066" spans="1:8" ht="18.75">
      <c r="A9066" s="213"/>
      <c r="B9066" s="214">
        <v>206</v>
      </c>
      <c r="C9066" s="242" t="str">
        <f ca="1">_xlfn.XLOOKUP(B9066,Cantidades!$A$10:$A$314,Cantidades!$C$10:$C$314,,0,1)</f>
        <v>Suministro e instalación de banco de tubería   4Ø6" PVC. Incluye tubería, campanas terminales, tapones, cinta de señalización, excavación y retiro de escombros.</v>
      </c>
      <c r="D9066" s="243"/>
      <c r="E9066" s="243"/>
      <c r="F9066" s="243"/>
      <c r="G9066" s="244"/>
      <c r="H9066" s="213"/>
    </row>
    <row r="9067" spans="1:8" ht="19.5" thickBot="1">
      <c r="A9067" s="215"/>
      <c r="B9067" s="216" t="s">
        <v>550</v>
      </c>
      <c r="C9067" s="177"/>
      <c r="D9067" s="189"/>
      <c r="E9067" s="178"/>
      <c r="F9067" s="179" t="s">
        <v>636</v>
      </c>
      <c r="G9067" s="209" t="str">
        <f ca="1">B9068</f>
        <v>23DAC4F6-</v>
      </c>
      <c r="H9067" s="215"/>
    </row>
    <row r="9068" spans="1:8" ht="15.75" thickBot="1">
      <c r="B9068" s="212" t="str">
        <f ca="1">_xlfn.XLOOKUP(C9066,Cantidades!$C$1:$C$314,Cantidades!$B$1:$B$314,"",0,1)</f>
        <v>23DAC4F6-</v>
      </c>
      <c r="C9068" s="10" t="s">
        <v>0</v>
      </c>
      <c r="D9068" s="190"/>
      <c r="E9068" s="11"/>
      <c r="F9068" s="12"/>
      <c r="G9068" s="13"/>
    </row>
    <row r="9069" spans="1:8" ht="14.25" thickBot="1">
      <c r="A9069" s="215"/>
      <c r="B9069" s="216" t="s">
        <v>550</v>
      </c>
      <c r="C9069" s="14" t="s">
        <v>1</v>
      </c>
      <c r="D9069" s="15" t="s">
        <v>2</v>
      </c>
      <c r="E9069" s="15" t="s">
        <v>3</v>
      </c>
      <c r="F9069" s="16" t="s">
        <v>4</v>
      </c>
      <c r="G9069" s="15" t="s">
        <v>5</v>
      </c>
    </row>
    <row r="9070" spans="1:8">
      <c r="A9070" s="211" t="s">
        <v>484</v>
      </c>
      <c r="B9070" s="216" t="str">
        <f ca="1">_xlfn.CONCAT(B9068,A9070)</f>
        <v>23DAC4F6-A</v>
      </c>
      <c r="C9070" s="17" t="str">
        <f>_xlfn.XLOOKUP(H9070,'Materiales unitario'!$A$1:$A$2500,'Materiales unitario'!B$1:B$2500,,0,1)</f>
        <v>Ducto telef. Y Electric. pesado TDP ø6" PVC</v>
      </c>
      <c r="D9070" s="184" t="str">
        <f>_xlfn.XLOOKUP(H9070,'Materiales unitario'!A$1:A$2500,'Materiales unitario'!C$1:C$2500,,0,1)</f>
        <v>ml</v>
      </c>
      <c r="E9070" s="197">
        <f>_xlfn.XLOOKUP(H9070,'Materiales unitario'!$A$1:$A$2500,'Materiales unitario'!D$1:D$2500,,0,1)</f>
        <v>32580</v>
      </c>
      <c r="F9070" s="19">
        <v>4.2</v>
      </c>
      <c r="G9070" s="20">
        <f>+E9070*F9070</f>
        <v>136836</v>
      </c>
      <c r="H9070" s="211" t="s">
        <v>1549</v>
      </c>
    </row>
    <row r="9071" spans="1:8">
      <c r="A9071" s="211" t="s">
        <v>485</v>
      </c>
      <c r="B9071" s="216" t="str">
        <f ca="1">_xlfn.CONCAT(B9068,A9071)</f>
        <v>23DAC4F6-B</v>
      </c>
      <c r="C9071" s="17" t="str">
        <f>_xlfn.XLOOKUP(H9071,'Materiales unitario'!$A$1:$A$2500,'Materiales unitario'!B$1:B$2500,,0,1)</f>
        <v>Campana terminal ducto ø6" PVC</v>
      </c>
      <c r="D9071" s="184" t="str">
        <f>_xlfn.XLOOKUP(H9071,'Materiales unitario'!A$1:A$2500,'Materiales unitario'!C$1:C$2500,,0,1)</f>
        <v>un</v>
      </c>
      <c r="E9071" s="197">
        <f>_xlfn.XLOOKUP(H9071,'Materiales unitario'!$A$1:$A$2500,'Materiales unitario'!D$1:D$2500,,0,1)</f>
        <v>23537.800000000003</v>
      </c>
      <c r="F9071" s="19">
        <v>1.25</v>
      </c>
      <c r="G9071" s="20">
        <f>+E9071*F9071</f>
        <v>29422.250000000004</v>
      </c>
      <c r="H9071" s="211" t="s">
        <v>525</v>
      </c>
    </row>
    <row r="9072" spans="1:8">
      <c r="A9072" s="211" t="s">
        <v>486</v>
      </c>
      <c r="B9072" s="216" t="str">
        <f ca="1">_xlfn.CONCAT(B9068,A9072)</f>
        <v>23DAC4F6-C</v>
      </c>
      <c r="C9072" s="17" t="str">
        <f>_xlfn.XLOOKUP(H9072,'Materiales unitario'!$A$1:$A$2500,'Materiales unitario'!B$1:B$2500,,0,1)</f>
        <v>Soldadura liquida PVC 1/4 de galón</v>
      </c>
      <c r="D9072" s="184" t="str">
        <f>_xlfn.XLOOKUP(H9072,'Materiales unitario'!A$1:A$2500,'Materiales unitario'!C$1:C$2500,,0,1)</f>
        <v>un</v>
      </c>
      <c r="E9072" s="197">
        <f>_xlfn.XLOOKUP(H9072,'Materiales unitario'!$A$1:$A$2500,'Materiales unitario'!D$1:D$2500,,0,1)</f>
        <v>60900</v>
      </c>
      <c r="F9072" s="19">
        <v>0.2</v>
      </c>
      <c r="G9072" s="20">
        <f>+E9072*F9072</f>
        <v>12180</v>
      </c>
      <c r="H9072" s="211" t="s">
        <v>530</v>
      </c>
    </row>
    <row r="9073" spans="1:7">
      <c r="A9073" s="211" t="s">
        <v>487</v>
      </c>
      <c r="B9073" s="216" t="str">
        <f ca="1">_xlfn.CONCAT(B9068,A9073)</f>
        <v>23DAC4F6-D</v>
      </c>
      <c r="C9073" s="17"/>
      <c r="D9073" s="184"/>
      <c r="E9073" s="197"/>
      <c r="F9073" s="19"/>
      <c r="G9073" s="20"/>
    </row>
    <row r="9074" spans="1:7">
      <c r="A9074" s="211" t="s">
        <v>488</v>
      </c>
      <c r="B9074" s="216" t="str">
        <f ca="1">_xlfn.CONCAT(B9068,A9074)</f>
        <v>23DAC4F6-E</v>
      </c>
      <c r="C9074" s="17"/>
      <c r="D9074" s="184"/>
      <c r="E9074" s="197"/>
      <c r="F9074" s="19"/>
      <c r="G9074" s="20"/>
    </row>
    <row r="9075" spans="1:7">
      <c r="A9075" s="211" t="s">
        <v>489</v>
      </c>
      <c r="B9075" s="216" t="str">
        <f ca="1">_xlfn.CONCAT(B9068,A9075)</f>
        <v>23DAC4F6-F</v>
      </c>
      <c r="C9075" s="17"/>
      <c r="D9075" s="184"/>
      <c r="E9075" s="197"/>
      <c r="F9075" s="19"/>
      <c r="G9075" s="20"/>
    </row>
    <row r="9076" spans="1:7">
      <c r="A9076" s="211" t="s">
        <v>490</v>
      </c>
      <c r="B9076" s="216" t="str">
        <f ca="1">_xlfn.CONCAT(B9068,A9076)</f>
        <v>23DAC4F6-G</v>
      </c>
      <c r="C9076" s="17"/>
      <c r="D9076" s="184"/>
      <c r="E9076" s="197"/>
      <c r="F9076" s="19"/>
      <c r="G9076" s="20"/>
    </row>
    <row r="9077" spans="1:7">
      <c r="A9077" s="211" t="s">
        <v>491</v>
      </c>
      <c r="B9077" s="216" t="str">
        <f ca="1">_xlfn.CONCAT(B9068,A9077)</f>
        <v>23DAC4F6-H</v>
      </c>
      <c r="C9077" s="17"/>
      <c r="D9077" s="184"/>
      <c r="E9077" s="197"/>
      <c r="F9077" s="19"/>
      <c r="G9077" s="20"/>
    </row>
    <row r="9078" spans="1:7">
      <c r="A9078" s="211" t="s">
        <v>492</v>
      </c>
      <c r="B9078" s="216" t="str">
        <f ca="1">_xlfn.CONCAT(B9068,A9078)</f>
        <v>23DAC4F6-I</v>
      </c>
      <c r="C9078" s="17"/>
      <c r="D9078" s="184"/>
      <c r="E9078" s="197"/>
      <c r="F9078" s="19"/>
      <c r="G9078" s="20"/>
    </row>
    <row r="9079" spans="1:7">
      <c r="A9079" s="211" t="s">
        <v>493</v>
      </c>
      <c r="B9079" s="216" t="str">
        <f ca="1">_xlfn.CONCAT(B9068,A9079)</f>
        <v>23DAC4F6-J</v>
      </c>
      <c r="C9079" s="17"/>
      <c r="D9079" s="184"/>
      <c r="E9079" s="197"/>
      <c r="F9079" s="19"/>
      <c r="G9079" s="20"/>
    </row>
    <row r="9080" spans="1:7">
      <c r="A9080" s="211" t="s">
        <v>494</v>
      </c>
      <c r="B9080" s="216" t="str">
        <f ca="1">_xlfn.CONCAT(B9068,A9080)</f>
        <v>23DAC4F6-K</v>
      </c>
      <c r="C9080" s="17"/>
      <c r="D9080" s="184"/>
      <c r="E9080" s="197"/>
      <c r="F9080" s="19"/>
      <c r="G9080" s="20"/>
    </row>
    <row r="9081" spans="1:7">
      <c r="A9081" s="211" t="s">
        <v>495</v>
      </c>
      <c r="B9081" s="216" t="str">
        <f ca="1">_xlfn.CONCAT(B9068,A9081)</f>
        <v>23DAC4F6-L</v>
      </c>
      <c r="C9081" s="17"/>
      <c r="D9081" s="184"/>
      <c r="E9081" s="197"/>
      <c r="F9081" s="19"/>
      <c r="G9081" s="20"/>
    </row>
    <row r="9082" spans="1:7">
      <c r="A9082" s="211" t="s">
        <v>496</v>
      </c>
      <c r="B9082" s="216" t="str">
        <f ca="1">_xlfn.CONCAT(B9068,A9082)</f>
        <v>23DAC4F6-M</v>
      </c>
      <c r="C9082" s="17"/>
      <c r="D9082" s="184"/>
      <c r="E9082" s="197"/>
      <c r="F9082" s="19"/>
      <c r="G9082" s="20"/>
    </row>
    <row r="9083" spans="1:7">
      <c r="A9083" s="211" t="s">
        <v>497</v>
      </c>
      <c r="B9083" s="216" t="str">
        <f ca="1">_xlfn.CONCAT(B9068,A9083)</f>
        <v>23DAC4F6-N</v>
      </c>
      <c r="C9083" s="17"/>
      <c r="D9083" s="184"/>
      <c r="E9083" s="197"/>
      <c r="F9083" s="19"/>
      <c r="G9083" s="20"/>
    </row>
    <row r="9084" spans="1:7">
      <c r="A9084" s="211" t="s">
        <v>498</v>
      </c>
      <c r="B9084" s="216" t="str">
        <f ca="1">_xlfn.CONCAT(B9068,A9084)</f>
        <v>23DAC4F6-O</v>
      </c>
      <c r="C9084" s="17"/>
      <c r="D9084" s="184"/>
      <c r="E9084" s="197"/>
      <c r="F9084" s="19"/>
      <c r="G9084" s="20"/>
    </row>
    <row r="9085" spans="1:7">
      <c r="A9085" s="211" t="s">
        <v>499</v>
      </c>
      <c r="B9085" s="216" t="str">
        <f ca="1">_xlfn.CONCAT(B9068,A9085)</f>
        <v>23DAC4F6-P</v>
      </c>
      <c r="C9085" s="17"/>
      <c r="D9085" s="184"/>
      <c r="E9085" s="197"/>
      <c r="F9085" s="19"/>
      <c r="G9085" s="20"/>
    </row>
    <row r="9086" spans="1:7">
      <c r="A9086" s="211" t="s">
        <v>500</v>
      </c>
      <c r="B9086" s="216" t="str">
        <f ca="1">_xlfn.CONCAT(B9068,A9086)</f>
        <v>23DAC4F6-Q</v>
      </c>
      <c r="C9086" s="17"/>
      <c r="D9086" s="184"/>
      <c r="E9086" s="197"/>
      <c r="F9086" s="19"/>
      <c r="G9086" s="20"/>
    </row>
    <row r="9087" spans="1:7">
      <c r="A9087" s="211" t="s">
        <v>501</v>
      </c>
      <c r="B9087" s="216" t="str">
        <f ca="1">_xlfn.CONCAT(B9068,A9087)</f>
        <v>23DAC4F6-R</v>
      </c>
      <c r="C9087" s="17"/>
      <c r="D9087" s="184"/>
      <c r="E9087" s="197"/>
      <c r="F9087" s="19"/>
      <c r="G9087" s="20"/>
    </row>
    <row r="9088" spans="1:7">
      <c r="A9088" s="211" t="s">
        <v>502</v>
      </c>
      <c r="B9088" s="216" t="str">
        <f ca="1">_xlfn.CONCAT(B9068,A9088)</f>
        <v>23DAC4F6-S</v>
      </c>
      <c r="C9088" s="17"/>
      <c r="D9088" s="184"/>
      <c r="E9088" s="197"/>
      <c r="F9088" s="19"/>
      <c r="G9088" s="20"/>
    </row>
    <row r="9089" spans="1:9">
      <c r="A9089" s="211" t="s">
        <v>503</v>
      </c>
      <c r="B9089" s="216" t="str">
        <f ca="1">_xlfn.CONCAT(B9068,A9089)</f>
        <v>23DAC4F6-T</v>
      </c>
      <c r="C9089" s="17"/>
      <c r="D9089" s="184"/>
      <c r="E9089" s="197"/>
      <c r="F9089" s="19"/>
      <c r="G9089" s="20"/>
    </row>
    <row r="9090" spans="1:9" ht="14.25" thickBot="1">
      <c r="A9090" s="211" t="s">
        <v>504</v>
      </c>
      <c r="B9090" s="216" t="str">
        <f ca="1">_xlfn.CONCAT(B9068,A9090)</f>
        <v>23DAC4F6-U</v>
      </c>
      <c r="C9090" s="17"/>
      <c r="D9090" s="184"/>
      <c r="E9090" s="197"/>
      <c r="F9090" s="19"/>
      <c r="G9090" s="20"/>
    </row>
    <row r="9091" spans="1:9" ht="14.25" thickBot="1">
      <c r="A9091" s="211" t="s">
        <v>505</v>
      </c>
      <c r="B9091" s="216" t="str">
        <f ca="1">_xlfn.CONCAT(B9068,A9091)</f>
        <v>23DAC4F6-V</v>
      </c>
      <c r="C9091" s="17" t="s">
        <v>17</v>
      </c>
      <c r="D9091" s="192" t="s">
        <v>17</v>
      </c>
      <c r="E9091" s="18"/>
      <c r="F9091" s="22" t="s">
        <v>18</v>
      </c>
      <c r="G9091" s="23">
        <f>SUM(G9070:G9090)</f>
        <v>178438.25</v>
      </c>
    </row>
    <row r="9092" spans="1:9" ht="15.75" thickBot="1">
      <c r="A9092" s="211" t="s">
        <v>506</v>
      </c>
      <c r="B9092" s="216" t="str">
        <f ca="1">_xlfn.CONCAT(B9068,A9092)</f>
        <v>23DAC4F6-W</v>
      </c>
      <c r="C9092" s="10" t="s">
        <v>19</v>
      </c>
      <c r="D9092" s="190"/>
      <c r="E9092" s="11"/>
      <c r="F9092" s="12"/>
      <c r="G9092" s="13"/>
    </row>
    <row r="9093" spans="1:9" ht="14.25" thickBot="1">
      <c r="A9093" s="211" t="s">
        <v>507</v>
      </c>
      <c r="B9093" s="216" t="str">
        <f ca="1">_xlfn.CONCAT(B9068,A9093)</f>
        <v>23DAC4F6-X</v>
      </c>
      <c r="C9093" s="14" t="s">
        <v>1</v>
      </c>
      <c r="D9093" s="15"/>
      <c r="E9093" s="15" t="s">
        <v>20</v>
      </c>
      <c r="F9093" s="16" t="s">
        <v>21</v>
      </c>
      <c r="G9093" s="15" t="s">
        <v>5</v>
      </c>
      <c r="H9093" s="215"/>
    </row>
    <row r="9094" spans="1:9">
      <c r="A9094" s="211" t="s">
        <v>508</v>
      </c>
      <c r="B9094" s="216" t="str">
        <f ca="1">_xlfn.CONCAT(B9068,A9094)</f>
        <v>23DAC4F6-Y</v>
      </c>
      <c r="C9094" s="24" t="s">
        <v>22</v>
      </c>
      <c r="D9094" s="184"/>
      <c r="E9094" s="25">
        <f>_xlfn.XLOOKUP(C9094,'H-MO'!B$7:B$30,'H-MO'!D$7:D$30,,0,1)</f>
        <v>2436.5624999999995</v>
      </c>
      <c r="F9094" s="19">
        <v>2.2999999999999998</v>
      </c>
      <c r="G9094" s="33">
        <f t="shared" ref="G9094:G9099" si="260">+E9094*F9094</f>
        <v>5604.0937499999982</v>
      </c>
      <c r="H9094" s="229">
        <f>0.25*0.13</f>
        <v>3.2500000000000001E-2</v>
      </c>
      <c r="I9094" s="240">
        <f>+G9091*H9094</f>
        <v>5799.243125</v>
      </c>
    </row>
    <row r="9095" spans="1:9">
      <c r="A9095" s="211" t="s">
        <v>509</v>
      </c>
      <c r="B9095" s="216" t="str">
        <f ca="1">_xlfn.CONCAT(B9068,A9095)</f>
        <v>23DAC4F6-Z</v>
      </c>
      <c r="C9095" s="24" t="s">
        <v>23</v>
      </c>
      <c r="D9095" s="184"/>
      <c r="E9095" s="25">
        <f>_xlfn.XLOOKUP(C9095,'H-MO'!B$7:B$30,'H-MO'!D$7:D$30,,0,1)</f>
        <v>1461.9374999999998</v>
      </c>
      <c r="F9095" s="19">
        <v>3.7</v>
      </c>
      <c r="G9095" s="33">
        <f t="shared" si="260"/>
        <v>5409.1687499999998</v>
      </c>
      <c r="H9095" s="229">
        <v>0.03</v>
      </c>
    </row>
    <row r="9096" spans="1:9">
      <c r="A9096" s="211" t="s">
        <v>510</v>
      </c>
      <c r="B9096" s="216" t="str">
        <f ca="1">_xlfn.CONCAT(B9068,A9096)</f>
        <v>23DAC4F6-aa</v>
      </c>
      <c r="C9096" s="24" t="s">
        <v>24</v>
      </c>
      <c r="D9096" s="185"/>
      <c r="E9096" s="25">
        <f>_xlfn.XLOOKUP(C9096,'H-MO'!B$7:B$30,'H-MO'!D$7:D$30,,0,1)</f>
        <v>29238.749999999996</v>
      </c>
      <c r="F9096" s="28">
        <v>0.8</v>
      </c>
      <c r="G9096" s="33">
        <f t="shared" si="260"/>
        <v>23391</v>
      </c>
      <c r="H9096" s="229">
        <v>0.125</v>
      </c>
      <c r="I9096" s="239">
        <f>+H9096*G9091</f>
        <v>22304.78125</v>
      </c>
    </row>
    <row r="9097" spans="1:9">
      <c r="A9097" s="211" t="s">
        <v>511</v>
      </c>
      <c r="B9097" s="216" t="str">
        <f ca="1">_xlfn.CONCAT(B9068,A9097)</f>
        <v>23DAC4F6-ab</v>
      </c>
      <c r="C9097" s="24" t="s">
        <v>25</v>
      </c>
      <c r="D9097" s="185"/>
      <c r="E9097" s="25">
        <f>_xlfn.XLOOKUP(C9097,'H-MO'!B$7:B$30,'H-MO'!D$7:D$30,,0,1)</f>
        <v>2761.4374999999995</v>
      </c>
      <c r="F9097" s="28">
        <v>1.6</v>
      </c>
      <c r="G9097" s="33">
        <f t="shared" si="260"/>
        <v>4418.2999999999993</v>
      </c>
      <c r="H9097" s="229">
        <v>2.5000000000000001E-2</v>
      </c>
      <c r="I9097" s="239">
        <f>+H9097*G9091</f>
        <v>4460.9562500000002</v>
      </c>
    </row>
    <row r="9098" spans="1:9">
      <c r="A9098" s="211" t="s">
        <v>512</v>
      </c>
      <c r="B9098" s="216" t="str">
        <f ca="1">_xlfn.CONCAT(B9068,A9098)</f>
        <v>23DAC4F6-ac</v>
      </c>
      <c r="C9098" s="24"/>
      <c r="D9098" s="185"/>
      <c r="E9098" s="29"/>
      <c r="F9098" s="28">
        <v>0</v>
      </c>
      <c r="G9098" s="33">
        <f t="shared" si="260"/>
        <v>0</v>
      </c>
    </row>
    <row r="9099" spans="1:9" ht="14.25" thickBot="1">
      <c r="A9099" s="211" t="s">
        <v>513</v>
      </c>
      <c r="B9099" s="216" t="str">
        <f ca="1">_xlfn.CONCAT(B9068,A9099)</f>
        <v>23DAC4F6-ad</v>
      </c>
      <c r="C9099" s="24"/>
      <c r="D9099" s="185"/>
      <c r="E9099" s="29"/>
      <c r="F9099" s="28">
        <v>0</v>
      </c>
      <c r="G9099" s="33">
        <f t="shared" si="260"/>
        <v>0</v>
      </c>
    </row>
    <row r="9100" spans="1:9" ht="14.25" thickBot="1">
      <c r="A9100" s="211" t="s">
        <v>514</v>
      </c>
      <c r="B9100" s="216" t="str">
        <f ca="1">_xlfn.CONCAT(B9068,A9100)</f>
        <v>23DAC4F6-ae</v>
      </c>
      <c r="C9100" s="17"/>
      <c r="D9100" s="192"/>
      <c r="E9100" s="18"/>
      <c r="F9100" s="22" t="s">
        <v>26</v>
      </c>
      <c r="G9100" s="23">
        <f>SUM(G9094:G9099)</f>
        <v>38822.5625</v>
      </c>
      <c r="H9100" s="211">
        <v>0.25</v>
      </c>
    </row>
    <row r="9101" spans="1:9" ht="15.75" thickBot="1">
      <c r="A9101" s="211" t="s">
        <v>515</v>
      </c>
      <c r="B9101" s="216" t="str">
        <f ca="1">_xlfn.CONCAT(B9068,A9101)</f>
        <v>23DAC4F6-af</v>
      </c>
      <c r="C9101" s="10" t="s">
        <v>27</v>
      </c>
      <c r="D9101" s="190"/>
      <c r="E9101" s="11"/>
      <c r="F9101" s="12"/>
      <c r="G9101" s="13"/>
    </row>
    <row r="9102" spans="1:9" ht="14.25" thickBot="1">
      <c r="A9102" s="211" t="s">
        <v>516</v>
      </c>
      <c r="B9102" s="216" t="str">
        <f ca="1">_xlfn.CONCAT(B9068,A9102)</f>
        <v>23DAC4F6-ag</v>
      </c>
      <c r="C9102" s="14" t="s">
        <v>1</v>
      </c>
      <c r="D9102" s="15" t="s">
        <v>28</v>
      </c>
      <c r="E9102" s="15" t="s">
        <v>20</v>
      </c>
      <c r="F9102" s="16" t="s">
        <v>21</v>
      </c>
      <c r="G9102" s="15" t="s">
        <v>5</v>
      </c>
      <c r="H9102" s="215"/>
    </row>
    <row r="9103" spans="1:9">
      <c r="A9103" s="211" t="s">
        <v>517</v>
      </c>
      <c r="B9103" s="216" t="str">
        <f ca="1">_xlfn.CONCAT(B9068,A9103)</f>
        <v>23DAC4F6-ah</v>
      </c>
      <c r="C9103" s="30" t="s">
        <v>29</v>
      </c>
      <c r="D9103" s="186">
        <f>'H-MO'!$N$77</f>
        <v>725918.52892505517</v>
      </c>
      <c r="E9103" s="31">
        <f>+D9103/8</f>
        <v>90739.816115631897</v>
      </c>
      <c r="F9103" s="32">
        <v>0.22</v>
      </c>
      <c r="G9103" s="33">
        <f>+E9103*F9103</f>
        <v>19962.759545439018</v>
      </c>
      <c r="H9103" s="229">
        <v>0.11184496008336237</v>
      </c>
      <c r="I9103" s="239">
        <f>+H9103*G9091</f>
        <v>19957.418948595034</v>
      </c>
    </row>
    <row r="9104" spans="1:9">
      <c r="A9104" s="211" t="s">
        <v>518</v>
      </c>
      <c r="B9104" s="216" t="str">
        <f ca="1">_xlfn.CONCAT(B9068,A9104)</f>
        <v>23DAC4F6-ai</v>
      </c>
      <c r="C9104" s="34" t="s">
        <v>30</v>
      </c>
      <c r="D9104" s="187">
        <f>'H-MO'!$N$86</f>
        <v>685561.39085756091</v>
      </c>
      <c r="E9104" s="29">
        <f>+D9104/8</f>
        <v>85695.173857195114</v>
      </c>
      <c r="F9104" s="28">
        <v>0.44</v>
      </c>
      <c r="G9104" s="33">
        <f>+E9104*F9104</f>
        <v>37705.876497165853</v>
      </c>
      <c r="H9104" s="229">
        <v>0.21125397228446965</v>
      </c>
      <c r="I9104" s="239">
        <f>+H9104*G9091</f>
        <v>37695.789119989269</v>
      </c>
    </row>
    <row r="9105" spans="1:8" ht="14.25" thickBot="1">
      <c r="A9105" s="211" t="s">
        <v>519</v>
      </c>
      <c r="B9105" s="216" t="str">
        <f ca="1">_xlfn.CONCAT(B9068,A9105)</f>
        <v>23DAC4F6-aj</v>
      </c>
      <c r="C9105" s="34"/>
      <c r="D9105" s="187"/>
      <c r="E9105" s="29"/>
      <c r="F9105" s="28">
        <v>0</v>
      </c>
      <c r="G9105" s="33">
        <f>+E9105*F9105</f>
        <v>0</v>
      </c>
    </row>
    <row r="9106" spans="1:8" ht="14.25" thickBot="1">
      <c r="A9106" s="211" t="s">
        <v>520</v>
      </c>
      <c r="B9106" s="216" t="str">
        <f ca="1">_xlfn.CONCAT(B9068,A9106)</f>
        <v>23DAC4F6-ak</v>
      </c>
      <c r="C9106" s="34"/>
      <c r="D9106" s="185"/>
      <c r="E9106" s="26"/>
      <c r="F9106" s="36" t="s">
        <v>31</v>
      </c>
      <c r="G9106" s="23">
        <f>SUM(G9103:G9105)</f>
        <v>57668.63604260487</v>
      </c>
    </row>
    <row r="9107" spans="1:8" ht="14.25" thickBot="1">
      <c r="A9107" s="211" t="s">
        <v>521</v>
      </c>
      <c r="B9107" s="216" t="str">
        <f ca="1">_xlfn.CONCAT(B9068,A9107)</f>
        <v>23DAC4F6-al</v>
      </c>
      <c r="C9107" s="37"/>
      <c r="E9107" s="38"/>
      <c r="F9107" s="22"/>
      <c r="G9107" s="39"/>
    </row>
    <row r="9108" spans="1:8" ht="16.5" thickBot="1">
      <c r="A9108" s="211" t="s">
        <v>522</v>
      </c>
      <c r="B9108" s="216" t="str">
        <f ca="1">_xlfn.CONCAT(B9068,A9108)</f>
        <v>23DAC4F6-am</v>
      </c>
      <c r="C9108" s="40"/>
      <c r="D9108" s="193"/>
      <c r="E9108" s="41"/>
      <c r="F9108" s="42"/>
      <c r="G9108" s="43">
        <f>+G9091+G9100+G9106</f>
        <v>274929.44854260486</v>
      </c>
    </row>
    <row r="9109" spans="1:8" ht="21.75" thickBot="1">
      <c r="B9109" s="212" t="s">
        <v>550</v>
      </c>
      <c r="C9109" s="2"/>
      <c r="D9109" s="183"/>
      <c r="F9109" s="4"/>
      <c r="G9109" s="5"/>
    </row>
    <row r="9110" spans="1:8" ht="18" customHeight="1">
      <c r="A9110" s="213"/>
      <c r="B9110" s="214">
        <v>207</v>
      </c>
      <c r="C9110" s="242" t="str">
        <f ca="1">_xlfn.XLOOKUP(B9110,Cantidades!$A$10:$A$314,Cantidades!$C$10:$C$314,,0,1)</f>
        <v>Suministro e instalación de acometida 3x(3#500+1#350)+1x4/0 Aluminio</v>
      </c>
      <c r="D9110" s="243"/>
      <c r="E9110" s="243"/>
      <c r="F9110" s="243"/>
      <c r="G9110" s="244"/>
    </row>
    <row r="9111" spans="1:8" ht="19.5" thickBot="1">
      <c r="A9111" s="215"/>
      <c r="B9111" s="216" t="s">
        <v>550</v>
      </c>
      <c r="C9111" s="177"/>
      <c r="D9111" s="189"/>
      <c r="E9111" s="178"/>
      <c r="F9111" s="179" t="s">
        <v>636</v>
      </c>
      <c r="G9111" s="209" t="str">
        <f ca="1">B9112</f>
        <v>653FA5B-</v>
      </c>
    </row>
    <row r="9112" spans="1:8" ht="15.75" thickBot="1">
      <c r="B9112" s="212" t="str">
        <f ca="1">_xlfn.XLOOKUP(C9110,Cantidades!$C$1:$C$314,Cantidades!$B$1:$B$314,"",0,1)</f>
        <v>653FA5B-</v>
      </c>
      <c r="C9112" s="10" t="s">
        <v>0</v>
      </c>
      <c r="D9112" s="190"/>
      <c r="E9112" s="11"/>
      <c r="F9112" s="12"/>
      <c r="G9112" s="13"/>
    </row>
    <row r="9113" spans="1:8" ht="14.25" thickBot="1">
      <c r="A9113" s="215"/>
      <c r="B9113" s="216" t="s">
        <v>550</v>
      </c>
      <c r="C9113" s="14" t="s">
        <v>1</v>
      </c>
      <c r="D9113" s="15" t="s">
        <v>2</v>
      </c>
      <c r="E9113" s="15" t="s">
        <v>3</v>
      </c>
      <c r="F9113" s="16" t="s">
        <v>4</v>
      </c>
      <c r="G9113" s="15" t="s">
        <v>5</v>
      </c>
    </row>
    <row r="9114" spans="1:8">
      <c r="A9114" s="211" t="s">
        <v>484</v>
      </c>
      <c r="B9114" s="216" t="str">
        <f ca="1">_xlfn.CONCAT(B9112,A9114)</f>
        <v>653FA5B-A</v>
      </c>
      <c r="C9114" s="17" t="str">
        <f>_xlfn.XLOOKUP(H9114,'Materiales unitario'!$A$1:$A$2500,'Materiales unitario'!B$1:B$2500,,0,1)</f>
        <v>Cable de Aluminio aislado #350 mcm - THHN/THWN</v>
      </c>
      <c r="D9114" s="184" t="str">
        <f>_xlfn.XLOOKUP(H9114,'Materiales unitario'!A$1:A$2500,'Materiales unitario'!C$1:C$2500,,0,1)</f>
        <v>ml</v>
      </c>
      <c r="E9114" s="197">
        <f>_xlfn.XLOOKUP(H9114,'Materiales unitario'!$A$1:$A$2500,'Materiales unitario'!D$1:D$2500,,0,1)</f>
        <v>25942</v>
      </c>
      <c r="F9114" s="19">
        <v>3.15</v>
      </c>
      <c r="G9114" s="20">
        <f t="shared" ref="G9114:G9120" si="261">+E9114*F9114</f>
        <v>81717.3</v>
      </c>
      <c r="H9114" s="211" t="s">
        <v>259</v>
      </c>
    </row>
    <row r="9115" spans="1:8">
      <c r="A9115" s="211" t="s">
        <v>485</v>
      </c>
      <c r="B9115" s="216" t="str">
        <f ca="1">_xlfn.CONCAT(B9112,A9115)</f>
        <v>653FA5B-B</v>
      </c>
      <c r="C9115" s="17" t="str">
        <f>_xlfn.XLOOKUP(H9115,'Materiales unitario'!$A$1:$A$2500,'Materiales unitario'!B$1:B$2500,,0,1)</f>
        <v>Cable de Aluminio aislado #500 mcm - THHN/THWN</v>
      </c>
      <c r="D9115" s="184" t="str">
        <f>_xlfn.XLOOKUP(H9115,'Materiales unitario'!A$1:A$2500,'Materiales unitario'!C$1:C$2500,,0,1)</f>
        <v>ml</v>
      </c>
      <c r="E9115" s="197">
        <f>_xlfn.XLOOKUP(H9115,'Materiales unitario'!$A$1:$A$2500,'Materiales unitario'!D$1:D$2500,,0,1)</f>
        <v>31600</v>
      </c>
      <c r="F9115" s="19">
        <v>9.4499999999999993</v>
      </c>
      <c r="G9115" s="20">
        <f t="shared" si="261"/>
        <v>298620</v>
      </c>
      <c r="H9115" s="211" t="s">
        <v>1407</v>
      </c>
    </row>
    <row r="9116" spans="1:8">
      <c r="A9116" s="211" t="s">
        <v>486</v>
      </c>
      <c r="B9116" s="216" t="str">
        <f ca="1">_xlfn.CONCAT(B9112,A9116)</f>
        <v>653FA5B-C</v>
      </c>
      <c r="C9116" s="17" t="str">
        <f>_xlfn.XLOOKUP(H9116,'Materiales unitario'!$A$1:$A$2500,'Materiales unitario'!B$1:B$2500,,0,1)</f>
        <v>Cable de Aluminio aislado #4/0 AWG - THHN/THWN</v>
      </c>
      <c r="D9116" s="184" t="str">
        <f>_xlfn.XLOOKUP(H9116,'Materiales unitario'!A$1:A$2500,'Materiales unitario'!C$1:C$2500,,0,1)</f>
        <v>ml</v>
      </c>
      <c r="E9116" s="197">
        <f>_xlfn.XLOOKUP(H9116,'Materiales unitario'!$A$1:$A$2500,'Materiales unitario'!D$1:D$2500,,0,1)</f>
        <v>15589</v>
      </c>
      <c r="F9116" s="19">
        <v>1.05</v>
      </c>
      <c r="G9116" s="20">
        <f t="shared" si="261"/>
        <v>16368.45</v>
      </c>
      <c r="H9116" s="211" t="s">
        <v>261</v>
      </c>
    </row>
    <row r="9117" spans="1:8">
      <c r="A9117" s="211" t="s">
        <v>487</v>
      </c>
      <c r="B9117" s="216" t="str">
        <f ca="1">_xlfn.CONCAT(B9112,A9117)</f>
        <v>653FA5B-D</v>
      </c>
      <c r="C9117" s="17" t="str">
        <f>_xlfn.XLOOKUP(H9117,'Materiales unitario'!$A$1:$A$2500,'Materiales unitario'!B$1:B$2500,,0,1)</f>
        <v>Borna bimetálica de ojo tipo pala #500 MCM</v>
      </c>
      <c r="D9117" s="184" t="str">
        <f>_xlfn.XLOOKUP(H9117,'Materiales unitario'!A$1:A$2500,'Materiales unitario'!C$1:C$2500,,0,1)</f>
        <v>un</v>
      </c>
      <c r="E9117" s="197">
        <f>_xlfn.XLOOKUP(H9117,'Materiales unitario'!$A$1:$A$2500,'Materiales unitario'!D$1:D$2500,,0,1)</f>
        <v>42100</v>
      </c>
      <c r="F9117" s="19">
        <v>0.9</v>
      </c>
      <c r="G9117" s="20">
        <f t="shared" si="261"/>
        <v>37890</v>
      </c>
      <c r="H9117" s="211" t="s">
        <v>1409</v>
      </c>
    </row>
    <row r="9118" spans="1:8">
      <c r="A9118" s="211" t="s">
        <v>488</v>
      </c>
      <c r="B9118" s="216" t="str">
        <f ca="1">_xlfn.CONCAT(B9112,A9118)</f>
        <v>653FA5B-E</v>
      </c>
      <c r="C9118" s="17" t="str">
        <f>_xlfn.XLOOKUP(H9118,'Materiales unitario'!$A$1:$A$2500,'Materiales unitario'!B$1:B$2500,,0,1)</f>
        <v>Borna bimetálica de ojo tipo pala #4/0 AWG</v>
      </c>
      <c r="D9118" s="184" t="str">
        <f>_xlfn.XLOOKUP(H9118,'Materiales unitario'!A$1:A$2500,'Materiales unitario'!C$1:C$2500,,0,1)</f>
        <v>un</v>
      </c>
      <c r="E9118" s="197">
        <f>_xlfn.XLOOKUP(H9118,'Materiales unitario'!$A$1:$A$2500,'Materiales unitario'!D$1:D$2500,,0,1)</f>
        <v>13804</v>
      </c>
      <c r="F9118" s="19">
        <v>0.1</v>
      </c>
      <c r="G9118" s="20">
        <f t="shared" si="261"/>
        <v>1380.4</v>
      </c>
      <c r="H9118" s="211" t="s">
        <v>246</v>
      </c>
    </row>
    <row r="9119" spans="1:8">
      <c r="A9119" s="211" t="s">
        <v>489</v>
      </c>
      <c r="B9119" s="216" t="str">
        <f ca="1">_xlfn.CONCAT(B9112,A9119)</f>
        <v>653FA5B-F</v>
      </c>
      <c r="C9119" s="17" t="str">
        <f>_xlfn.XLOOKUP(H9119,'Materiales unitario'!$A$1:$A$2500,'Materiales unitario'!B$1:B$2500,,0,1)</f>
        <v>Borna bimetálica de ojo tipo pala #350 MCM</v>
      </c>
      <c r="D9119" s="184" t="str">
        <f>_xlfn.XLOOKUP(H9119,'Materiales unitario'!A$1:A$2500,'Materiales unitario'!C$1:C$2500,,0,1)</f>
        <v>un</v>
      </c>
      <c r="E9119" s="197">
        <f>_xlfn.XLOOKUP(H9119,'Materiales unitario'!$A$1:$A$2500,'Materiales unitario'!D$1:D$2500,,0,1)</f>
        <v>24871</v>
      </c>
      <c r="F9119" s="19">
        <v>0.3</v>
      </c>
      <c r="G9119" s="20">
        <f t="shared" si="261"/>
        <v>7461.2999999999993</v>
      </c>
      <c r="H9119" s="211" t="s">
        <v>244</v>
      </c>
    </row>
    <row r="9120" spans="1:8">
      <c r="A9120" s="211" t="s">
        <v>490</v>
      </c>
      <c r="B9120" s="216" t="str">
        <f ca="1">_xlfn.CONCAT(B9112,A9120)</f>
        <v>653FA5B-G</v>
      </c>
      <c r="C9120" s="17" t="str">
        <f>_xlfn.XLOOKUP(H9120,'Materiales unitario'!$A$1:$A$2500,'Materiales unitario'!B$1:B$2500,,0,1)</f>
        <v>Termoencogible</v>
      </c>
      <c r="D9120" s="184" t="str">
        <f>_xlfn.XLOOKUP(H9120,'Materiales unitario'!A$1:A$2500,'Materiales unitario'!C$1:C$2500,,0,1)</f>
        <v>un</v>
      </c>
      <c r="E9120" s="197">
        <f>_xlfn.XLOOKUP(H9120,'Materiales unitario'!$A$1:$A$2500,'Materiales unitario'!D$1:D$2500,,0,1)</f>
        <v>5000</v>
      </c>
      <c r="F9120" s="19">
        <v>0.1</v>
      </c>
      <c r="G9120" s="20">
        <f t="shared" si="261"/>
        <v>500</v>
      </c>
      <c r="H9120" s="211" t="s">
        <v>373</v>
      </c>
    </row>
    <row r="9121" spans="1:7">
      <c r="A9121" s="211" t="s">
        <v>491</v>
      </c>
      <c r="B9121" s="216" t="str">
        <f ca="1">_xlfn.CONCAT(B9112,A9121)</f>
        <v>653FA5B-H</v>
      </c>
      <c r="C9121" s="17"/>
      <c r="D9121" s="184"/>
      <c r="E9121" s="197"/>
      <c r="F9121" s="19">
        <v>0</v>
      </c>
      <c r="G9121" s="20"/>
    </row>
    <row r="9122" spans="1:7">
      <c r="A9122" s="211" t="s">
        <v>492</v>
      </c>
      <c r="B9122" s="216" t="str">
        <f ca="1">_xlfn.CONCAT(B9112,A9122)</f>
        <v>653FA5B-I</v>
      </c>
      <c r="C9122" s="17"/>
      <c r="D9122" s="184"/>
      <c r="E9122" s="197"/>
      <c r="F9122" s="19">
        <v>0</v>
      </c>
      <c r="G9122" s="20"/>
    </row>
    <row r="9123" spans="1:7">
      <c r="A9123" s="211" t="s">
        <v>493</v>
      </c>
      <c r="B9123" s="216" t="str">
        <f ca="1">_xlfn.CONCAT(B9112,A9123)</f>
        <v>653FA5B-J</v>
      </c>
      <c r="C9123" s="17"/>
      <c r="D9123" s="184"/>
      <c r="E9123" s="197"/>
      <c r="F9123" s="19">
        <v>0</v>
      </c>
      <c r="G9123" s="20"/>
    </row>
    <row r="9124" spans="1:7">
      <c r="A9124" s="211" t="s">
        <v>494</v>
      </c>
      <c r="B9124" s="216" t="str">
        <f ca="1">_xlfn.CONCAT(B9112,A9124)</f>
        <v>653FA5B-K</v>
      </c>
      <c r="C9124" s="17"/>
      <c r="D9124" s="184"/>
      <c r="E9124" s="197"/>
      <c r="F9124" s="19">
        <v>0</v>
      </c>
      <c r="G9124" s="20"/>
    </row>
    <row r="9125" spans="1:7">
      <c r="A9125" s="211" t="s">
        <v>495</v>
      </c>
      <c r="B9125" s="216" t="str">
        <f ca="1">_xlfn.CONCAT(B9112,A9125)</f>
        <v>653FA5B-L</v>
      </c>
      <c r="C9125" s="17"/>
      <c r="D9125" s="184"/>
      <c r="E9125" s="197"/>
      <c r="F9125" s="19">
        <v>0</v>
      </c>
      <c r="G9125" s="20"/>
    </row>
    <row r="9126" spans="1:7">
      <c r="A9126" s="211" t="s">
        <v>496</v>
      </c>
      <c r="B9126" s="216" t="str">
        <f ca="1">_xlfn.CONCAT(B9112,A9126)</f>
        <v>653FA5B-M</v>
      </c>
      <c r="C9126" s="17"/>
      <c r="D9126" s="184"/>
      <c r="E9126" s="197"/>
      <c r="F9126" s="19">
        <v>0</v>
      </c>
      <c r="G9126" s="20"/>
    </row>
    <row r="9127" spans="1:7">
      <c r="A9127" s="211" t="s">
        <v>497</v>
      </c>
      <c r="B9127" s="216" t="str">
        <f ca="1">_xlfn.CONCAT(B9112,A9127)</f>
        <v>653FA5B-N</v>
      </c>
      <c r="C9127" s="17"/>
      <c r="D9127" s="184"/>
      <c r="E9127" s="197"/>
      <c r="F9127" s="19">
        <v>0</v>
      </c>
      <c r="G9127" s="20"/>
    </row>
    <row r="9128" spans="1:7">
      <c r="A9128" s="211" t="s">
        <v>498</v>
      </c>
      <c r="B9128" s="216" t="str">
        <f ca="1">_xlfn.CONCAT(B9112,A9128)</f>
        <v>653FA5B-O</v>
      </c>
      <c r="C9128" s="17"/>
      <c r="D9128" s="184"/>
      <c r="E9128" s="197"/>
      <c r="F9128" s="19">
        <v>0</v>
      </c>
      <c r="G9128" s="20"/>
    </row>
    <row r="9129" spans="1:7">
      <c r="A9129" s="211" t="s">
        <v>499</v>
      </c>
      <c r="B9129" s="216" t="str">
        <f ca="1">_xlfn.CONCAT(B9112,A9129)</f>
        <v>653FA5B-P</v>
      </c>
      <c r="C9129" s="17"/>
      <c r="D9129" s="184"/>
      <c r="E9129" s="197"/>
      <c r="F9129" s="19">
        <v>0</v>
      </c>
      <c r="G9129" s="20"/>
    </row>
    <row r="9130" spans="1:7">
      <c r="A9130" s="211" t="s">
        <v>500</v>
      </c>
      <c r="B9130" s="216" t="str">
        <f ca="1">_xlfn.CONCAT(B9112,A9130)</f>
        <v>653FA5B-Q</v>
      </c>
      <c r="C9130" s="17"/>
      <c r="D9130" s="184"/>
      <c r="E9130" s="197"/>
      <c r="F9130" s="19">
        <v>0</v>
      </c>
      <c r="G9130" s="20"/>
    </row>
    <row r="9131" spans="1:7">
      <c r="A9131" s="211" t="s">
        <v>501</v>
      </c>
      <c r="B9131" s="216" t="str">
        <f ca="1">_xlfn.CONCAT(B9112,A9131)</f>
        <v>653FA5B-R</v>
      </c>
      <c r="C9131" s="17"/>
      <c r="D9131" s="184"/>
      <c r="E9131" s="197"/>
      <c r="F9131" s="19">
        <v>0</v>
      </c>
      <c r="G9131" s="20"/>
    </row>
    <row r="9132" spans="1:7">
      <c r="A9132" s="211" t="s">
        <v>502</v>
      </c>
      <c r="B9132" s="216" t="str">
        <f ca="1">_xlfn.CONCAT(B9112,A9132)</f>
        <v>653FA5B-S</v>
      </c>
      <c r="C9132" s="17"/>
      <c r="D9132" s="184"/>
      <c r="E9132" s="197"/>
      <c r="F9132" s="19">
        <v>0</v>
      </c>
      <c r="G9132" s="20"/>
    </row>
    <row r="9133" spans="1:7">
      <c r="A9133" s="211" t="s">
        <v>503</v>
      </c>
      <c r="B9133" s="216" t="str">
        <f ca="1">_xlfn.CONCAT(B9112,A9133)</f>
        <v>653FA5B-T</v>
      </c>
      <c r="C9133" s="17"/>
      <c r="D9133" s="184"/>
      <c r="E9133" s="197"/>
      <c r="F9133" s="19">
        <v>0</v>
      </c>
      <c r="G9133" s="20"/>
    </row>
    <row r="9134" spans="1:7" ht="14.25" thickBot="1">
      <c r="A9134" s="211" t="s">
        <v>504</v>
      </c>
      <c r="B9134" s="216" t="str">
        <f ca="1">_xlfn.CONCAT(B9112,A9134)</f>
        <v>653FA5B-U</v>
      </c>
      <c r="C9134" s="17"/>
      <c r="D9134" s="184"/>
      <c r="E9134" s="197"/>
      <c r="F9134" s="19">
        <v>0</v>
      </c>
      <c r="G9134" s="20"/>
    </row>
    <row r="9135" spans="1:7" ht="14.25" thickBot="1">
      <c r="A9135" s="211" t="s">
        <v>505</v>
      </c>
      <c r="B9135" s="216" t="str">
        <f ca="1">_xlfn.CONCAT(B9112,A9135)</f>
        <v>653FA5B-V</v>
      </c>
      <c r="C9135" s="17" t="s">
        <v>17</v>
      </c>
      <c r="D9135" s="192" t="s">
        <v>17</v>
      </c>
      <c r="E9135" s="18"/>
      <c r="F9135" s="22" t="s">
        <v>18</v>
      </c>
      <c r="G9135" s="23">
        <f>SUM(G9114:G9134)</f>
        <v>443937.45</v>
      </c>
    </row>
    <row r="9136" spans="1:7" ht="15.75" thickBot="1">
      <c r="A9136" s="211" t="s">
        <v>506</v>
      </c>
      <c r="B9136" s="216" t="str">
        <f ca="1">_xlfn.CONCAT(B9112,A9136)</f>
        <v>653FA5B-W</v>
      </c>
      <c r="C9136" s="10" t="s">
        <v>19</v>
      </c>
      <c r="D9136" s="190"/>
      <c r="E9136" s="11"/>
      <c r="F9136" s="12"/>
      <c r="G9136" s="13"/>
    </row>
    <row r="9137" spans="1:7" ht="14.25" thickBot="1">
      <c r="A9137" s="211" t="s">
        <v>507</v>
      </c>
      <c r="B9137" s="216" t="str">
        <f ca="1">_xlfn.CONCAT(B9112,A9137)</f>
        <v>653FA5B-X</v>
      </c>
      <c r="C9137" s="14" t="s">
        <v>1</v>
      </c>
      <c r="D9137" s="15"/>
      <c r="E9137" s="15" t="s">
        <v>20</v>
      </c>
      <c r="F9137" s="16" t="s">
        <v>21</v>
      </c>
      <c r="G9137" s="15" t="s">
        <v>5</v>
      </c>
    </row>
    <row r="9138" spans="1:7">
      <c r="A9138" s="211" t="s">
        <v>508</v>
      </c>
      <c r="B9138" s="216" t="str">
        <f ca="1">_xlfn.CONCAT(B9112,A9138)</f>
        <v>653FA5B-Y</v>
      </c>
      <c r="C9138" s="24" t="s">
        <v>22</v>
      </c>
      <c r="D9138" s="184"/>
      <c r="E9138" s="25">
        <f>_xlfn.XLOOKUP(C9138,'H-MO'!B$7:B$30,'H-MO'!D$7:D$30,,0,1)</f>
        <v>2436.5624999999995</v>
      </c>
      <c r="F9138" s="19">
        <v>0.7</v>
      </c>
      <c r="G9138" s="33">
        <f t="shared" ref="G9138:G9143" si="262">+E9138*F9138</f>
        <v>1705.5937499999995</v>
      </c>
    </row>
    <row r="9139" spans="1:7">
      <c r="A9139" s="211" t="s">
        <v>509</v>
      </c>
      <c r="B9139" s="216" t="str">
        <f ca="1">_xlfn.CONCAT(B9112,A9139)</f>
        <v>653FA5B-Z</v>
      </c>
      <c r="C9139" s="24" t="s">
        <v>23</v>
      </c>
      <c r="D9139" s="184"/>
      <c r="E9139" s="25">
        <f>_xlfn.XLOOKUP(C9139,'H-MO'!B$7:B$30,'H-MO'!D$7:D$30,,0,1)</f>
        <v>1461.9374999999998</v>
      </c>
      <c r="F9139" s="19">
        <v>0.1</v>
      </c>
      <c r="G9139" s="33">
        <f t="shared" si="262"/>
        <v>146.19374999999999</v>
      </c>
    </row>
    <row r="9140" spans="1:7">
      <c r="A9140" s="211" t="s">
        <v>510</v>
      </c>
      <c r="B9140" s="216" t="str">
        <f ca="1">_xlfn.CONCAT(B9112,A9140)</f>
        <v>653FA5B-aa</v>
      </c>
      <c r="C9140" s="24" t="s">
        <v>24</v>
      </c>
      <c r="D9140" s="185"/>
      <c r="E9140" s="25">
        <f>_xlfn.XLOOKUP(C9140,'H-MO'!B$7:B$30,'H-MO'!D$7:D$30,,0,1)</f>
        <v>29238.749999999996</v>
      </c>
      <c r="F9140" s="28">
        <v>0.15</v>
      </c>
      <c r="G9140" s="33">
        <f t="shared" si="262"/>
        <v>4385.8124999999991</v>
      </c>
    </row>
    <row r="9141" spans="1:7">
      <c r="A9141" s="211" t="s">
        <v>511</v>
      </c>
      <c r="B9141" s="216" t="str">
        <f ca="1">_xlfn.CONCAT(B9112,A9141)</f>
        <v>653FA5B-ab</v>
      </c>
      <c r="C9141" s="24" t="s">
        <v>25</v>
      </c>
      <c r="D9141" s="185"/>
      <c r="E9141" s="25">
        <f>_xlfn.XLOOKUP(C9141,'H-MO'!B$7:B$30,'H-MO'!D$7:D$30,,0,1)</f>
        <v>2761.4374999999995</v>
      </c>
      <c r="F9141" s="28">
        <v>0.6</v>
      </c>
      <c r="G9141" s="33">
        <f t="shared" si="262"/>
        <v>1656.8624999999997</v>
      </c>
    </row>
    <row r="9142" spans="1:7">
      <c r="A9142" s="211" t="s">
        <v>512</v>
      </c>
      <c r="B9142" s="216" t="str">
        <f ca="1">_xlfn.CONCAT(B9112,A9142)</f>
        <v>653FA5B-ac</v>
      </c>
      <c r="C9142" s="24"/>
      <c r="D9142" s="185"/>
      <c r="E9142" s="29"/>
      <c r="F9142" s="28">
        <v>0</v>
      </c>
      <c r="G9142" s="33">
        <f t="shared" si="262"/>
        <v>0</v>
      </c>
    </row>
    <row r="9143" spans="1:7" ht="14.25" thickBot="1">
      <c r="A9143" s="211" t="s">
        <v>513</v>
      </c>
      <c r="B9143" s="216" t="str">
        <f ca="1">_xlfn.CONCAT(B9112,A9143)</f>
        <v>653FA5B-ad</v>
      </c>
      <c r="C9143" s="24"/>
      <c r="D9143" s="185"/>
      <c r="E9143" s="29"/>
      <c r="F9143" s="28">
        <v>0</v>
      </c>
      <c r="G9143" s="33">
        <f t="shared" si="262"/>
        <v>0</v>
      </c>
    </row>
    <row r="9144" spans="1:7" ht="14.25" thickBot="1">
      <c r="A9144" s="211" t="s">
        <v>514</v>
      </c>
      <c r="B9144" s="216" t="str">
        <f ca="1">_xlfn.CONCAT(B9112,A9144)</f>
        <v>653FA5B-ae</v>
      </c>
      <c r="C9144" s="17"/>
      <c r="D9144" s="192"/>
      <c r="E9144" s="18"/>
      <c r="F9144" s="22" t="s">
        <v>26</v>
      </c>
      <c r="G9144" s="23">
        <f>SUM(G9138:G9143)</f>
        <v>7894.4624999999978</v>
      </c>
    </row>
    <row r="9145" spans="1:7" ht="15.75" thickBot="1">
      <c r="A9145" s="211" t="s">
        <v>515</v>
      </c>
      <c r="B9145" s="216" t="str">
        <f ca="1">_xlfn.CONCAT(B9112,A9145)</f>
        <v>653FA5B-af</v>
      </c>
      <c r="C9145" s="10" t="s">
        <v>27</v>
      </c>
      <c r="D9145" s="190"/>
      <c r="E9145" s="11"/>
      <c r="F9145" s="12"/>
      <c r="G9145" s="13"/>
    </row>
    <row r="9146" spans="1:7" ht="14.25" thickBot="1">
      <c r="A9146" s="211" t="s">
        <v>516</v>
      </c>
      <c r="B9146" s="216" t="str">
        <f ca="1">_xlfn.CONCAT(B9112,A9146)</f>
        <v>653FA5B-ag</v>
      </c>
      <c r="C9146" s="14" t="s">
        <v>1</v>
      </c>
      <c r="D9146" s="15" t="s">
        <v>28</v>
      </c>
      <c r="E9146" s="15" t="s">
        <v>20</v>
      </c>
      <c r="F9146" s="16" t="s">
        <v>21</v>
      </c>
      <c r="G9146" s="15" t="s">
        <v>5</v>
      </c>
    </row>
    <row r="9147" spans="1:7">
      <c r="A9147" s="211" t="s">
        <v>517</v>
      </c>
      <c r="B9147" s="216" t="str">
        <f ca="1">_xlfn.CONCAT(B9112,A9147)</f>
        <v>653FA5B-ah</v>
      </c>
      <c r="C9147" s="30" t="s">
        <v>29</v>
      </c>
      <c r="D9147" s="186">
        <f>'H-MO'!$N$77</f>
        <v>725918.52892505517</v>
      </c>
      <c r="E9147" s="31">
        <f>+D9147/8</f>
        <v>90739.816115631897</v>
      </c>
      <c r="F9147" s="32">
        <v>2.8</v>
      </c>
      <c r="G9147" s="33">
        <f>+E9147*F9147</f>
        <v>254071.48512376929</v>
      </c>
    </row>
    <row r="9148" spans="1:7">
      <c r="A9148" s="211" t="s">
        <v>518</v>
      </c>
      <c r="B9148" s="216" t="str">
        <f ca="1">_xlfn.CONCAT(B9112,A9148)</f>
        <v>653FA5B-ai</v>
      </c>
      <c r="C9148" s="34" t="s">
        <v>30</v>
      </c>
      <c r="D9148" s="187">
        <f>'H-MO'!$N$86</f>
        <v>685561.39085756091</v>
      </c>
      <c r="E9148" s="29">
        <f>+D9148/8</f>
        <v>85695.173857195114</v>
      </c>
      <c r="F9148" s="28">
        <v>0</v>
      </c>
      <c r="G9148" s="33">
        <f>+E9148*F9148</f>
        <v>0</v>
      </c>
    </row>
    <row r="9149" spans="1:7" ht="14.25" thickBot="1">
      <c r="A9149" s="211" t="s">
        <v>519</v>
      </c>
      <c r="B9149" s="216" t="str">
        <f ca="1">_xlfn.CONCAT(B9112,A9149)</f>
        <v>653FA5B-aj</v>
      </c>
      <c r="C9149" s="34"/>
      <c r="D9149" s="187"/>
      <c r="E9149" s="29"/>
      <c r="F9149" s="28"/>
      <c r="G9149" s="33">
        <f>+E9149*F9149</f>
        <v>0</v>
      </c>
    </row>
    <row r="9150" spans="1:7" ht="14.25" thickBot="1">
      <c r="A9150" s="211" t="s">
        <v>520</v>
      </c>
      <c r="B9150" s="216" t="str">
        <f ca="1">_xlfn.CONCAT(B9112,A9150)</f>
        <v>653FA5B-ak</v>
      </c>
      <c r="C9150" s="34"/>
      <c r="D9150" s="185"/>
      <c r="E9150" s="26"/>
      <c r="F9150" s="36" t="s">
        <v>31</v>
      </c>
      <c r="G9150" s="23">
        <f>SUM(G9147:G9149)</f>
        <v>254071.48512376929</v>
      </c>
    </row>
    <row r="9151" spans="1:7" ht="14.25" thickBot="1">
      <c r="A9151" s="211" t="s">
        <v>521</v>
      </c>
      <c r="B9151" s="216" t="str">
        <f ca="1">_xlfn.CONCAT(B9112,A9151)</f>
        <v>653FA5B-al</v>
      </c>
      <c r="C9151" s="37"/>
      <c r="E9151" s="38"/>
      <c r="F9151" s="22"/>
      <c r="G9151" s="39"/>
    </row>
    <row r="9152" spans="1:7" ht="16.5" thickBot="1">
      <c r="A9152" s="211" t="s">
        <v>522</v>
      </c>
      <c r="B9152" s="216" t="str">
        <f ca="1">_xlfn.CONCAT(B9112,A9152)</f>
        <v>653FA5B-am</v>
      </c>
      <c r="C9152" s="40"/>
      <c r="D9152" s="193"/>
      <c r="E9152" s="41"/>
      <c r="F9152" s="42"/>
      <c r="G9152" s="43">
        <f>+G9135+G9144+G9150</f>
        <v>705903.39762376936</v>
      </c>
    </row>
    <row r="9153" spans="1:8" ht="21.75" thickBot="1">
      <c r="B9153" s="212" t="s">
        <v>550</v>
      </c>
      <c r="C9153" s="2"/>
      <c r="D9153" s="183"/>
      <c r="F9153" s="4"/>
      <c r="G9153" s="5"/>
    </row>
    <row r="9154" spans="1:8" ht="18.75">
      <c r="A9154" s="213"/>
      <c r="B9154" s="214">
        <v>208</v>
      </c>
      <c r="C9154" s="242" t="str">
        <f ca="1">_xlfn.XLOOKUP(B9154,Cantidades!$A$10:$A$314,Cantidades!$C$10:$C$314,,0,1)</f>
        <v>Suministro e instalación de acometida 3#500+1#350+2/0T Aluminio</v>
      </c>
      <c r="D9154" s="243"/>
      <c r="E9154" s="243"/>
      <c r="F9154" s="243"/>
      <c r="G9154" s="244"/>
    </row>
    <row r="9155" spans="1:8" ht="19.5" thickBot="1">
      <c r="A9155" s="215"/>
      <c r="B9155" s="216" t="s">
        <v>550</v>
      </c>
      <c r="C9155" s="177"/>
      <c r="D9155" s="189"/>
      <c r="E9155" s="178"/>
      <c r="F9155" s="179" t="s">
        <v>636</v>
      </c>
      <c r="G9155" s="209" t="str">
        <f ca="1">B9156</f>
        <v>170C2A7F-</v>
      </c>
    </row>
    <row r="9156" spans="1:8" ht="15.75" thickBot="1">
      <c r="B9156" s="212" t="str">
        <f ca="1">_xlfn.XLOOKUP(C9154,Cantidades!$C$1:$C$314,Cantidades!$B$1:$B$314,"",0,1)</f>
        <v>170C2A7F-</v>
      </c>
      <c r="C9156" s="10" t="s">
        <v>0</v>
      </c>
      <c r="D9156" s="190"/>
      <c r="E9156" s="11"/>
      <c r="F9156" s="12"/>
      <c r="G9156" s="13"/>
    </row>
    <row r="9157" spans="1:8" ht="14.25" thickBot="1">
      <c r="A9157" s="215"/>
      <c r="B9157" s="216" t="s">
        <v>550</v>
      </c>
      <c r="C9157" s="14" t="s">
        <v>1</v>
      </c>
      <c r="D9157" s="15" t="s">
        <v>2</v>
      </c>
      <c r="E9157" s="15" t="s">
        <v>3</v>
      </c>
      <c r="F9157" s="16" t="s">
        <v>4</v>
      </c>
      <c r="G9157" s="15" t="s">
        <v>5</v>
      </c>
    </row>
    <row r="9158" spans="1:8">
      <c r="A9158" s="211" t="s">
        <v>484</v>
      </c>
      <c r="B9158" s="216" t="str">
        <f ca="1">_xlfn.CONCAT(B9156,A9158)</f>
        <v>170C2A7F-A</v>
      </c>
      <c r="C9158" s="17" t="str">
        <f>_xlfn.XLOOKUP(H9158,'Materiales unitario'!$A$1:$A$2500,'Materiales unitario'!B$1:B$2500,,0,1)</f>
        <v>Cable de Aluminio aislado #350 mcm - THHN/THWN</v>
      </c>
      <c r="D9158" s="184" t="str">
        <f>_xlfn.XLOOKUP(H9158,'Materiales unitario'!A$1:A$2500,'Materiales unitario'!C$1:C$2500,,0,1)</f>
        <v>ml</v>
      </c>
      <c r="E9158" s="197">
        <f>_xlfn.XLOOKUP(H9158,'Materiales unitario'!$A$1:$A$2500,'Materiales unitario'!D$1:D$2500,,0,1)</f>
        <v>25942</v>
      </c>
      <c r="F9158" s="19">
        <v>1.05</v>
      </c>
      <c r="G9158" s="20">
        <f t="shared" ref="G9158:G9164" si="263">+E9158*F9158</f>
        <v>27239.100000000002</v>
      </c>
      <c r="H9158" s="211" t="s">
        <v>259</v>
      </c>
    </row>
    <row r="9159" spans="1:8">
      <c r="A9159" s="211" t="s">
        <v>485</v>
      </c>
      <c r="B9159" s="216" t="str">
        <f ca="1">_xlfn.CONCAT(B9156,A9159)</f>
        <v>170C2A7F-B</v>
      </c>
      <c r="C9159" s="17" t="str">
        <f>_xlfn.XLOOKUP(H9159,'Materiales unitario'!$A$1:$A$2500,'Materiales unitario'!B$1:B$2500,,0,1)</f>
        <v>Cable de Aluminio aislado #500 mcm - THHN/THWN</v>
      </c>
      <c r="D9159" s="184" t="str">
        <f>_xlfn.XLOOKUP(H9159,'Materiales unitario'!A$1:A$2500,'Materiales unitario'!C$1:C$2500,,0,1)</f>
        <v>ml</v>
      </c>
      <c r="E9159" s="197">
        <f>_xlfn.XLOOKUP(H9159,'Materiales unitario'!$A$1:$A$2500,'Materiales unitario'!D$1:D$2500,,0,1)</f>
        <v>31600</v>
      </c>
      <c r="F9159" s="19">
        <v>3.15</v>
      </c>
      <c r="G9159" s="20">
        <f t="shared" si="263"/>
        <v>99540</v>
      </c>
      <c r="H9159" s="211" t="s">
        <v>1407</v>
      </c>
    </row>
    <row r="9160" spans="1:8">
      <c r="A9160" s="211" t="s">
        <v>486</v>
      </c>
      <c r="B9160" s="216" t="str">
        <f ca="1">_xlfn.CONCAT(B9156,A9160)</f>
        <v>170C2A7F-C</v>
      </c>
      <c r="C9160" s="17" t="str">
        <f>_xlfn.XLOOKUP(H9160,'Materiales unitario'!$A$1:$A$2500,'Materiales unitario'!B$1:B$2500,,0,1)</f>
        <v>Cable de Aluminio aislado #2/0 AWG - THHN/THWN</v>
      </c>
      <c r="D9160" s="184" t="str">
        <f>_xlfn.XLOOKUP(H9160,'Materiales unitario'!A$1:A$2500,'Materiales unitario'!C$1:C$2500,,0,1)</f>
        <v>ml</v>
      </c>
      <c r="E9160" s="197">
        <f>_xlfn.XLOOKUP(H9160,'Materiales unitario'!$A$1:$A$2500,'Materiales unitario'!D$1:D$2500,,0,1)</f>
        <v>10890</v>
      </c>
      <c r="F9160" s="19">
        <v>1.05</v>
      </c>
      <c r="G9160" s="20">
        <f t="shared" si="263"/>
        <v>11434.5</v>
      </c>
      <c r="H9160" s="211" t="s">
        <v>1419</v>
      </c>
    </row>
    <row r="9161" spans="1:8">
      <c r="A9161" s="211" t="s">
        <v>487</v>
      </c>
      <c r="B9161" s="216" t="str">
        <f ca="1">_xlfn.CONCAT(B9156,A9161)</f>
        <v>170C2A7F-D</v>
      </c>
      <c r="C9161" s="17" t="str">
        <f>_xlfn.XLOOKUP(H9161,'Materiales unitario'!$A$1:$A$2500,'Materiales unitario'!B$1:B$2500,,0,1)</f>
        <v>Borna bimetálica de ojo tipo pala #500 MCM</v>
      </c>
      <c r="D9161" s="184" t="str">
        <f>_xlfn.XLOOKUP(H9161,'Materiales unitario'!A$1:A$2500,'Materiales unitario'!C$1:C$2500,,0,1)</f>
        <v>un</v>
      </c>
      <c r="E9161" s="197">
        <f>_xlfn.XLOOKUP(H9161,'Materiales unitario'!$A$1:$A$2500,'Materiales unitario'!D$1:D$2500,,0,1)</f>
        <v>42100</v>
      </c>
      <c r="F9161" s="19">
        <v>0.3</v>
      </c>
      <c r="G9161" s="20">
        <f t="shared" si="263"/>
        <v>12630</v>
      </c>
      <c r="H9161" s="211" t="s">
        <v>1409</v>
      </c>
    </row>
    <row r="9162" spans="1:8">
      <c r="A9162" s="211" t="s">
        <v>488</v>
      </c>
      <c r="B9162" s="216" t="str">
        <f ca="1">_xlfn.CONCAT(B9156,A9162)</f>
        <v>170C2A7F-E</v>
      </c>
      <c r="C9162" s="17" t="str">
        <f>_xlfn.XLOOKUP(H9162,'Materiales unitario'!$A$1:$A$2500,'Materiales unitario'!B$1:B$2500,,0,1)</f>
        <v>Borna bimetálica de ojo tipo pala #2/0 AWG</v>
      </c>
      <c r="D9162" s="184" t="str">
        <f>_xlfn.XLOOKUP(H9162,'Materiales unitario'!A$1:A$2500,'Materiales unitario'!C$1:C$2500,,0,1)</f>
        <v>un</v>
      </c>
      <c r="E9162" s="197">
        <f>_xlfn.XLOOKUP(H9162,'Materiales unitario'!$A$1:$A$2500,'Materiales unitario'!D$1:D$2500,,0,1)</f>
        <v>7600</v>
      </c>
      <c r="F9162" s="19">
        <v>0.1</v>
      </c>
      <c r="G9162" s="20">
        <f t="shared" si="263"/>
        <v>760</v>
      </c>
      <c r="H9162" s="211" t="s">
        <v>1420</v>
      </c>
    </row>
    <row r="9163" spans="1:8">
      <c r="A9163" s="211" t="s">
        <v>489</v>
      </c>
      <c r="B9163" s="216" t="str">
        <f ca="1">_xlfn.CONCAT(B9156,A9163)</f>
        <v>170C2A7F-F</v>
      </c>
      <c r="C9163" s="17" t="str">
        <f>_xlfn.XLOOKUP(H9163,'Materiales unitario'!$A$1:$A$2500,'Materiales unitario'!B$1:B$2500,,0,1)</f>
        <v>Borna bimetálica de ojo tipo pala #350 MCM</v>
      </c>
      <c r="D9163" s="184" t="str">
        <f>_xlfn.XLOOKUP(H9163,'Materiales unitario'!A$1:A$2500,'Materiales unitario'!C$1:C$2500,,0,1)</f>
        <v>un</v>
      </c>
      <c r="E9163" s="197">
        <f>_xlfn.XLOOKUP(H9163,'Materiales unitario'!$A$1:$A$2500,'Materiales unitario'!D$1:D$2500,,0,1)</f>
        <v>24871</v>
      </c>
      <c r="F9163" s="19">
        <v>0.1</v>
      </c>
      <c r="G9163" s="20">
        <f t="shared" si="263"/>
        <v>2487.1000000000004</v>
      </c>
      <c r="H9163" s="211" t="s">
        <v>244</v>
      </c>
    </row>
    <row r="9164" spans="1:8">
      <c r="A9164" s="211" t="s">
        <v>490</v>
      </c>
      <c r="B9164" s="216" t="str">
        <f ca="1">_xlfn.CONCAT(B9156,A9164)</f>
        <v>170C2A7F-G</v>
      </c>
      <c r="C9164" s="17" t="str">
        <f>_xlfn.XLOOKUP(H9164,'Materiales unitario'!$A$1:$A$2500,'Materiales unitario'!B$1:B$2500,,0,1)</f>
        <v>Termoencogible</v>
      </c>
      <c r="D9164" s="184" t="str">
        <f>_xlfn.XLOOKUP(H9164,'Materiales unitario'!A$1:A$2500,'Materiales unitario'!C$1:C$2500,,0,1)</f>
        <v>un</v>
      </c>
      <c r="E9164" s="197">
        <f>_xlfn.XLOOKUP(H9164,'Materiales unitario'!$A$1:$A$2500,'Materiales unitario'!D$1:D$2500,,0,1)</f>
        <v>5000</v>
      </c>
      <c r="F9164" s="19">
        <v>0.1</v>
      </c>
      <c r="G9164" s="20">
        <f t="shared" si="263"/>
        <v>500</v>
      </c>
      <c r="H9164" s="211" t="s">
        <v>373</v>
      </c>
    </row>
    <row r="9165" spans="1:8">
      <c r="A9165" s="211" t="s">
        <v>491</v>
      </c>
      <c r="B9165" s="216" t="str">
        <f ca="1">_xlfn.CONCAT(B9156,A9165)</f>
        <v>170C2A7F-H</v>
      </c>
      <c r="C9165" s="17"/>
      <c r="D9165" s="184"/>
      <c r="E9165" s="197"/>
      <c r="F9165" s="19">
        <v>0</v>
      </c>
      <c r="G9165" s="20"/>
    </row>
    <row r="9166" spans="1:8">
      <c r="A9166" s="211" t="s">
        <v>492</v>
      </c>
      <c r="B9166" s="216" t="str">
        <f ca="1">_xlfn.CONCAT(B9156,A9166)</f>
        <v>170C2A7F-I</v>
      </c>
      <c r="C9166" s="17"/>
      <c r="D9166" s="184"/>
      <c r="E9166" s="197"/>
      <c r="F9166" s="19">
        <v>0</v>
      </c>
      <c r="G9166" s="20"/>
    </row>
    <row r="9167" spans="1:8">
      <c r="A9167" s="211" t="s">
        <v>493</v>
      </c>
      <c r="B9167" s="216" t="str">
        <f ca="1">_xlfn.CONCAT(B9156,A9167)</f>
        <v>170C2A7F-J</v>
      </c>
      <c r="C9167" s="17"/>
      <c r="D9167" s="184"/>
      <c r="E9167" s="197"/>
      <c r="F9167" s="19">
        <v>0</v>
      </c>
      <c r="G9167" s="20"/>
    </row>
    <row r="9168" spans="1:8">
      <c r="A9168" s="211" t="s">
        <v>494</v>
      </c>
      <c r="B9168" s="216" t="str">
        <f ca="1">_xlfn.CONCAT(B9156,A9168)</f>
        <v>170C2A7F-K</v>
      </c>
      <c r="C9168" s="17"/>
      <c r="D9168" s="184"/>
      <c r="E9168" s="197"/>
      <c r="F9168" s="19">
        <v>0</v>
      </c>
      <c r="G9168" s="20"/>
    </row>
    <row r="9169" spans="1:7">
      <c r="A9169" s="211" t="s">
        <v>495</v>
      </c>
      <c r="B9169" s="216" t="str">
        <f ca="1">_xlfn.CONCAT(B9156,A9169)</f>
        <v>170C2A7F-L</v>
      </c>
      <c r="C9169" s="17"/>
      <c r="D9169" s="184"/>
      <c r="E9169" s="197"/>
      <c r="F9169" s="19">
        <v>0</v>
      </c>
      <c r="G9169" s="20"/>
    </row>
    <row r="9170" spans="1:7">
      <c r="A9170" s="211" t="s">
        <v>496</v>
      </c>
      <c r="B9170" s="216" t="str">
        <f ca="1">_xlfn.CONCAT(B9156,A9170)</f>
        <v>170C2A7F-M</v>
      </c>
      <c r="C9170" s="17"/>
      <c r="D9170" s="184"/>
      <c r="E9170" s="197"/>
      <c r="F9170" s="19">
        <v>0</v>
      </c>
      <c r="G9170" s="20"/>
    </row>
    <row r="9171" spans="1:7">
      <c r="A9171" s="211" t="s">
        <v>497</v>
      </c>
      <c r="B9171" s="216" t="str">
        <f ca="1">_xlfn.CONCAT(B9156,A9171)</f>
        <v>170C2A7F-N</v>
      </c>
      <c r="C9171" s="17"/>
      <c r="D9171" s="184"/>
      <c r="E9171" s="197"/>
      <c r="F9171" s="19">
        <v>0</v>
      </c>
      <c r="G9171" s="20"/>
    </row>
    <row r="9172" spans="1:7">
      <c r="A9172" s="211" t="s">
        <v>498</v>
      </c>
      <c r="B9172" s="216" t="str">
        <f ca="1">_xlfn.CONCAT(B9156,A9172)</f>
        <v>170C2A7F-O</v>
      </c>
      <c r="C9172" s="17"/>
      <c r="D9172" s="184"/>
      <c r="E9172" s="197"/>
      <c r="F9172" s="19">
        <v>0</v>
      </c>
      <c r="G9172" s="20"/>
    </row>
    <row r="9173" spans="1:7">
      <c r="A9173" s="211" t="s">
        <v>499</v>
      </c>
      <c r="B9173" s="216" t="str">
        <f ca="1">_xlfn.CONCAT(B9156,A9173)</f>
        <v>170C2A7F-P</v>
      </c>
      <c r="C9173" s="17"/>
      <c r="D9173" s="184"/>
      <c r="E9173" s="197"/>
      <c r="F9173" s="19">
        <v>0</v>
      </c>
      <c r="G9173" s="20"/>
    </row>
    <row r="9174" spans="1:7">
      <c r="A9174" s="211" t="s">
        <v>500</v>
      </c>
      <c r="B9174" s="216" t="str">
        <f ca="1">_xlfn.CONCAT(B9156,A9174)</f>
        <v>170C2A7F-Q</v>
      </c>
      <c r="C9174" s="17"/>
      <c r="D9174" s="184"/>
      <c r="E9174" s="197"/>
      <c r="F9174" s="19">
        <v>0</v>
      </c>
      <c r="G9174" s="20"/>
    </row>
    <row r="9175" spans="1:7">
      <c r="A9175" s="211" t="s">
        <v>501</v>
      </c>
      <c r="B9175" s="216" t="str">
        <f ca="1">_xlfn.CONCAT(B9156,A9175)</f>
        <v>170C2A7F-R</v>
      </c>
      <c r="C9175" s="17"/>
      <c r="D9175" s="184"/>
      <c r="E9175" s="197"/>
      <c r="F9175" s="19">
        <v>0</v>
      </c>
      <c r="G9175" s="20"/>
    </row>
    <row r="9176" spans="1:7">
      <c r="A9176" s="211" t="s">
        <v>502</v>
      </c>
      <c r="B9176" s="216" t="str">
        <f ca="1">_xlfn.CONCAT(B9156,A9176)</f>
        <v>170C2A7F-S</v>
      </c>
      <c r="C9176" s="17"/>
      <c r="D9176" s="184"/>
      <c r="E9176" s="197"/>
      <c r="F9176" s="19">
        <v>0</v>
      </c>
      <c r="G9176" s="20"/>
    </row>
    <row r="9177" spans="1:7">
      <c r="A9177" s="211" t="s">
        <v>503</v>
      </c>
      <c r="B9177" s="216" t="str">
        <f ca="1">_xlfn.CONCAT(B9156,A9177)</f>
        <v>170C2A7F-T</v>
      </c>
      <c r="C9177" s="17"/>
      <c r="D9177" s="184"/>
      <c r="E9177" s="197"/>
      <c r="F9177" s="19">
        <v>0</v>
      </c>
      <c r="G9177" s="20"/>
    </row>
    <row r="9178" spans="1:7" ht="14.25" thickBot="1">
      <c r="A9178" s="211" t="s">
        <v>504</v>
      </c>
      <c r="B9178" s="216" t="str">
        <f ca="1">_xlfn.CONCAT(B9156,A9178)</f>
        <v>170C2A7F-U</v>
      </c>
      <c r="C9178" s="17"/>
      <c r="D9178" s="184"/>
      <c r="E9178" s="197"/>
      <c r="F9178" s="19">
        <v>0</v>
      </c>
      <c r="G9178" s="20"/>
    </row>
    <row r="9179" spans="1:7" ht="14.25" thickBot="1">
      <c r="A9179" s="211" t="s">
        <v>505</v>
      </c>
      <c r="B9179" s="216" t="str">
        <f ca="1">_xlfn.CONCAT(B9156,A9179)</f>
        <v>170C2A7F-V</v>
      </c>
      <c r="C9179" s="17" t="s">
        <v>17</v>
      </c>
      <c r="D9179" s="192" t="s">
        <v>17</v>
      </c>
      <c r="E9179" s="18"/>
      <c r="F9179" s="22" t="s">
        <v>18</v>
      </c>
      <c r="G9179" s="23">
        <f>SUM(G9158:G9178)</f>
        <v>154590.70000000001</v>
      </c>
    </row>
    <row r="9180" spans="1:7" ht="15.75" thickBot="1">
      <c r="A9180" s="211" t="s">
        <v>506</v>
      </c>
      <c r="B9180" s="216" t="str">
        <f ca="1">_xlfn.CONCAT(B9156,A9180)</f>
        <v>170C2A7F-W</v>
      </c>
      <c r="C9180" s="10" t="s">
        <v>19</v>
      </c>
      <c r="D9180" s="190"/>
      <c r="E9180" s="11"/>
      <c r="F9180" s="12"/>
      <c r="G9180" s="13"/>
    </row>
    <row r="9181" spans="1:7" ht="14.25" thickBot="1">
      <c r="A9181" s="211" t="s">
        <v>507</v>
      </c>
      <c r="B9181" s="216" t="str">
        <f ca="1">_xlfn.CONCAT(B9156,A9181)</f>
        <v>170C2A7F-X</v>
      </c>
      <c r="C9181" s="14" t="s">
        <v>1</v>
      </c>
      <c r="D9181" s="15"/>
      <c r="E9181" s="15" t="s">
        <v>20</v>
      </c>
      <c r="F9181" s="16" t="s">
        <v>21</v>
      </c>
      <c r="G9181" s="15" t="s">
        <v>5</v>
      </c>
    </row>
    <row r="9182" spans="1:7">
      <c r="A9182" s="211" t="s">
        <v>508</v>
      </c>
      <c r="B9182" s="216" t="str">
        <f ca="1">_xlfn.CONCAT(B9156,A9182)</f>
        <v>170C2A7F-Y</v>
      </c>
      <c r="C9182" s="24" t="s">
        <v>22</v>
      </c>
      <c r="D9182" s="184"/>
      <c r="E9182" s="25">
        <f>_xlfn.XLOOKUP(C9182,'H-MO'!B$7:B$30,'H-MO'!D$7:D$30,,0,1)</f>
        <v>2436.5624999999995</v>
      </c>
      <c r="F9182" s="19">
        <v>0.3</v>
      </c>
      <c r="G9182" s="33">
        <f t="shared" ref="G9182:G9187" si="264">+E9182*F9182</f>
        <v>730.96874999999989</v>
      </c>
    </row>
    <row r="9183" spans="1:7">
      <c r="A9183" s="211" t="s">
        <v>509</v>
      </c>
      <c r="B9183" s="216" t="str">
        <f ca="1">_xlfn.CONCAT(B9156,A9183)</f>
        <v>170C2A7F-Z</v>
      </c>
      <c r="C9183" s="24" t="s">
        <v>23</v>
      </c>
      <c r="D9183" s="184"/>
      <c r="E9183" s="25">
        <f>_xlfn.XLOOKUP(C9183,'H-MO'!B$7:B$30,'H-MO'!D$7:D$30,,0,1)</f>
        <v>1461.9374999999998</v>
      </c>
      <c r="F9183" s="19">
        <v>0.03</v>
      </c>
      <c r="G9183" s="33">
        <f t="shared" si="264"/>
        <v>43.858124999999994</v>
      </c>
    </row>
    <row r="9184" spans="1:7">
      <c r="A9184" s="211" t="s">
        <v>510</v>
      </c>
      <c r="B9184" s="216" t="str">
        <f ca="1">_xlfn.CONCAT(B9156,A9184)</f>
        <v>170C2A7F-aa</v>
      </c>
      <c r="C9184" s="24" t="s">
        <v>24</v>
      </c>
      <c r="D9184" s="185"/>
      <c r="E9184" s="25">
        <f>_xlfn.XLOOKUP(C9184,'H-MO'!B$7:B$30,'H-MO'!D$7:D$30,,0,1)</f>
        <v>29238.749999999996</v>
      </c>
      <c r="F9184" s="28">
        <v>0.05</v>
      </c>
      <c r="G9184" s="33">
        <f t="shared" si="264"/>
        <v>1461.9375</v>
      </c>
    </row>
    <row r="9185" spans="1:7">
      <c r="A9185" s="211" t="s">
        <v>511</v>
      </c>
      <c r="B9185" s="216" t="str">
        <f ca="1">_xlfn.CONCAT(B9156,A9185)</f>
        <v>170C2A7F-ab</v>
      </c>
      <c r="C9185" s="24" t="s">
        <v>25</v>
      </c>
      <c r="D9185" s="185"/>
      <c r="E9185" s="25">
        <f>_xlfn.XLOOKUP(C9185,'H-MO'!B$7:B$30,'H-MO'!D$7:D$30,,0,1)</f>
        <v>2761.4374999999995</v>
      </c>
      <c r="F9185" s="28">
        <v>0.2</v>
      </c>
      <c r="G9185" s="33">
        <f t="shared" si="264"/>
        <v>552.28749999999991</v>
      </c>
    </row>
    <row r="9186" spans="1:7">
      <c r="A9186" s="211" t="s">
        <v>512</v>
      </c>
      <c r="B9186" s="216" t="str">
        <f ca="1">_xlfn.CONCAT(B9156,A9186)</f>
        <v>170C2A7F-ac</v>
      </c>
      <c r="C9186" s="24"/>
      <c r="D9186" s="185"/>
      <c r="E9186" s="29"/>
      <c r="F9186" s="28">
        <v>0</v>
      </c>
      <c r="G9186" s="33">
        <f t="shared" si="264"/>
        <v>0</v>
      </c>
    </row>
    <row r="9187" spans="1:7" ht="14.25" thickBot="1">
      <c r="A9187" s="211" t="s">
        <v>513</v>
      </c>
      <c r="B9187" s="216" t="str">
        <f ca="1">_xlfn.CONCAT(B9156,A9187)</f>
        <v>170C2A7F-ad</v>
      </c>
      <c r="C9187" s="24"/>
      <c r="D9187" s="185"/>
      <c r="E9187" s="29"/>
      <c r="F9187" s="28">
        <v>0</v>
      </c>
      <c r="G9187" s="33">
        <f t="shared" si="264"/>
        <v>0</v>
      </c>
    </row>
    <row r="9188" spans="1:7" ht="14.25" thickBot="1">
      <c r="A9188" s="211" t="s">
        <v>514</v>
      </c>
      <c r="B9188" s="216" t="str">
        <f ca="1">_xlfn.CONCAT(B9156,A9188)</f>
        <v>170C2A7F-ae</v>
      </c>
      <c r="C9188" s="17"/>
      <c r="D9188" s="192"/>
      <c r="E9188" s="18"/>
      <c r="F9188" s="22" t="s">
        <v>26</v>
      </c>
      <c r="G9188" s="23">
        <f>SUM(G9182:G9187)</f>
        <v>2789.0518749999997</v>
      </c>
    </row>
    <row r="9189" spans="1:7" ht="15.75" thickBot="1">
      <c r="A9189" s="211" t="s">
        <v>515</v>
      </c>
      <c r="B9189" s="216" t="str">
        <f ca="1">_xlfn.CONCAT(B9156,A9189)</f>
        <v>170C2A7F-af</v>
      </c>
      <c r="C9189" s="10" t="s">
        <v>27</v>
      </c>
      <c r="D9189" s="190"/>
      <c r="E9189" s="11"/>
      <c r="F9189" s="12"/>
      <c r="G9189" s="13"/>
    </row>
    <row r="9190" spans="1:7" ht="14.25" thickBot="1">
      <c r="A9190" s="211" t="s">
        <v>516</v>
      </c>
      <c r="B9190" s="216" t="str">
        <f ca="1">_xlfn.CONCAT(B9156,A9190)</f>
        <v>170C2A7F-ag</v>
      </c>
      <c r="C9190" s="14" t="s">
        <v>1</v>
      </c>
      <c r="D9190" s="15" t="s">
        <v>28</v>
      </c>
      <c r="E9190" s="15" t="s">
        <v>20</v>
      </c>
      <c r="F9190" s="16" t="s">
        <v>21</v>
      </c>
      <c r="G9190" s="15" t="s">
        <v>5</v>
      </c>
    </row>
    <row r="9191" spans="1:7">
      <c r="A9191" s="211" t="s">
        <v>517</v>
      </c>
      <c r="B9191" s="216" t="str">
        <f ca="1">_xlfn.CONCAT(B9156,A9191)</f>
        <v>170C2A7F-ah</v>
      </c>
      <c r="C9191" s="30" t="s">
        <v>29</v>
      </c>
      <c r="D9191" s="186">
        <f>'H-MO'!$N$77</f>
        <v>725918.52892505517</v>
      </c>
      <c r="E9191" s="31">
        <f>+D9191/8</f>
        <v>90739.816115631897</v>
      </c>
      <c r="F9191" s="32">
        <v>0.92</v>
      </c>
      <c r="G9191" s="33">
        <f>+E9191*F9191</f>
        <v>83480.630826381355</v>
      </c>
    </row>
    <row r="9192" spans="1:7">
      <c r="A9192" s="211" t="s">
        <v>518</v>
      </c>
      <c r="B9192" s="216" t="str">
        <f ca="1">_xlfn.CONCAT(B9156,A9192)</f>
        <v>170C2A7F-ai</v>
      </c>
      <c r="C9192" s="34" t="s">
        <v>30</v>
      </c>
      <c r="D9192" s="187">
        <f>'H-MO'!$N$86</f>
        <v>685561.39085756091</v>
      </c>
      <c r="E9192" s="29">
        <f>+D9192/8</f>
        <v>85695.173857195114</v>
      </c>
      <c r="F9192" s="28">
        <v>0</v>
      </c>
      <c r="G9192" s="33">
        <f>+E9192*F9192</f>
        <v>0</v>
      </c>
    </row>
    <row r="9193" spans="1:7" ht="14.25" thickBot="1">
      <c r="A9193" s="211" t="s">
        <v>519</v>
      </c>
      <c r="B9193" s="216" t="str">
        <f ca="1">_xlfn.CONCAT(B9156,A9193)</f>
        <v>170C2A7F-aj</v>
      </c>
      <c r="C9193" s="34"/>
      <c r="D9193" s="187"/>
      <c r="E9193" s="29"/>
      <c r="F9193" s="28"/>
      <c r="G9193" s="33">
        <f>+E9193*F9193</f>
        <v>0</v>
      </c>
    </row>
    <row r="9194" spans="1:7" ht="14.25" thickBot="1">
      <c r="A9194" s="211" t="s">
        <v>520</v>
      </c>
      <c r="B9194" s="216" t="str">
        <f ca="1">_xlfn.CONCAT(B9156,A9194)</f>
        <v>170C2A7F-ak</v>
      </c>
      <c r="C9194" s="34"/>
      <c r="D9194" s="185"/>
      <c r="E9194" s="26"/>
      <c r="F9194" s="36" t="s">
        <v>31</v>
      </c>
      <c r="G9194" s="23">
        <f>SUM(G9191:G9193)</f>
        <v>83480.630826381355</v>
      </c>
    </row>
    <row r="9195" spans="1:7" ht="14.25" thickBot="1">
      <c r="A9195" s="211" t="s">
        <v>521</v>
      </c>
      <c r="B9195" s="216" t="str">
        <f ca="1">_xlfn.CONCAT(B9156,A9195)</f>
        <v>170C2A7F-al</v>
      </c>
      <c r="C9195" s="37"/>
      <c r="E9195" s="38"/>
      <c r="F9195" s="22"/>
      <c r="G9195" s="39"/>
    </row>
    <row r="9196" spans="1:7" ht="16.5" thickBot="1">
      <c r="A9196" s="211" t="s">
        <v>522</v>
      </c>
      <c r="B9196" s="216" t="str">
        <f ca="1">_xlfn.CONCAT(B9156,A9196)</f>
        <v>170C2A7F-am</v>
      </c>
      <c r="C9196" s="40"/>
      <c r="D9196" s="193"/>
      <c r="E9196" s="41"/>
      <c r="F9196" s="42"/>
      <c r="G9196" s="43">
        <f>+G9179+G9188+G9194</f>
        <v>240860.38270138137</v>
      </c>
    </row>
    <row r="9197" spans="1:7" ht="21.75" thickBot="1">
      <c r="B9197" s="212" t="s">
        <v>550</v>
      </c>
      <c r="C9197" s="2"/>
      <c r="D9197" s="183"/>
      <c r="F9197" s="4"/>
      <c r="G9197" s="5"/>
    </row>
    <row r="9198" spans="1:7" ht="18.75">
      <c r="A9198" s="213"/>
      <c r="B9198" s="214">
        <v>209</v>
      </c>
      <c r="C9198" s="242" t="str">
        <f ca="1">_xlfn.XLOOKUP(B9198,Cantidades!$A$10:$A$314,Cantidades!$C$10:$C$314,,0,1)</f>
        <v>Suministro e instalación de acometida 2x(3#4/0+1#2/0+1/0)+1x4/0 Aluminio</v>
      </c>
      <c r="D9198" s="243"/>
      <c r="E9198" s="243"/>
      <c r="F9198" s="243"/>
      <c r="G9198" s="244"/>
    </row>
    <row r="9199" spans="1:7" ht="19.5" thickBot="1">
      <c r="A9199" s="215"/>
      <c r="B9199" s="216" t="s">
        <v>550</v>
      </c>
      <c r="C9199" s="177"/>
      <c r="D9199" s="189"/>
      <c r="E9199" s="178"/>
      <c r="F9199" s="179" t="s">
        <v>636</v>
      </c>
      <c r="G9199" s="209" t="str">
        <f ca="1">B9200</f>
        <v>9946AD-</v>
      </c>
    </row>
    <row r="9200" spans="1:7" ht="15.75" thickBot="1">
      <c r="B9200" s="212" t="str">
        <f ca="1">_xlfn.XLOOKUP(C9198,Cantidades!$C$1:$C$314,Cantidades!$B$1:$B$314,"",0,1)</f>
        <v>9946AD-</v>
      </c>
      <c r="C9200" s="10" t="s">
        <v>0</v>
      </c>
      <c r="D9200" s="190"/>
      <c r="E9200" s="11"/>
      <c r="F9200" s="12"/>
      <c r="G9200" s="13"/>
    </row>
    <row r="9201" spans="1:8" ht="14.25" thickBot="1">
      <c r="A9201" s="215"/>
      <c r="B9201" s="216" t="s">
        <v>550</v>
      </c>
      <c r="C9201" s="14" t="s">
        <v>1</v>
      </c>
      <c r="D9201" s="15" t="s">
        <v>2</v>
      </c>
      <c r="E9201" s="15" t="s">
        <v>3</v>
      </c>
      <c r="F9201" s="16" t="s">
        <v>4</v>
      </c>
      <c r="G9201" s="15" t="s">
        <v>5</v>
      </c>
    </row>
    <row r="9202" spans="1:8">
      <c r="A9202" s="211" t="s">
        <v>484</v>
      </c>
      <c r="B9202" s="216" t="str">
        <f ca="1">_xlfn.CONCAT(B9200,A9202)</f>
        <v>9946AD-A</v>
      </c>
      <c r="C9202" s="17" t="str">
        <f>_xlfn.XLOOKUP(H9202,'Materiales unitario'!$A$1:$A$2500,'Materiales unitario'!B$1:B$2500,,0,1)</f>
        <v>Cable de Aluminio aislado #4/0 AWG - THHN/THWN</v>
      </c>
      <c r="D9202" s="184" t="str">
        <f>_xlfn.XLOOKUP(H9202,'Materiales unitario'!A$1:A$2500,'Materiales unitario'!C$1:C$2500,,0,1)</f>
        <v>ml</v>
      </c>
      <c r="E9202" s="197">
        <f>_xlfn.XLOOKUP(H9202,'Materiales unitario'!$A$1:$A$2500,'Materiales unitario'!D$1:D$2500,,0,1)</f>
        <v>15589</v>
      </c>
      <c r="F9202" s="19">
        <v>7.35</v>
      </c>
      <c r="G9202" s="20">
        <f t="shared" ref="G9202:G9208" si="265">+E9202*F9202</f>
        <v>114579.15</v>
      </c>
      <c r="H9202" s="211" t="s">
        <v>261</v>
      </c>
    </row>
    <row r="9203" spans="1:8">
      <c r="A9203" s="211" t="s">
        <v>485</v>
      </c>
      <c r="B9203" s="216" t="str">
        <f ca="1">_xlfn.CONCAT(B9200,A9203)</f>
        <v>9946AD-B</v>
      </c>
      <c r="C9203" s="17" t="str">
        <f>_xlfn.XLOOKUP(H9203,'Materiales unitario'!$A$1:$A$2500,'Materiales unitario'!B$1:B$2500,,0,1)</f>
        <v>Cable de Aluminio aislado #1/0 AWG - THHN/THWN</v>
      </c>
      <c r="D9203" s="184" t="str">
        <f>_xlfn.XLOOKUP(H9203,'Materiales unitario'!A$1:A$2500,'Materiales unitario'!C$1:C$2500,,0,1)</f>
        <v>ml</v>
      </c>
      <c r="E9203" s="197">
        <f>_xlfn.XLOOKUP(H9203,'Materiales unitario'!$A$1:$A$2500,'Materiales unitario'!D$1:D$2500,,0,1)</f>
        <v>9758</v>
      </c>
      <c r="F9203" s="19">
        <v>2.1</v>
      </c>
      <c r="G9203" s="20">
        <f t="shared" si="265"/>
        <v>20491.8</v>
      </c>
      <c r="H9203" s="211" t="s">
        <v>257</v>
      </c>
    </row>
    <row r="9204" spans="1:8">
      <c r="A9204" s="211" t="s">
        <v>486</v>
      </c>
      <c r="B9204" s="216" t="str">
        <f ca="1">_xlfn.CONCAT(B9200,A9204)</f>
        <v>9946AD-C</v>
      </c>
      <c r="C9204" s="17" t="str">
        <f>_xlfn.XLOOKUP(H9204,'Materiales unitario'!$A$1:$A$2500,'Materiales unitario'!B$1:B$2500,,0,1)</f>
        <v>Cable de Aluminio aislado #2/0 AWG - THHN/THWN</v>
      </c>
      <c r="D9204" s="184" t="str">
        <f>_xlfn.XLOOKUP(H9204,'Materiales unitario'!A$1:A$2500,'Materiales unitario'!C$1:C$2500,,0,1)</f>
        <v>ml</v>
      </c>
      <c r="E9204" s="197">
        <f>_xlfn.XLOOKUP(H9204,'Materiales unitario'!$A$1:$A$2500,'Materiales unitario'!D$1:D$2500,,0,1)</f>
        <v>10890</v>
      </c>
      <c r="F9204" s="19">
        <v>2.1</v>
      </c>
      <c r="G9204" s="20">
        <f t="shared" si="265"/>
        <v>22869</v>
      </c>
      <c r="H9204" s="211" t="s">
        <v>1419</v>
      </c>
    </row>
    <row r="9205" spans="1:8">
      <c r="A9205" s="211" t="s">
        <v>487</v>
      </c>
      <c r="B9205" s="216" t="str">
        <f ca="1">_xlfn.CONCAT(B9200,A9205)</f>
        <v>9946AD-D</v>
      </c>
      <c r="C9205" s="17" t="str">
        <f>_xlfn.XLOOKUP(H9205,'Materiales unitario'!$A$1:$A$2500,'Materiales unitario'!B$1:B$2500,,0,1)</f>
        <v>Borna bimetálica de ojo tipo pala #4/0 AWG</v>
      </c>
      <c r="D9205" s="184" t="str">
        <f>_xlfn.XLOOKUP(H9205,'Materiales unitario'!A$1:A$2500,'Materiales unitario'!C$1:C$2500,,0,1)</f>
        <v>un</v>
      </c>
      <c r="E9205" s="197">
        <f>_xlfn.XLOOKUP(H9205,'Materiales unitario'!$A$1:$A$2500,'Materiales unitario'!D$1:D$2500,,0,1)</f>
        <v>13804</v>
      </c>
      <c r="F9205" s="19">
        <v>0.73</v>
      </c>
      <c r="G9205" s="20">
        <f t="shared" si="265"/>
        <v>10076.92</v>
      </c>
      <c r="H9205" s="211" t="s">
        <v>246</v>
      </c>
    </row>
    <row r="9206" spans="1:8">
      <c r="A9206" s="211" t="s">
        <v>488</v>
      </c>
      <c r="B9206" s="216" t="str">
        <f ca="1">_xlfn.CONCAT(B9200,A9206)</f>
        <v>9946AD-E</v>
      </c>
      <c r="C9206" s="17" t="str">
        <f>_xlfn.XLOOKUP(H9206,'Materiales unitario'!$A$1:$A$2500,'Materiales unitario'!B$1:B$2500,,0,1)</f>
        <v>Borna bimetálica de ojo tipo pala #2/0 AWG</v>
      </c>
      <c r="D9206" s="184" t="str">
        <f>_xlfn.XLOOKUP(H9206,'Materiales unitario'!A$1:A$2500,'Materiales unitario'!C$1:C$2500,,0,1)</f>
        <v>un</v>
      </c>
      <c r="E9206" s="197">
        <f>_xlfn.XLOOKUP(H9206,'Materiales unitario'!$A$1:$A$2500,'Materiales unitario'!D$1:D$2500,,0,1)</f>
        <v>7600</v>
      </c>
      <c r="F9206" s="19">
        <v>0.2</v>
      </c>
      <c r="G9206" s="20">
        <f t="shared" si="265"/>
        <v>1520</v>
      </c>
      <c r="H9206" s="211" t="s">
        <v>1420</v>
      </c>
    </row>
    <row r="9207" spans="1:8">
      <c r="A9207" s="211" t="s">
        <v>489</v>
      </c>
      <c r="B9207" s="216" t="str">
        <f ca="1">_xlfn.CONCAT(B9200,A9207)</f>
        <v>9946AD-F</v>
      </c>
      <c r="C9207" s="17" t="str">
        <f>_xlfn.XLOOKUP(H9207,'Materiales unitario'!$A$1:$A$2500,'Materiales unitario'!B$1:B$2500,,0,1)</f>
        <v>Borna bimetálica de ojo tipo pala #1/0 AWG</v>
      </c>
      <c r="D9207" s="184" t="str">
        <f>_xlfn.XLOOKUP(H9207,'Materiales unitario'!A$1:A$2500,'Materiales unitario'!C$1:C$2500,,0,1)</f>
        <v>un</v>
      </c>
      <c r="E9207" s="197">
        <f>_xlfn.XLOOKUP(H9207,'Materiales unitario'!$A$1:$A$2500,'Materiales unitario'!D$1:D$2500,,0,1)</f>
        <v>8925</v>
      </c>
      <c r="F9207" s="19">
        <v>0.2</v>
      </c>
      <c r="G9207" s="20">
        <f t="shared" si="265"/>
        <v>1785</v>
      </c>
      <c r="H9207" s="211" t="s">
        <v>242</v>
      </c>
    </row>
    <row r="9208" spans="1:8">
      <c r="A9208" s="211" t="s">
        <v>490</v>
      </c>
      <c r="B9208" s="216" t="str">
        <f ca="1">_xlfn.CONCAT(B9200,A9208)</f>
        <v>9946AD-G</v>
      </c>
      <c r="C9208" s="17" t="str">
        <f>_xlfn.XLOOKUP(H9208,'Materiales unitario'!$A$1:$A$2500,'Materiales unitario'!B$1:B$2500,,0,1)</f>
        <v>Termoencogible</v>
      </c>
      <c r="D9208" s="184" t="str">
        <f>_xlfn.XLOOKUP(H9208,'Materiales unitario'!A$1:A$2500,'Materiales unitario'!C$1:C$2500,,0,1)</f>
        <v>un</v>
      </c>
      <c r="E9208" s="197">
        <f>_xlfn.XLOOKUP(H9208,'Materiales unitario'!$A$1:$A$2500,'Materiales unitario'!D$1:D$2500,,0,1)</f>
        <v>5000</v>
      </c>
      <c r="F9208" s="19">
        <v>0.1</v>
      </c>
      <c r="G9208" s="20">
        <f t="shared" si="265"/>
        <v>500</v>
      </c>
      <c r="H9208" s="211" t="s">
        <v>373</v>
      </c>
    </row>
    <row r="9209" spans="1:8">
      <c r="A9209" s="211" t="s">
        <v>491</v>
      </c>
      <c r="B9209" s="216" t="str">
        <f ca="1">_xlfn.CONCAT(B9200,A9209)</f>
        <v>9946AD-H</v>
      </c>
      <c r="C9209" s="17"/>
      <c r="D9209" s="184"/>
      <c r="E9209" s="197"/>
      <c r="F9209" s="19">
        <v>0</v>
      </c>
      <c r="G9209" s="20"/>
    </row>
    <row r="9210" spans="1:8">
      <c r="A9210" s="211" t="s">
        <v>492</v>
      </c>
      <c r="B9210" s="216" t="str">
        <f ca="1">_xlfn.CONCAT(B9200,A9210)</f>
        <v>9946AD-I</v>
      </c>
      <c r="C9210" s="17"/>
      <c r="D9210" s="184"/>
      <c r="E9210" s="197"/>
      <c r="F9210" s="19">
        <v>0</v>
      </c>
      <c r="G9210" s="20"/>
    </row>
    <row r="9211" spans="1:8">
      <c r="A9211" s="211" t="s">
        <v>493</v>
      </c>
      <c r="B9211" s="216" t="str">
        <f ca="1">_xlfn.CONCAT(B9200,A9211)</f>
        <v>9946AD-J</v>
      </c>
      <c r="C9211" s="17"/>
      <c r="D9211" s="184"/>
      <c r="E9211" s="197"/>
      <c r="F9211" s="19">
        <v>0</v>
      </c>
      <c r="G9211" s="20"/>
    </row>
    <row r="9212" spans="1:8">
      <c r="A9212" s="211" t="s">
        <v>494</v>
      </c>
      <c r="B9212" s="216" t="str">
        <f ca="1">_xlfn.CONCAT(B9200,A9212)</f>
        <v>9946AD-K</v>
      </c>
      <c r="C9212" s="17"/>
      <c r="D9212" s="184"/>
      <c r="E9212" s="197"/>
      <c r="F9212" s="19">
        <v>0</v>
      </c>
      <c r="G9212" s="20"/>
    </row>
    <row r="9213" spans="1:8">
      <c r="A9213" s="211" t="s">
        <v>495</v>
      </c>
      <c r="B9213" s="216" t="str">
        <f ca="1">_xlfn.CONCAT(B9200,A9213)</f>
        <v>9946AD-L</v>
      </c>
      <c r="C9213" s="17"/>
      <c r="D9213" s="184"/>
      <c r="E9213" s="197"/>
      <c r="F9213" s="19">
        <v>0</v>
      </c>
      <c r="G9213" s="20"/>
    </row>
    <row r="9214" spans="1:8">
      <c r="A9214" s="211" t="s">
        <v>496</v>
      </c>
      <c r="B9214" s="216" t="str">
        <f ca="1">_xlfn.CONCAT(B9200,A9214)</f>
        <v>9946AD-M</v>
      </c>
      <c r="C9214" s="17"/>
      <c r="D9214" s="184"/>
      <c r="E9214" s="197"/>
      <c r="F9214" s="19">
        <v>0</v>
      </c>
      <c r="G9214" s="20"/>
    </row>
    <row r="9215" spans="1:8">
      <c r="A9215" s="211" t="s">
        <v>497</v>
      </c>
      <c r="B9215" s="216" t="str">
        <f ca="1">_xlfn.CONCAT(B9200,A9215)</f>
        <v>9946AD-N</v>
      </c>
      <c r="C9215" s="17"/>
      <c r="D9215" s="184"/>
      <c r="E9215" s="197"/>
      <c r="F9215" s="19">
        <v>0</v>
      </c>
      <c r="G9215" s="20"/>
    </row>
    <row r="9216" spans="1:8">
      <c r="A9216" s="211" t="s">
        <v>498</v>
      </c>
      <c r="B9216" s="216" t="str">
        <f ca="1">_xlfn.CONCAT(B9200,A9216)</f>
        <v>9946AD-O</v>
      </c>
      <c r="C9216" s="17"/>
      <c r="D9216" s="184"/>
      <c r="E9216" s="197"/>
      <c r="F9216" s="19">
        <v>0</v>
      </c>
      <c r="G9216" s="20"/>
    </row>
    <row r="9217" spans="1:7">
      <c r="A9217" s="211" t="s">
        <v>499</v>
      </c>
      <c r="B9217" s="216" t="str">
        <f ca="1">_xlfn.CONCAT(B9200,A9217)</f>
        <v>9946AD-P</v>
      </c>
      <c r="C9217" s="17"/>
      <c r="D9217" s="184"/>
      <c r="E9217" s="197"/>
      <c r="F9217" s="19">
        <v>0</v>
      </c>
      <c r="G9217" s="20"/>
    </row>
    <row r="9218" spans="1:7">
      <c r="A9218" s="211" t="s">
        <v>500</v>
      </c>
      <c r="B9218" s="216" t="str">
        <f ca="1">_xlfn.CONCAT(B9200,A9218)</f>
        <v>9946AD-Q</v>
      </c>
      <c r="C9218" s="17"/>
      <c r="D9218" s="184"/>
      <c r="E9218" s="197"/>
      <c r="F9218" s="19">
        <v>0</v>
      </c>
      <c r="G9218" s="20"/>
    </row>
    <row r="9219" spans="1:7">
      <c r="A9219" s="211" t="s">
        <v>501</v>
      </c>
      <c r="B9219" s="216" t="str">
        <f ca="1">_xlfn.CONCAT(B9200,A9219)</f>
        <v>9946AD-R</v>
      </c>
      <c r="C9219" s="17"/>
      <c r="D9219" s="184"/>
      <c r="E9219" s="197"/>
      <c r="F9219" s="19">
        <v>0</v>
      </c>
      <c r="G9219" s="20"/>
    </row>
    <row r="9220" spans="1:7">
      <c r="A9220" s="211" t="s">
        <v>502</v>
      </c>
      <c r="B9220" s="216" t="str">
        <f ca="1">_xlfn.CONCAT(B9200,A9220)</f>
        <v>9946AD-S</v>
      </c>
      <c r="C9220" s="17"/>
      <c r="D9220" s="184"/>
      <c r="E9220" s="197"/>
      <c r="F9220" s="19">
        <v>0</v>
      </c>
      <c r="G9220" s="20"/>
    </row>
    <row r="9221" spans="1:7">
      <c r="A9221" s="211" t="s">
        <v>503</v>
      </c>
      <c r="B9221" s="216" t="str">
        <f ca="1">_xlfn.CONCAT(B9200,A9221)</f>
        <v>9946AD-T</v>
      </c>
      <c r="C9221" s="17"/>
      <c r="D9221" s="184"/>
      <c r="E9221" s="197"/>
      <c r="F9221" s="19">
        <v>0</v>
      </c>
      <c r="G9221" s="20"/>
    </row>
    <row r="9222" spans="1:7" ht="14.25" thickBot="1">
      <c r="A9222" s="211" t="s">
        <v>504</v>
      </c>
      <c r="B9222" s="216" t="str">
        <f ca="1">_xlfn.CONCAT(B9200,A9222)</f>
        <v>9946AD-U</v>
      </c>
      <c r="C9222" s="17"/>
      <c r="D9222" s="184"/>
      <c r="E9222" s="197"/>
      <c r="F9222" s="19">
        <v>0</v>
      </c>
      <c r="G9222" s="20"/>
    </row>
    <row r="9223" spans="1:7" ht="14.25" thickBot="1">
      <c r="A9223" s="211" t="s">
        <v>505</v>
      </c>
      <c r="B9223" s="216" t="str">
        <f ca="1">_xlfn.CONCAT(B9200,A9223)</f>
        <v>9946AD-V</v>
      </c>
      <c r="C9223" s="17" t="s">
        <v>17</v>
      </c>
      <c r="D9223" s="192" t="s">
        <v>17</v>
      </c>
      <c r="E9223" s="18"/>
      <c r="F9223" s="22" t="s">
        <v>18</v>
      </c>
      <c r="G9223" s="23">
        <f>SUM(G9202:G9222)</f>
        <v>171821.87</v>
      </c>
    </row>
    <row r="9224" spans="1:7" ht="15.75" thickBot="1">
      <c r="A9224" s="211" t="s">
        <v>506</v>
      </c>
      <c r="B9224" s="216" t="str">
        <f ca="1">_xlfn.CONCAT(B9200,A9224)</f>
        <v>9946AD-W</v>
      </c>
      <c r="C9224" s="10" t="s">
        <v>19</v>
      </c>
      <c r="D9224" s="190"/>
      <c r="E9224" s="11"/>
      <c r="F9224" s="12"/>
      <c r="G9224" s="13"/>
    </row>
    <row r="9225" spans="1:7" ht="14.25" thickBot="1">
      <c r="A9225" s="211" t="s">
        <v>507</v>
      </c>
      <c r="B9225" s="216" t="str">
        <f ca="1">_xlfn.CONCAT(B9200,A9225)</f>
        <v>9946AD-X</v>
      </c>
      <c r="C9225" s="14" t="s">
        <v>1</v>
      </c>
      <c r="D9225" s="15"/>
      <c r="E9225" s="15" t="s">
        <v>20</v>
      </c>
      <c r="F9225" s="16" t="s">
        <v>21</v>
      </c>
      <c r="G9225" s="15" t="s">
        <v>5</v>
      </c>
    </row>
    <row r="9226" spans="1:7">
      <c r="A9226" s="211" t="s">
        <v>508</v>
      </c>
      <c r="B9226" s="216" t="str">
        <f ca="1">_xlfn.CONCAT(B9200,A9226)</f>
        <v>9946AD-Y</v>
      </c>
      <c r="C9226" s="24" t="s">
        <v>22</v>
      </c>
      <c r="D9226" s="184"/>
      <c r="E9226" s="25">
        <f>_xlfn.XLOOKUP(C9226,'H-MO'!B$7:B$30,'H-MO'!D$7:D$30,,0,1)</f>
        <v>2436.5624999999995</v>
      </c>
      <c r="F9226" s="19">
        <v>0.3</v>
      </c>
      <c r="G9226" s="33">
        <f t="shared" ref="G9226:G9231" si="266">+E9226*F9226</f>
        <v>730.96874999999989</v>
      </c>
    </row>
    <row r="9227" spans="1:7">
      <c r="A9227" s="211" t="s">
        <v>509</v>
      </c>
      <c r="B9227" s="216" t="str">
        <f ca="1">_xlfn.CONCAT(B9200,A9227)</f>
        <v>9946AD-Z</v>
      </c>
      <c r="C9227" s="24" t="s">
        <v>23</v>
      </c>
      <c r="D9227" s="184"/>
      <c r="E9227" s="25">
        <f>_xlfn.XLOOKUP(C9227,'H-MO'!B$7:B$30,'H-MO'!D$7:D$30,,0,1)</f>
        <v>1461.9374999999998</v>
      </c>
      <c r="F9227" s="19">
        <v>0.03</v>
      </c>
      <c r="G9227" s="33">
        <f t="shared" si="266"/>
        <v>43.858124999999994</v>
      </c>
    </row>
    <row r="9228" spans="1:7">
      <c r="A9228" s="211" t="s">
        <v>510</v>
      </c>
      <c r="B9228" s="216" t="str">
        <f ca="1">_xlfn.CONCAT(B9200,A9228)</f>
        <v>9946AD-aa</v>
      </c>
      <c r="C9228" s="24" t="s">
        <v>24</v>
      </c>
      <c r="D9228" s="185"/>
      <c r="E9228" s="25">
        <f>_xlfn.XLOOKUP(C9228,'H-MO'!B$7:B$30,'H-MO'!D$7:D$30,,0,1)</f>
        <v>29238.749999999996</v>
      </c>
      <c r="F9228" s="28">
        <v>0.05</v>
      </c>
      <c r="G9228" s="33">
        <f t="shared" si="266"/>
        <v>1461.9375</v>
      </c>
    </row>
    <row r="9229" spans="1:7">
      <c r="A9229" s="211" t="s">
        <v>511</v>
      </c>
      <c r="B9229" s="216" t="str">
        <f ca="1">_xlfn.CONCAT(B9200,A9229)</f>
        <v>9946AD-ab</v>
      </c>
      <c r="C9229" s="24" t="s">
        <v>25</v>
      </c>
      <c r="D9229" s="185"/>
      <c r="E9229" s="25">
        <f>_xlfn.XLOOKUP(C9229,'H-MO'!B$7:B$30,'H-MO'!D$7:D$30,,0,1)</f>
        <v>2761.4374999999995</v>
      </c>
      <c r="F9229" s="28">
        <v>0.2</v>
      </c>
      <c r="G9229" s="33">
        <f t="shared" si="266"/>
        <v>552.28749999999991</v>
      </c>
    </row>
    <row r="9230" spans="1:7">
      <c r="A9230" s="211" t="s">
        <v>512</v>
      </c>
      <c r="B9230" s="216" t="str">
        <f ca="1">_xlfn.CONCAT(B9200,A9230)</f>
        <v>9946AD-ac</v>
      </c>
      <c r="C9230" s="24"/>
      <c r="D9230" s="185"/>
      <c r="E9230" s="29"/>
      <c r="F9230" s="28">
        <v>0</v>
      </c>
      <c r="G9230" s="33">
        <f t="shared" si="266"/>
        <v>0</v>
      </c>
    </row>
    <row r="9231" spans="1:7" ht="14.25" thickBot="1">
      <c r="A9231" s="211" t="s">
        <v>513</v>
      </c>
      <c r="B9231" s="216" t="str">
        <f ca="1">_xlfn.CONCAT(B9200,A9231)</f>
        <v>9946AD-ad</v>
      </c>
      <c r="C9231" s="24"/>
      <c r="D9231" s="185"/>
      <c r="E9231" s="29"/>
      <c r="F9231" s="28">
        <v>0</v>
      </c>
      <c r="G9231" s="33">
        <f t="shared" si="266"/>
        <v>0</v>
      </c>
    </row>
    <row r="9232" spans="1:7" ht="14.25" thickBot="1">
      <c r="A9232" s="211" t="s">
        <v>514</v>
      </c>
      <c r="B9232" s="216" t="str">
        <f ca="1">_xlfn.CONCAT(B9200,A9232)</f>
        <v>9946AD-ae</v>
      </c>
      <c r="C9232" s="17"/>
      <c r="D9232" s="192"/>
      <c r="E9232" s="18"/>
      <c r="F9232" s="22" t="s">
        <v>26</v>
      </c>
      <c r="G9232" s="23">
        <f>SUM(G9226:G9231)</f>
        <v>2789.0518749999997</v>
      </c>
    </row>
    <row r="9233" spans="1:8" ht="15.75" thickBot="1">
      <c r="A9233" s="211" t="s">
        <v>515</v>
      </c>
      <c r="B9233" s="216" t="str">
        <f ca="1">_xlfn.CONCAT(B9200,A9233)</f>
        <v>9946AD-af</v>
      </c>
      <c r="C9233" s="10" t="s">
        <v>27</v>
      </c>
      <c r="D9233" s="190"/>
      <c r="E9233" s="11"/>
      <c r="F9233" s="12"/>
      <c r="G9233" s="13"/>
    </row>
    <row r="9234" spans="1:8" ht="14.25" thickBot="1">
      <c r="A9234" s="211" t="s">
        <v>516</v>
      </c>
      <c r="B9234" s="216" t="str">
        <f ca="1">_xlfn.CONCAT(B9200,A9234)</f>
        <v>9946AD-ag</v>
      </c>
      <c r="C9234" s="14" t="s">
        <v>1</v>
      </c>
      <c r="D9234" s="15" t="s">
        <v>28</v>
      </c>
      <c r="E9234" s="15" t="s">
        <v>20</v>
      </c>
      <c r="F9234" s="16" t="s">
        <v>21</v>
      </c>
      <c r="G9234" s="15" t="s">
        <v>5</v>
      </c>
    </row>
    <row r="9235" spans="1:8">
      <c r="A9235" s="211" t="s">
        <v>517</v>
      </c>
      <c r="B9235" s="216" t="str">
        <f ca="1">_xlfn.CONCAT(B9200,A9235)</f>
        <v>9946AD-ah</v>
      </c>
      <c r="C9235" s="30" t="s">
        <v>29</v>
      </c>
      <c r="D9235" s="186">
        <f>'H-MO'!$N$77</f>
        <v>725918.52892505517</v>
      </c>
      <c r="E9235" s="31">
        <f>+D9235/8</f>
        <v>90739.816115631897</v>
      </c>
      <c r="F9235" s="32">
        <v>1.05</v>
      </c>
      <c r="G9235" s="33">
        <f>+E9235*F9235</f>
        <v>95276.806921413488</v>
      </c>
    </row>
    <row r="9236" spans="1:8">
      <c r="A9236" s="211" t="s">
        <v>518</v>
      </c>
      <c r="B9236" s="216" t="str">
        <f ca="1">_xlfn.CONCAT(B9200,A9236)</f>
        <v>9946AD-ai</v>
      </c>
      <c r="C9236" s="34" t="s">
        <v>30</v>
      </c>
      <c r="D9236" s="187">
        <f>'H-MO'!$N$86</f>
        <v>685561.39085756091</v>
      </c>
      <c r="E9236" s="29">
        <f>+D9236/8</f>
        <v>85695.173857195114</v>
      </c>
      <c r="F9236" s="28">
        <v>0</v>
      </c>
      <c r="G9236" s="33">
        <f>+E9236*F9236</f>
        <v>0</v>
      </c>
    </row>
    <row r="9237" spans="1:8" ht="14.25" thickBot="1">
      <c r="A9237" s="211" t="s">
        <v>519</v>
      </c>
      <c r="B9237" s="216" t="str">
        <f ca="1">_xlfn.CONCAT(B9200,A9237)</f>
        <v>9946AD-aj</v>
      </c>
      <c r="C9237" s="34"/>
      <c r="D9237" s="187"/>
      <c r="E9237" s="29"/>
      <c r="F9237" s="28"/>
      <c r="G9237" s="33">
        <f>+E9237*F9237</f>
        <v>0</v>
      </c>
    </row>
    <row r="9238" spans="1:8" ht="14.25" thickBot="1">
      <c r="A9238" s="211" t="s">
        <v>520</v>
      </c>
      <c r="B9238" s="216" t="str">
        <f ca="1">_xlfn.CONCAT(B9200,A9238)</f>
        <v>9946AD-ak</v>
      </c>
      <c r="C9238" s="34"/>
      <c r="D9238" s="185"/>
      <c r="E9238" s="26"/>
      <c r="F9238" s="36" t="s">
        <v>31</v>
      </c>
      <c r="G9238" s="23">
        <f>SUM(G9235:G9237)</f>
        <v>95276.806921413488</v>
      </c>
    </row>
    <row r="9239" spans="1:8" ht="14.25" thickBot="1">
      <c r="A9239" s="211" t="s">
        <v>521</v>
      </c>
      <c r="B9239" s="216" t="str">
        <f ca="1">_xlfn.CONCAT(B9200,A9239)</f>
        <v>9946AD-al</v>
      </c>
      <c r="C9239" s="37"/>
      <c r="E9239" s="38"/>
      <c r="F9239" s="22"/>
      <c r="G9239" s="39"/>
    </row>
    <row r="9240" spans="1:8" ht="16.5" thickBot="1">
      <c r="A9240" s="211" t="s">
        <v>522</v>
      </c>
      <c r="B9240" s="216" t="str">
        <f ca="1">_xlfn.CONCAT(B9200,A9240)</f>
        <v>9946AD-am</v>
      </c>
      <c r="C9240" s="40"/>
      <c r="D9240" s="193"/>
      <c r="E9240" s="41"/>
      <c r="F9240" s="42"/>
      <c r="G9240" s="43">
        <f>+G9223+G9232+G9238</f>
        <v>269887.72879641352</v>
      </c>
    </row>
    <row r="9241" spans="1:8" ht="21.75" thickBot="1">
      <c r="B9241" s="212" t="s">
        <v>550</v>
      </c>
      <c r="C9241" s="2"/>
      <c r="D9241" s="183"/>
      <c r="F9241" s="4"/>
      <c r="G9241" s="5"/>
    </row>
    <row r="9242" spans="1:8" ht="18.75">
      <c r="A9242" s="213"/>
      <c r="B9242" s="214">
        <v>210</v>
      </c>
      <c r="C9242" s="242" t="str">
        <f ca="1">_xlfn.XLOOKUP(B9242,Cantidades!$A$10:$A$314,Cantidades!$C$10:$C$314,,0,1)</f>
        <v>Suministro e instalación de acometida 3#2/0+4T Aluminio</v>
      </c>
      <c r="D9242" s="243"/>
      <c r="E9242" s="243"/>
      <c r="F9242" s="243"/>
      <c r="G9242" s="244"/>
    </row>
    <row r="9243" spans="1:8" ht="19.5" thickBot="1">
      <c r="A9243" s="215"/>
      <c r="B9243" s="216" t="s">
        <v>550</v>
      </c>
      <c r="C9243" s="177"/>
      <c r="D9243" s="189"/>
      <c r="E9243" s="178"/>
      <c r="F9243" s="179" t="s">
        <v>636</v>
      </c>
      <c r="G9243" s="209" t="str">
        <f ca="1">B9244</f>
        <v>15FE5936-</v>
      </c>
    </row>
    <row r="9244" spans="1:8" ht="15.75" thickBot="1">
      <c r="B9244" s="212" t="str">
        <f ca="1">_xlfn.XLOOKUP(C9242,Cantidades!$C$1:$C$314,Cantidades!$B$1:$B$314,"",0,1)</f>
        <v>15FE5936-</v>
      </c>
      <c r="C9244" s="10" t="s">
        <v>0</v>
      </c>
      <c r="D9244" s="190"/>
      <c r="E9244" s="11"/>
      <c r="F9244" s="12"/>
      <c r="G9244" s="13"/>
    </row>
    <row r="9245" spans="1:8" ht="14.25" thickBot="1">
      <c r="A9245" s="215"/>
      <c r="B9245" s="216" t="s">
        <v>550</v>
      </c>
      <c r="C9245" s="14" t="s">
        <v>1</v>
      </c>
      <c r="D9245" s="15" t="s">
        <v>2</v>
      </c>
      <c r="E9245" s="15" t="s">
        <v>3</v>
      </c>
      <c r="F9245" s="16" t="s">
        <v>4</v>
      </c>
      <c r="G9245" s="15" t="s">
        <v>5</v>
      </c>
    </row>
    <row r="9246" spans="1:8">
      <c r="A9246" s="211" t="s">
        <v>484</v>
      </c>
      <c r="B9246" s="216" t="str">
        <f ca="1">_xlfn.CONCAT(B9244,A9246)</f>
        <v>15FE5936-A</v>
      </c>
      <c r="C9246" s="17" t="str">
        <f>_xlfn.XLOOKUP(H9246,'Materiales unitario'!$A$1:$A$2500,'Materiales unitario'!B$1:B$2500,,0,1)</f>
        <v>Cable de Aluminio aislado #2/0 AWG - THHN/THWN</v>
      </c>
      <c r="D9246" s="184" t="str">
        <f>_xlfn.XLOOKUP(H9246,'Materiales unitario'!A$1:A$2500,'Materiales unitario'!C$1:C$2500,,0,1)</f>
        <v>ml</v>
      </c>
      <c r="E9246" s="197">
        <f>_xlfn.XLOOKUP(H9246,'Materiales unitario'!$A$1:$A$2500,'Materiales unitario'!D$1:D$2500,,0,1)</f>
        <v>10890</v>
      </c>
      <c r="F9246" s="19">
        <v>3.15</v>
      </c>
      <c r="G9246" s="20">
        <f>+E9246*F9246</f>
        <v>34303.5</v>
      </c>
      <c r="H9246" s="211" t="s">
        <v>1419</v>
      </c>
    </row>
    <row r="9247" spans="1:8">
      <c r="A9247" s="211" t="s">
        <v>485</v>
      </c>
      <c r="B9247" s="216" t="str">
        <f ca="1">_xlfn.CONCAT(B9244,A9247)</f>
        <v>15FE5936-B</v>
      </c>
      <c r="C9247" s="17" t="str">
        <f>_xlfn.XLOOKUP(H9247,'Materiales unitario'!$A$1:$A$2500,'Materiales unitario'!B$1:B$2500,,0,1)</f>
        <v>Cable de Aluminio aislado #4 AWG - THHN/THWN</v>
      </c>
      <c r="D9247" s="184" t="str">
        <f>_xlfn.XLOOKUP(H9247,'Materiales unitario'!A$1:A$2500,'Materiales unitario'!C$1:C$2500,,0,1)</f>
        <v>ml</v>
      </c>
      <c r="E9247" s="197">
        <f>_xlfn.XLOOKUP(H9247,'Materiales unitario'!$A$1:$A$2500,'Materiales unitario'!D$1:D$2500,,0,1)</f>
        <v>3870</v>
      </c>
      <c r="F9247" s="19">
        <v>1.05</v>
      </c>
      <c r="G9247" s="20">
        <f>+E9247*F9247</f>
        <v>4063.5</v>
      </c>
      <c r="H9247" s="211" t="s">
        <v>260</v>
      </c>
    </row>
    <row r="9248" spans="1:8">
      <c r="A9248" s="211" t="s">
        <v>486</v>
      </c>
      <c r="B9248" s="216" t="str">
        <f ca="1">_xlfn.CONCAT(B9244,A9248)</f>
        <v>15FE5936-C</v>
      </c>
      <c r="C9248" s="17" t="str">
        <f>_xlfn.XLOOKUP(H9248,'Materiales unitario'!$A$1:$A$2500,'Materiales unitario'!B$1:B$2500,,0,1)</f>
        <v>Borna bimetálica de ojo tipo pala #2/0 AWG</v>
      </c>
      <c r="D9248" s="184" t="str">
        <f>_xlfn.XLOOKUP(H9248,'Materiales unitario'!A$1:A$2500,'Materiales unitario'!C$1:C$2500,,0,1)</f>
        <v>un</v>
      </c>
      <c r="E9248" s="197">
        <f>_xlfn.XLOOKUP(H9248,'Materiales unitario'!$A$1:$A$2500,'Materiales unitario'!D$1:D$2500,,0,1)</f>
        <v>7600</v>
      </c>
      <c r="F9248" s="19">
        <v>0.6</v>
      </c>
      <c r="G9248" s="20">
        <f>+E9248*F9248</f>
        <v>4560</v>
      </c>
      <c r="H9248" s="211" t="s">
        <v>1420</v>
      </c>
    </row>
    <row r="9249" spans="1:8">
      <c r="A9249" s="211" t="s">
        <v>487</v>
      </c>
      <c r="B9249" s="216" t="str">
        <f ca="1">_xlfn.CONCAT(B9244,A9249)</f>
        <v>15FE5936-D</v>
      </c>
      <c r="C9249" s="17" t="str">
        <f>_xlfn.XLOOKUP(H9249,'Materiales unitario'!$A$1:$A$2500,'Materiales unitario'!B$1:B$2500,,0,1)</f>
        <v>Borna bimetálica de ojo tipo pala #4 AWG</v>
      </c>
      <c r="D9249" s="184" t="str">
        <f>_xlfn.XLOOKUP(H9249,'Materiales unitario'!A$1:A$2500,'Materiales unitario'!C$1:C$2500,,0,1)</f>
        <v>un</v>
      </c>
      <c r="E9249" s="197">
        <f>_xlfn.XLOOKUP(H9249,'Materiales unitario'!$A$1:$A$2500,'Materiales unitario'!D$1:D$2500,,0,1)</f>
        <v>3460</v>
      </c>
      <c r="F9249" s="19">
        <v>0.1</v>
      </c>
      <c r="G9249" s="20">
        <f>+E9249*F9249</f>
        <v>346</v>
      </c>
      <c r="H9249" s="211" t="s">
        <v>245</v>
      </c>
    </row>
    <row r="9250" spans="1:8">
      <c r="A9250" s="211" t="s">
        <v>488</v>
      </c>
      <c r="B9250" s="216" t="str">
        <f ca="1">_xlfn.CONCAT(B9244,A9250)</f>
        <v>15FE5936-E</v>
      </c>
      <c r="C9250" s="17" t="str">
        <f>_xlfn.XLOOKUP(H9250,'Materiales unitario'!$A$1:$A$2500,'Materiales unitario'!B$1:B$2500,,0,1)</f>
        <v>Termoencogible</v>
      </c>
      <c r="D9250" s="184" t="str">
        <f>_xlfn.XLOOKUP(H9250,'Materiales unitario'!A$1:A$2500,'Materiales unitario'!C$1:C$2500,,0,1)</f>
        <v>un</v>
      </c>
      <c r="E9250" s="197">
        <f>_xlfn.XLOOKUP(H9250,'Materiales unitario'!$A$1:$A$2500,'Materiales unitario'!D$1:D$2500,,0,1)</f>
        <v>5000</v>
      </c>
      <c r="F9250" s="19">
        <v>0.1</v>
      </c>
      <c r="G9250" s="20">
        <f>+E9250*F9250</f>
        <v>500</v>
      </c>
      <c r="H9250" s="211" t="s">
        <v>373</v>
      </c>
    </row>
    <row r="9251" spans="1:8">
      <c r="A9251" s="211" t="s">
        <v>489</v>
      </c>
      <c r="B9251" s="216" t="str">
        <f ca="1">_xlfn.CONCAT(B9244,A9251)</f>
        <v>15FE5936-F</v>
      </c>
      <c r="C9251" s="17"/>
      <c r="D9251" s="184"/>
      <c r="E9251" s="197"/>
      <c r="F9251" s="19"/>
      <c r="G9251" s="20"/>
    </row>
    <row r="9252" spans="1:8">
      <c r="A9252" s="211" t="s">
        <v>490</v>
      </c>
      <c r="B9252" s="216" t="str">
        <f ca="1">_xlfn.CONCAT(B9244,A9252)</f>
        <v>15FE5936-G</v>
      </c>
      <c r="C9252" s="17"/>
      <c r="D9252" s="184"/>
      <c r="E9252" s="197"/>
      <c r="F9252" s="19"/>
      <c r="G9252" s="20"/>
    </row>
    <row r="9253" spans="1:8">
      <c r="A9253" s="211" t="s">
        <v>491</v>
      </c>
      <c r="B9253" s="216" t="str">
        <f ca="1">_xlfn.CONCAT(B9244,A9253)</f>
        <v>15FE5936-H</v>
      </c>
      <c r="C9253" s="17"/>
      <c r="D9253" s="184"/>
      <c r="E9253" s="197"/>
      <c r="F9253" s="19"/>
      <c r="G9253" s="20"/>
    </row>
    <row r="9254" spans="1:8">
      <c r="A9254" s="211" t="s">
        <v>492</v>
      </c>
      <c r="B9254" s="216" t="str">
        <f ca="1">_xlfn.CONCAT(B9244,A9254)</f>
        <v>15FE5936-I</v>
      </c>
      <c r="C9254" s="17"/>
      <c r="D9254" s="184"/>
      <c r="E9254" s="197"/>
      <c r="F9254" s="19"/>
      <c r="G9254" s="20"/>
    </row>
    <row r="9255" spans="1:8">
      <c r="A9255" s="211" t="s">
        <v>493</v>
      </c>
      <c r="B9255" s="216" t="str">
        <f ca="1">_xlfn.CONCAT(B9244,A9255)</f>
        <v>15FE5936-J</v>
      </c>
      <c r="C9255" s="17"/>
      <c r="D9255" s="184"/>
      <c r="E9255" s="197"/>
      <c r="F9255" s="19"/>
      <c r="G9255" s="20"/>
    </row>
    <row r="9256" spans="1:8">
      <c r="A9256" s="211" t="s">
        <v>494</v>
      </c>
      <c r="B9256" s="216" t="str">
        <f ca="1">_xlfn.CONCAT(B9244,A9256)</f>
        <v>15FE5936-K</v>
      </c>
      <c r="C9256" s="17"/>
      <c r="D9256" s="184"/>
      <c r="E9256" s="197"/>
      <c r="F9256" s="19"/>
      <c r="G9256" s="20"/>
    </row>
    <row r="9257" spans="1:8">
      <c r="A9257" s="211" t="s">
        <v>495</v>
      </c>
      <c r="B9257" s="216" t="str">
        <f ca="1">_xlfn.CONCAT(B9244,A9257)</f>
        <v>15FE5936-L</v>
      </c>
      <c r="C9257" s="17"/>
      <c r="D9257" s="184"/>
      <c r="E9257" s="197"/>
      <c r="F9257" s="19"/>
      <c r="G9257" s="20"/>
    </row>
    <row r="9258" spans="1:8">
      <c r="A9258" s="211" t="s">
        <v>496</v>
      </c>
      <c r="B9258" s="216" t="str">
        <f ca="1">_xlfn.CONCAT(B9244,A9258)</f>
        <v>15FE5936-M</v>
      </c>
      <c r="C9258" s="17"/>
      <c r="D9258" s="184"/>
      <c r="E9258" s="197"/>
      <c r="F9258" s="19"/>
      <c r="G9258" s="20"/>
    </row>
    <row r="9259" spans="1:8">
      <c r="A9259" s="211" t="s">
        <v>497</v>
      </c>
      <c r="B9259" s="216" t="str">
        <f ca="1">_xlfn.CONCAT(B9244,A9259)</f>
        <v>15FE5936-N</v>
      </c>
      <c r="C9259" s="17"/>
      <c r="D9259" s="184"/>
      <c r="E9259" s="197"/>
      <c r="F9259" s="19"/>
      <c r="G9259" s="20"/>
    </row>
    <row r="9260" spans="1:8">
      <c r="A9260" s="211" t="s">
        <v>498</v>
      </c>
      <c r="B9260" s="216" t="str">
        <f ca="1">_xlfn.CONCAT(B9244,A9260)</f>
        <v>15FE5936-O</v>
      </c>
      <c r="C9260" s="17"/>
      <c r="D9260" s="184"/>
      <c r="E9260" s="197"/>
      <c r="F9260" s="19"/>
      <c r="G9260" s="20"/>
    </row>
    <row r="9261" spans="1:8">
      <c r="A9261" s="211" t="s">
        <v>499</v>
      </c>
      <c r="B9261" s="216" t="str">
        <f ca="1">_xlfn.CONCAT(B9244,A9261)</f>
        <v>15FE5936-P</v>
      </c>
      <c r="C9261" s="17"/>
      <c r="D9261" s="184"/>
      <c r="E9261" s="197"/>
      <c r="F9261" s="19"/>
      <c r="G9261" s="20"/>
    </row>
    <row r="9262" spans="1:8">
      <c r="A9262" s="211" t="s">
        <v>500</v>
      </c>
      <c r="B9262" s="216" t="str">
        <f ca="1">_xlfn.CONCAT(B9244,A9262)</f>
        <v>15FE5936-Q</v>
      </c>
      <c r="C9262" s="17"/>
      <c r="D9262" s="184"/>
      <c r="E9262" s="197"/>
      <c r="F9262" s="19"/>
      <c r="G9262" s="20"/>
    </row>
    <row r="9263" spans="1:8">
      <c r="A9263" s="211" t="s">
        <v>501</v>
      </c>
      <c r="B9263" s="216" t="str">
        <f ca="1">_xlfn.CONCAT(B9244,A9263)</f>
        <v>15FE5936-R</v>
      </c>
      <c r="C9263" s="17"/>
      <c r="D9263" s="184"/>
      <c r="E9263" s="197"/>
      <c r="F9263" s="19"/>
      <c r="G9263" s="20"/>
    </row>
    <row r="9264" spans="1:8">
      <c r="A9264" s="211" t="s">
        <v>502</v>
      </c>
      <c r="B9264" s="216" t="str">
        <f ca="1">_xlfn.CONCAT(B9244,A9264)</f>
        <v>15FE5936-S</v>
      </c>
      <c r="C9264" s="17"/>
      <c r="D9264" s="184"/>
      <c r="E9264" s="197"/>
      <c r="F9264" s="19"/>
      <c r="G9264" s="20"/>
    </row>
    <row r="9265" spans="1:8">
      <c r="A9265" s="211" t="s">
        <v>503</v>
      </c>
      <c r="B9265" s="216" t="str">
        <f ca="1">_xlfn.CONCAT(B9244,A9265)</f>
        <v>15FE5936-T</v>
      </c>
      <c r="C9265" s="17"/>
      <c r="D9265" s="184"/>
      <c r="E9265" s="197"/>
      <c r="F9265" s="19"/>
      <c r="G9265" s="20"/>
    </row>
    <row r="9266" spans="1:8" ht="14.25" thickBot="1">
      <c r="A9266" s="211" t="s">
        <v>504</v>
      </c>
      <c r="B9266" s="216" t="str">
        <f ca="1">_xlfn.CONCAT(B9244,A9266)</f>
        <v>15FE5936-U</v>
      </c>
      <c r="C9266" s="17"/>
      <c r="D9266" s="184"/>
      <c r="E9266" s="197"/>
      <c r="F9266" s="19"/>
      <c r="G9266" s="20"/>
    </row>
    <row r="9267" spans="1:8" ht="14.25" thickBot="1">
      <c r="A9267" s="211" t="s">
        <v>505</v>
      </c>
      <c r="B9267" s="216" t="str">
        <f ca="1">_xlfn.CONCAT(B9244,A9267)</f>
        <v>15FE5936-V</v>
      </c>
      <c r="C9267" s="17" t="s">
        <v>17</v>
      </c>
      <c r="D9267" s="192" t="s">
        <v>17</v>
      </c>
      <c r="E9267" s="18"/>
      <c r="F9267" s="22" t="s">
        <v>18</v>
      </c>
      <c r="G9267" s="23">
        <f>SUM(G9246:G9266)</f>
        <v>43773</v>
      </c>
    </row>
    <row r="9268" spans="1:8" ht="15.75" thickBot="1">
      <c r="A9268" s="211" t="s">
        <v>506</v>
      </c>
      <c r="B9268" s="216" t="str">
        <f ca="1">_xlfn.CONCAT(B9244,A9268)</f>
        <v>15FE5936-W</v>
      </c>
      <c r="C9268" s="10" t="s">
        <v>19</v>
      </c>
      <c r="D9268" s="190"/>
      <c r="E9268" s="11"/>
      <c r="F9268" s="12"/>
      <c r="G9268" s="13"/>
    </row>
    <row r="9269" spans="1:8" ht="14.25" thickBot="1">
      <c r="A9269" s="211" t="s">
        <v>507</v>
      </c>
      <c r="B9269" s="216" t="str">
        <f ca="1">_xlfn.CONCAT(B9244,A9269)</f>
        <v>15FE5936-X</v>
      </c>
      <c r="C9269" s="14" t="s">
        <v>1</v>
      </c>
      <c r="D9269" s="15"/>
      <c r="E9269" s="15" t="s">
        <v>20</v>
      </c>
      <c r="F9269" s="16" t="s">
        <v>21</v>
      </c>
      <c r="G9269" s="15" t="s">
        <v>5</v>
      </c>
    </row>
    <row r="9270" spans="1:8">
      <c r="A9270" s="211" t="s">
        <v>508</v>
      </c>
      <c r="B9270" s="216" t="str">
        <f ca="1">_xlfn.CONCAT(B9244,A9270)</f>
        <v>15FE5936-Y</v>
      </c>
      <c r="C9270" s="24" t="s">
        <v>22</v>
      </c>
      <c r="D9270" s="184"/>
      <c r="E9270" s="25">
        <f>_xlfn.XLOOKUP(C9270,'H-MO'!B$7:B$30,'H-MO'!D$7:D$30,,0,1)</f>
        <v>2436.5624999999995</v>
      </c>
      <c r="F9270" s="19">
        <v>0.15</v>
      </c>
      <c r="G9270" s="33">
        <f t="shared" ref="G9270:G9275" si="267">+E9270*F9270</f>
        <v>365.48437499999994</v>
      </c>
      <c r="H9270" s="234"/>
    </row>
    <row r="9271" spans="1:8">
      <c r="A9271" s="211" t="s">
        <v>509</v>
      </c>
      <c r="B9271" s="216" t="str">
        <f ca="1">_xlfn.CONCAT(B9244,A9271)</f>
        <v>15FE5936-Z</v>
      </c>
      <c r="C9271" s="24" t="s">
        <v>23</v>
      </c>
      <c r="D9271" s="184"/>
      <c r="E9271" s="25">
        <f>_xlfn.XLOOKUP(C9271,'H-MO'!B$7:B$30,'H-MO'!D$7:D$30,,0,1)</f>
        <v>1461.9374999999998</v>
      </c>
      <c r="F9271" s="19">
        <v>0.04</v>
      </c>
      <c r="G9271" s="33">
        <f t="shared" si="267"/>
        <v>58.477499999999992</v>
      </c>
      <c r="H9271" s="234"/>
    </row>
    <row r="9272" spans="1:8">
      <c r="A9272" s="211" t="s">
        <v>510</v>
      </c>
      <c r="B9272" s="216" t="str">
        <f ca="1">_xlfn.CONCAT(B9244,A9272)</f>
        <v>15FE5936-aa</v>
      </c>
      <c r="C9272" s="24" t="s">
        <v>24</v>
      </c>
      <c r="D9272" s="185"/>
      <c r="E9272" s="25">
        <f>_xlfn.XLOOKUP(C9272,'H-MO'!B$7:B$30,'H-MO'!D$7:D$30,,0,1)</f>
        <v>29238.749999999996</v>
      </c>
      <c r="F9272" s="28">
        <v>0.06</v>
      </c>
      <c r="G9272" s="33">
        <f t="shared" si="267"/>
        <v>1754.3249999999998</v>
      </c>
      <c r="H9272" s="234"/>
    </row>
    <row r="9273" spans="1:8">
      <c r="A9273" s="211" t="s">
        <v>511</v>
      </c>
      <c r="B9273" s="216" t="str">
        <f ca="1">_xlfn.CONCAT(B9244,A9273)</f>
        <v>15FE5936-ab</v>
      </c>
      <c r="C9273" s="24" t="s">
        <v>25</v>
      </c>
      <c r="D9273" s="185"/>
      <c r="E9273" s="25">
        <f>_xlfn.XLOOKUP(C9273,'H-MO'!B$7:B$30,'H-MO'!D$7:D$30,,0,1)</f>
        <v>2761.4374999999995</v>
      </c>
      <c r="F9273" s="28">
        <v>0.2</v>
      </c>
      <c r="G9273" s="33">
        <f t="shared" si="267"/>
        <v>552.28749999999991</v>
      </c>
      <c r="H9273" s="234"/>
    </row>
    <row r="9274" spans="1:8">
      <c r="A9274" s="211" t="s">
        <v>512</v>
      </c>
      <c r="B9274" s="216" t="str">
        <f ca="1">_xlfn.CONCAT(B9244,A9274)</f>
        <v>15FE5936-ac</v>
      </c>
      <c r="C9274" s="24"/>
      <c r="D9274" s="185"/>
      <c r="E9274" s="29"/>
      <c r="F9274" s="28"/>
      <c r="G9274" s="33">
        <f t="shared" si="267"/>
        <v>0</v>
      </c>
      <c r="H9274" s="234"/>
    </row>
    <row r="9275" spans="1:8" ht="14.25" thickBot="1">
      <c r="A9275" s="211" t="s">
        <v>513</v>
      </c>
      <c r="B9275" s="216" t="str">
        <f ca="1">_xlfn.CONCAT(B9244,A9275)</f>
        <v>15FE5936-ad</v>
      </c>
      <c r="C9275" s="24"/>
      <c r="D9275" s="185"/>
      <c r="E9275" s="29"/>
      <c r="F9275" s="28"/>
      <c r="G9275" s="33">
        <f t="shared" si="267"/>
        <v>0</v>
      </c>
      <c r="H9275" s="234"/>
    </row>
    <row r="9276" spans="1:8" ht="14.25" thickBot="1">
      <c r="A9276" s="211" t="s">
        <v>514</v>
      </c>
      <c r="B9276" s="216" t="str">
        <f ca="1">_xlfn.CONCAT(B9244,A9276)</f>
        <v>15FE5936-ae</v>
      </c>
      <c r="C9276" s="17"/>
      <c r="D9276" s="192"/>
      <c r="E9276" s="18"/>
      <c r="F9276" s="22" t="s">
        <v>26</v>
      </c>
      <c r="G9276" s="23">
        <f>SUM(G9270:G9275)</f>
        <v>2730.5743749999997</v>
      </c>
      <c r="H9276" s="234"/>
    </row>
    <row r="9277" spans="1:8" ht="15.75" thickBot="1">
      <c r="A9277" s="211" t="s">
        <v>515</v>
      </c>
      <c r="B9277" s="216" t="str">
        <f ca="1">_xlfn.CONCAT(B9244,A9277)</f>
        <v>15FE5936-af</v>
      </c>
      <c r="C9277" s="10" t="s">
        <v>27</v>
      </c>
      <c r="D9277" s="190"/>
      <c r="E9277" s="11"/>
      <c r="F9277" s="12"/>
      <c r="G9277" s="13"/>
      <c r="H9277" s="234"/>
    </row>
    <row r="9278" spans="1:8" ht="14.25" thickBot="1">
      <c r="A9278" s="211" t="s">
        <v>516</v>
      </c>
      <c r="B9278" s="216" t="str">
        <f ca="1">_xlfn.CONCAT(B9244,A9278)</f>
        <v>15FE5936-ag</v>
      </c>
      <c r="C9278" s="14" t="s">
        <v>1</v>
      </c>
      <c r="D9278" s="15" t="s">
        <v>28</v>
      </c>
      <c r="E9278" s="15" t="s">
        <v>20</v>
      </c>
      <c r="F9278" s="16" t="s">
        <v>21</v>
      </c>
      <c r="G9278" s="15" t="s">
        <v>5</v>
      </c>
      <c r="H9278" s="234"/>
    </row>
    <row r="9279" spans="1:8">
      <c r="A9279" s="211" t="s">
        <v>517</v>
      </c>
      <c r="B9279" s="216" t="str">
        <f ca="1">_xlfn.CONCAT(B9244,A9279)</f>
        <v>15FE5936-ah</v>
      </c>
      <c r="C9279" s="30" t="s">
        <v>29</v>
      </c>
      <c r="D9279" s="186">
        <f>'H-MO'!$N$77</f>
        <v>725918.52892505517</v>
      </c>
      <c r="E9279" s="31">
        <f>+D9279/8</f>
        <v>90739.816115631897</v>
      </c>
      <c r="F9279" s="32">
        <v>0.35</v>
      </c>
      <c r="G9279" s="33">
        <f>+E9279*F9279</f>
        <v>31758.935640471162</v>
      </c>
      <c r="H9279" s="234"/>
    </row>
    <row r="9280" spans="1:8">
      <c r="A9280" s="211" t="s">
        <v>518</v>
      </c>
      <c r="B9280" s="216" t="str">
        <f ca="1">_xlfn.CONCAT(B9244,A9280)</f>
        <v>15FE5936-ai</v>
      </c>
      <c r="C9280" s="34" t="s">
        <v>30</v>
      </c>
      <c r="D9280" s="187">
        <f>'H-MO'!$N$86</f>
        <v>685561.39085756091</v>
      </c>
      <c r="E9280" s="29">
        <f>+D9280/8</f>
        <v>85695.173857195114</v>
      </c>
      <c r="F9280" s="28">
        <v>0</v>
      </c>
      <c r="G9280" s="33">
        <f>+E9280*F9280</f>
        <v>0</v>
      </c>
      <c r="H9280" s="234"/>
    </row>
    <row r="9281" spans="1:8" ht="14.25" thickBot="1">
      <c r="A9281" s="211" t="s">
        <v>519</v>
      </c>
      <c r="B9281" s="216" t="str">
        <f ca="1">_xlfn.CONCAT(B9244,A9281)</f>
        <v>15FE5936-aj</v>
      </c>
      <c r="C9281" s="34"/>
      <c r="D9281" s="187"/>
      <c r="E9281" s="29"/>
      <c r="F9281" s="28"/>
      <c r="G9281" s="33">
        <f>+E9281*F9281</f>
        <v>0</v>
      </c>
    </row>
    <row r="9282" spans="1:8" ht="14.25" thickBot="1">
      <c r="A9282" s="211" t="s">
        <v>520</v>
      </c>
      <c r="B9282" s="216" t="str">
        <f ca="1">_xlfn.CONCAT(B9244,A9282)</f>
        <v>15FE5936-ak</v>
      </c>
      <c r="C9282" s="34"/>
      <c r="D9282" s="185"/>
      <c r="E9282" s="26"/>
      <c r="F9282" s="36" t="s">
        <v>31</v>
      </c>
      <c r="G9282" s="23">
        <f>SUM(G9279:G9281)</f>
        <v>31758.935640471162</v>
      </c>
    </row>
    <row r="9283" spans="1:8" ht="14.25" thickBot="1">
      <c r="A9283" s="211" t="s">
        <v>521</v>
      </c>
      <c r="B9283" s="216" t="str">
        <f ca="1">_xlfn.CONCAT(B9244,A9283)</f>
        <v>15FE5936-al</v>
      </c>
      <c r="C9283" s="37"/>
      <c r="E9283" s="38"/>
      <c r="F9283" s="22"/>
      <c r="G9283" s="39"/>
    </row>
    <row r="9284" spans="1:8" ht="16.5" thickBot="1">
      <c r="A9284" s="211" t="s">
        <v>522</v>
      </c>
      <c r="B9284" s="216" t="str">
        <f ca="1">_xlfn.CONCAT(B9244,A9284)</f>
        <v>15FE5936-am</v>
      </c>
      <c r="C9284" s="40"/>
      <c r="D9284" s="193"/>
      <c r="E9284" s="41"/>
      <c r="F9284" s="42"/>
      <c r="G9284" s="43">
        <f>+G9267+G9276+G9282</f>
        <v>78262.510015471154</v>
      </c>
    </row>
    <row r="9285" spans="1:8" ht="21.75" thickBot="1">
      <c r="B9285" s="212" t="s">
        <v>550</v>
      </c>
      <c r="C9285" s="2"/>
      <c r="D9285" s="183"/>
      <c r="F9285" s="4"/>
      <c r="G9285" s="5"/>
    </row>
    <row r="9286" spans="1:8" ht="18.75">
      <c r="A9286" s="213"/>
      <c r="B9286" s="214">
        <v>211</v>
      </c>
      <c r="C9286" s="242" t="str">
        <f ca="1">_xlfn.XLOOKUP(B9286,Cantidades!$A$10:$A$314,Cantidades!$C$10:$C$314,,0,1)</f>
        <v>Suministro e instalación de acometida 3#4/0+2/0T Aluminio</v>
      </c>
      <c r="D9286" s="243"/>
      <c r="E9286" s="243"/>
      <c r="F9286" s="243"/>
      <c r="G9286" s="244"/>
    </row>
    <row r="9287" spans="1:8" ht="19.5" thickBot="1">
      <c r="A9287" s="215"/>
      <c r="B9287" s="216" t="s">
        <v>550</v>
      </c>
      <c r="C9287" s="177"/>
      <c r="D9287" s="189"/>
      <c r="E9287" s="178"/>
      <c r="F9287" s="179" t="s">
        <v>636</v>
      </c>
      <c r="G9287" s="209" t="str">
        <f ca="1">B9288</f>
        <v>39F6E3D7-</v>
      </c>
    </row>
    <row r="9288" spans="1:8" ht="15.75" thickBot="1">
      <c r="B9288" s="212" t="str">
        <f ca="1">_xlfn.XLOOKUP(C9286,Cantidades!$C$1:$C$314,Cantidades!$B$1:$B$314,"",0,1)</f>
        <v>39F6E3D7-</v>
      </c>
      <c r="C9288" s="10" t="s">
        <v>0</v>
      </c>
      <c r="D9288" s="190"/>
      <c r="E9288" s="11"/>
      <c r="F9288" s="12"/>
      <c r="G9288" s="13"/>
    </row>
    <row r="9289" spans="1:8" ht="14.25" thickBot="1">
      <c r="A9289" s="215"/>
      <c r="B9289" s="216" t="s">
        <v>550</v>
      </c>
      <c r="C9289" s="14" t="s">
        <v>1</v>
      </c>
      <c r="D9289" s="15" t="s">
        <v>2</v>
      </c>
      <c r="E9289" s="15" t="s">
        <v>3</v>
      </c>
      <c r="F9289" s="16" t="s">
        <v>4</v>
      </c>
      <c r="G9289" s="15" t="s">
        <v>5</v>
      </c>
    </row>
    <row r="9290" spans="1:8">
      <c r="A9290" s="211" t="s">
        <v>484</v>
      </c>
      <c r="B9290" s="216" t="str">
        <f ca="1">_xlfn.CONCAT(B9288,A9290)</f>
        <v>39F6E3D7-A</v>
      </c>
      <c r="C9290" s="17" t="str">
        <f>_xlfn.XLOOKUP(H9290,'Materiales unitario'!$A$1:$A$2500,'Materiales unitario'!B$1:B$2500,,0,1)</f>
        <v>Cable de Aluminio aislado #4/0 AWG - THHN/THWN</v>
      </c>
      <c r="D9290" s="184" t="str">
        <f>_xlfn.XLOOKUP(H9290,'Materiales unitario'!A$1:A$2500,'Materiales unitario'!C$1:C$2500,,0,1)</f>
        <v>ml</v>
      </c>
      <c r="E9290" s="197">
        <f>_xlfn.XLOOKUP(H9290,'Materiales unitario'!$A$1:$A$2500,'Materiales unitario'!D$1:D$2500,,0,1)</f>
        <v>15589</v>
      </c>
      <c r="F9290" s="19">
        <v>3.15</v>
      </c>
      <c r="G9290" s="20">
        <f>+E9290*F9290</f>
        <v>49105.35</v>
      </c>
      <c r="H9290" s="211" t="s">
        <v>261</v>
      </c>
    </row>
    <row r="9291" spans="1:8">
      <c r="A9291" s="211" t="s">
        <v>485</v>
      </c>
      <c r="B9291" s="216" t="str">
        <f ca="1">_xlfn.CONCAT(B9288,A9291)</f>
        <v>39F6E3D7-B</v>
      </c>
      <c r="C9291" s="17" t="str">
        <f>_xlfn.XLOOKUP(H9291,'Materiales unitario'!$A$1:$A$2500,'Materiales unitario'!B$1:B$2500,,0,1)</f>
        <v>Cable de Aluminio aislado #2/0 AWG - THHN/THWN</v>
      </c>
      <c r="D9291" s="184" t="str">
        <f>_xlfn.XLOOKUP(H9291,'Materiales unitario'!A$1:A$2500,'Materiales unitario'!C$1:C$2500,,0,1)</f>
        <v>ml</v>
      </c>
      <c r="E9291" s="197">
        <f>_xlfn.XLOOKUP(H9291,'Materiales unitario'!$A$1:$A$2500,'Materiales unitario'!D$1:D$2500,,0,1)</f>
        <v>10890</v>
      </c>
      <c r="F9291" s="19">
        <v>1.05</v>
      </c>
      <c r="G9291" s="20">
        <f>+E9291*F9291</f>
        <v>11434.5</v>
      </c>
      <c r="H9291" s="211" t="s">
        <v>1419</v>
      </c>
    </row>
    <row r="9292" spans="1:8">
      <c r="A9292" s="211" t="s">
        <v>486</v>
      </c>
      <c r="B9292" s="216" t="str">
        <f ca="1">_xlfn.CONCAT(B9288,A9292)</f>
        <v>39F6E3D7-C</v>
      </c>
      <c r="C9292" s="17" t="str">
        <f>_xlfn.XLOOKUP(H9292,'Materiales unitario'!$A$1:$A$2500,'Materiales unitario'!B$1:B$2500,,0,1)</f>
        <v>Borna bimetálica de ojo tipo pala #4/0 AWG</v>
      </c>
      <c r="D9292" s="184" t="str">
        <f>_xlfn.XLOOKUP(H9292,'Materiales unitario'!A$1:A$2500,'Materiales unitario'!C$1:C$2500,,0,1)</f>
        <v>un</v>
      </c>
      <c r="E9292" s="197">
        <f>_xlfn.XLOOKUP(H9292,'Materiales unitario'!$A$1:$A$2500,'Materiales unitario'!D$1:D$2500,,0,1)</f>
        <v>13804</v>
      </c>
      <c r="F9292" s="19">
        <v>0.3</v>
      </c>
      <c r="G9292" s="20">
        <f>+E9292*F9292</f>
        <v>4141.2</v>
      </c>
      <c r="H9292" s="211" t="s">
        <v>246</v>
      </c>
    </row>
    <row r="9293" spans="1:8">
      <c r="A9293" s="211" t="s">
        <v>487</v>
      </c>
      <c r="B9293" s="216" t="str">
        <f ca="1">_xlfn.CONCAT(B9288,A9293)</f>
        <v>39F6E3D7-D</v>
      </c>
      <c r="C9293" s="17" t="str">
        <f>_xlfn.XLOOKUP(H9293,'Materiales unitario'!$A$1:$A$2500,'Materiales unitario'!B$1:B$2500,,0,1)</f>
        <v>Borna bimetálica de ojo tipo pala #2/0 AWG</v>
      </c>
      <c r="D9293" s="184" t="str">
        <f>_xlfn.XLOOKUP(H9293,'Materiales unitario'!A$1:A$2500,'Materiales unitario'!C$1:C$2500,,0,1)</f>
        <v>un</v>
      </c>
      <c r="E9293" s="197">
        <f>_xlfn.XLOOKUP(H9293,'Materiales unitario'!$A$1:$A$2500,'Materiales unitario'!D$1:D$2500,,0,1)</f>
        <v>7600</v>
      </c>
      <c r="F9293" s="19">
        <v>0.1</v>
      </c>
      <c r="G9293" s="20">
        <f>+E9293*F9293</f>
        <v>760</v>
      </c>
      <c r="H9293" s="211" t="s">
        <v>1420</v>
      </c>
    </row>
    <row r="9294" spans="1:8">
      <c r="A9294" s="211" t="s">
        <v>488</v>
      </c>
      <c r="B9294" s="216" t="str">
        <f ca="1">_xlfn.CONCAT(B9288,A9294)</f>
        <v>39F6E3D7-E</v>
      </c>
      <c r="C9294" s="17" t="str">
        <f>_xlfn.XLOOKUP(H9294,'Materiales unitario'!$A$1:$A$2500,'Materiales unitario'!B$1:B$2500,,0,1)</f>
        <v>Termoencogible</v>
      </c>
      <c r="D9294" s="184" t="str">
        <f>_xlfn.XLOOKUP(H9294,'Materiales unitario'!A$1:A$2500,'Materiales unitario'!C$1:C$2500,,0,1)</f>
        <v>un</v>
      </c>
      <c r="E9294" s="197">
        <f>_xlfn.XLOOKUP(H9294,'Materiales unitario'!$A$1:$A$2500,'Materiales unitario'!D$1:D$2500,,0,1)</f>
        <v>5000</v>
      </c>
      <c r="F9294" s="19">
        <v>0.1</v>
      </c>
      <c r="G9294" s="20">
        <f>+E9294*F9294</f>
        <v>500</v>
      </c>
      <c r="H9294" s="211" t="s">
        <v>373</v>
      </c>
    </row>
    <row r="9295" spans="1:8">
      <c r="A9295" s="211" t="s">
        <v>489</v>
      </c>
      <c r="B9295" s="216" t="str">
        <f ca="1">_xlfn.CONCAT(B9288,A9295)</f>
        <v>39F6E3D7-F</v>
      </c>
      <c r="C9295" s="17"/>
      <c r="D9295" s="184"/>
      <c r="E9295" s="197"/>
      <c r="F9295" s="19"/>
      <c r="G9295" s="20"/>
    </row>
    <row r="9296" spans="1:8">
      <c r="A9296" s="211" t="s">
        <v>490</v>
      </c>
      <c r="B9296" s="216" t="str">
        <f ca="1">_xlfn.CONCAT(B9288,A9296)</f>
        <v>39F6E3D7-G</v>
      </c>
      <c r="C9296" s="17"/>
      <c r="D9296" s="184"/>
      <c r="E9296" s="197"/>
      <c r="F9296" s="19"/>
      <c r="G9296" s="20"/>
    </row>
    <row r="9297" spans="1:7">
      <c r="A9297" s="211" t="s">
        <v>491</v>
      </c>
      <c r="B9297" s="216" t="str">
        <f ca="1">_xlfn.CONCAT(B9288,A9297)</f>
        <v>39F6E3D7-H</v>
      </c>
      <c r="C9297" s="17"/>
      <c r="D9297" s="184"/>
      <c r="E9297" s="197"/>
      <c r="F9297" s="19"/>
      <c r="G9297" s="20"/>
    </row>
    <row r="9298" spans="1:7">
      <c r="A9298" s="211" t="s">
        <v>492</v>
      </c>
      <c r="B9298" s="216" t="str">
        <f ca="1">_xlfn.CONCAT(B9288,A9298)</f>
        <v>39F6E3D7-I</v>
      </c>
      <c r="C9298" s="17"/>
      <c r="D9298" s="184"/>
      <c r="E9298" s="197"/>
      <c r="F9298" s="19"/>
      <c r="G9298" s="20"/>
    </row>
    <row r="9299" spans="1:7">
      <c r="A9299" s="211" t="s">
        <v>493</v>
      </c>
      <c r="B9299" s="216" t="str">
        <f ca="1">_xlfn.CONCAT(B9288,A9299)</f>
        <v>39F6E3D7-J</v>
      </c>
      <c r="C9299" s="17"/>
      <c r="D9299" s="184"/>
      <c r="E9299" s="197"/>
      <c r="F9299" s="19"/>
      <c r="G9299" s="20"/>
    </row>
    <row r="9300" spans="1:7">
      <c r="A9300" s="211" t="s">
        <v>494</v>
      </c>
      <c r="B9300" s="216" t="str">
        <f ca="1">_xlfn.CONCAT(B9288,A9300)</f>
        <v>39F6E3D7-K</v>
      </c>
      <c r="C9300" s="17"/>
      <c r="D9300" s="184"/>
      <c r="E9300" s="197"/>
      <c r="F9300" s="19"/>
      <c r="G9300" s="20"/>
    </row>
    <row r="9301" spans="1:7">
      <c r="A9301" s="211" t="s">
        <v>495</v>
      </c>
      <c r="B9301" s="216" t="str">
        <f ca="1">_xlfn.CONCAT(B9288,A9301)</f>
        <v>39F6E3D7-L</v>
      </c>
      <c r="C9301" s="17"/>
      <c r="D9301" s="184"/>
      <c r="E9301" s="197"/>
      <c r="F9301" s="19"/>
      <c r="G9301" s="20"/>
    </row>
    <row r="9302" spans="1:7">
      <c r="A9302" s="211" t="s">
        <v>496</v>
      </c>
      <c r="B9302" s="216" t="str">
        <f ca="1">_xlfn.CONCAT(B9288,A9302)</f>
        <v>39F6E3D7-M</v>
      </c>
      <c r="C9302" s="17"/>
      <c r="D9302" s="184"/>
      <c r="E9302" s="197"/>
      <c r="F9302" s="19"/>
      <c r="G9302" s="20"/>
    </row>
    <row r="9303" spans="1:7">
      <c r="A9303" s="211" t="s">
        <v>497</v>
      </c>
      <c r="B9303" s="216" t="str">
        <f ca="1">_xlfn.CONCAT(B9288,A9303)</f>
        <v>39F6E3D7-N</v>
      </c>
      <c r="C9303" s="17"/>
      <c r="D9303" s="184"/>
      <c r="E9303" s="197"/>
      <c r="F9303" s="19"/>
      <c r="G9303" s="20"/>
    </row>
    <row r="9304" spans="1:7">
      <c r="A9304" s="211" t="s">
        <v>498</v>
      </c>
      <c r="B9304" s="216" t="str">
        <f ca="1">_xlfn.CONCAT(B9288,A9304)</f>
        <v>39F6E3D7-O</v>
      </c>
      <c r="C9304" s="17"/>
      <c r="D9304" s="184"/>
      <c r="E9304" s="197"/>
      <c r="F9304" s="19"/>
      <c r="G9304" s="20"/>
    </row>
    <row r="9305" spans="1:7">
      <c r="A9305" s="211" t="s">
        <v>499</v>
      </c>
      <c r="B9305" s="216" t="str">
        <f ca="1">_xlfn.CONCAT(B9288,A9305)</f>
        <v>39F6E3D7-P</v>
      </c>
      <c r="C9305" s="17"/>
      <c r="D9305" s="184"/>
      <c r="E9305" s="197"/>
      <c r="F9305" s="19"/>
      <c r="G9305" s="20"/>
    </row>
    <row r="9306" spans="1:7">
      <c r="A9306" s="211" t="s">
        <v>500</v>
      </c>
      <c r="B9306" s="216" t="str">
        <f ca="1">_xlfn.CONCAT(B9288,A9306)</f>
        <v>39F6E3D7-Q</v>
      </c>
      <c r="C9306" s="17"/>
      <c r="D9306" s="184"/>
      <c r="E9306" s="197"/>
      <c r="F9306" s="19"/>
      <c r="G9306" s="20"/>
    </row>
    <row r="9307" spans="1:7">
      <c r="A9307" s="211" t="s">
        <v>501</v>
      </c>
      <c r="B9307" s="216" t="str">
        <f ca="1">_xlfn.CONCAT(B9288,A9307)</f>
        <v>39F6E3D7-R</v>
      </c>
      <c r="C9307" s="17"/>
      <c r="D9307" s="184"/>
      <c r="E9307" s="197"/>
      <c r="F9307" s="19"/>
      <c r="G9307" s="20"/>
    </row>
    <row r="9308" spans="1:7">
      <c r="A9308" s="211" t="s">
        <v>502</v>
      </c>
      <c r="B9308" s="216" t="str">
        <f ca="1">_xlfn.CONCAT(B9288,A9308)</f>
        <v>39F6E3D7-S</v>
      </c>
      <c r="C9308" s="17"/>
      <c r="D9308" s="184"/>
      <c r="E9308" s="197"/>
      <c r="F9308" s="19"/>
      <c r="G9308" s="20"/>
    </row>
    <row r="9309" spans="1:7">
      <c r="A9309" s="211" t="s">
        <v>503</v>
      </c>
      <c r="B9309" s="216" t="str">
        <f ca="1">_xlfn.CONCAT(B9288,A9309)</f>
        <v>39F6E3D7-T</v>
      </c>
      <c r="C9309" s="17"/>
      <c r="D9309" s="184"/>
      <c r="E9309" s="197"/>
      <c r="F9309" s="19"/>
      <c r="G9309" s="20"/>
    </row>
    <row r="9310" spans="1:7" ht="14.25" thickBot="1">
      <c r="A9310" s="211" t="s">
        <v>504</v>
      </c>
      <c r="B9310" s="216" t="str">
        <f ca="1">_xlfn.CONCAT(B9288,A9310)</f>
        <v>39F6E3D7-U</v>
      </c>
      <c r="C9310" s="17"/>
      <c r="D9310" s="184"/>
      <c r="E9310" s="197"/>
      <c r="F9310" s="19"/>
      <c r="G9310" s="20"/>
    </row>
    <row r="9311" spans="1:7" ht="14.25" thickBot="1">
      <c r="A9311" s="211" t="s">
        <v>505</v>
      </c>
      <c r="B9311" s="216" t="str">
        <f ca="1">_xlfn.CONCAT(B9288,A9311)</f>
        <v>39F6E3D7-V</v>
      </c>
      <c r="C9311" s="17" t="s">
        <v>17</v>
      </c>
      <c r="D9311" s="192" t="s">
        <v>17</v>
      </c>
      <c r="E9311" s="18"/>
      <c r="F9311" s="22" t="s">
        <v>18</v>
      </c>
      <c r="G9311" s="23">
        <f>SUM(G9290:G9310)</f>
        <v>65941.049999999988</v>
      </c>
    </row>
    <row r="9312" spans="1:7" ht="15.75" thickBot="1">
      <c r="A9312" s="211" t="s">
        <v>506</v>
      </c>
      <c r="B9312" s="216" t="str">
        <f ca="1">_xlfn.CONCAT(B9288,A9312)</f>
        <v>39F6E3D7-W</v>
      </c>
      <c r="C9312" s="10" t="s">
        <v>19</v>
      </c>
      <c r="D9312" s="190"/>
      <c r="E9312" s="11"/>
      <c r="F9312" s="12"/>
      <c r="G9312" s="13"/>
    </row>
    <row r="9313" spans="1:8" ht="14.25" thickBot="1">
      <c r="A9313" s="211" t="s">
        <v>507</v>
      </c>
      <c r="B9313" s="216" t="str">
        <f ca="1">_xlfn.CONCAT(B9288,A9313)</f>
        <v>39F6E3D7-X</v>
      </c>
      <c r="C9313" s="14" t="s">
        <v>1</v>
      </c>
      <c r="D9313" s="15"/>
      <c r="E9313" s="15" t="s">
        <v>20</v>
      </c>
      <c r="F9313" s="16" t="s">
        <v>21</v>
      </c>
      <c r="G9313" s="15" t="s">
        <v>5</v>
      </c>
    </row>
    <row r="9314" spans="1:8">
      <c r="A9314" s="211" t="s">
        <v>508</v>
      </c>
      <c r="B9314" s="216" t="str">
        <f ca="1">_xlfn.CONCAT(B9288,A9314)</f>
        <v>39F6E3D7-Y</v>
      </c>
      <c r="C9314" s="24" t="s">
        <v>22</v>
      </c>
      <c r="D9314" s="184"/>
      <c r="E9314" s="25">
        <f>_xlfn.XLOOKUP(C9314,'H-MO'!B$7:B$30,'H-MO'!D$7:D$30,,0,1)</f>
        <v>2436.5624999999995</v>
      </c>
      <c r="F9314" s="19">
        <v>0.15</v>
      </c>
      <c r="G9314" s="33">
        <f t="shared" ref="G9314:G9319" si="268">+E9314*F9314</f>
        <v>365.48437499999994</v>
      </c>
      <c r="H9314" s="234"/>
    </row>
    <row r="9315" spans="1:8">
      <c r="A9315" s="211" t="s">
        <v>509</v>
      </c>
      <c r="B9315" s="216" t="str">
        <f ca="1">_xlfn.CONCAT(B9288,A9315)</f>
        <v>39F6E3D7-Z</v>
      </c>
      <c r="C9315" s="24" t="s">
        <v>23</v>
      </c>
      <c r="D9315" s="184"/>
      <c r="E9315" s="25">
        <f>_xlfn.XLOOKUP(C9315,'H-MO'!B$7:B$30,'H-MO'!D$7:D$30,,0,1)</f>
        <v>1461.9374999999998</v>
      </c>
      <c r="F9315" s="19">
        <v>0.04</v>
      </c>
      <c r="G9315" s="33">
        <f t="shared" si="268"/>
        <v>58.477499999999992</v>
      </c>
      <c r="H9315" s="234"/>
    </row>
    <row r="9316" spans="1:8">
      <c r="A9316" s="211" t="s">
        <v>510</v>
      </c>
      <c r="B9316" s="216" t="str">
        <f ca="1">_xlfn.CONCAT(B9288,A9316)</f>
        <v>39F6E3D7-aa</v>
      </c>
      <c r="C9316" s="24" t="s">
        <v>24</v>
      </c>
      <c r="D9316" s="185"/>
      <c r="E9316" s="25">
        <f>_xlfn.XLOOKUP(C9316,'H-MO'!B$7:B$30,'H-MO'!D$7:D$30,,0,1)</f>
        <v>29238.749999999996</v>
      </c>
      <c r="F9316" s="28">
        <v>0.06</v>
      </c>
      <c r="G9316" s="33">
        <f t="shared" si="268"/>
        <v>1754.3249999999998</v>
      </c>
      <c r="H9316" s="234"/>
    </row>
    <row r="9317" spans="1:8">
      <c r="A9317" s="211" t="s">
        <v>511</v>
      </c>
      <c r="B9317" s="216" t="str">
        <f ca="1">_xlfn.CONCAT(B9288,A9317)</f>
        <v>39F6E3D7-ab</v>
      </c>
      <c r="C9317" s="24" t="s">
        <v>25</v>
      </c>
      <c r="D9317" s="185"/>
      <c r="E9317" s="25">
        <f>_xlfn.XLOOKUP(C9317,'H-MO'!B$7:B$30,'H-MO'!D$7:D$30,,0,1)</f>
        <v>2761.4374999999995</v>
      </c>
      <c r="F9317" s="28">
        <v>0.2</v>
      </c>
      <c r="G9317" s="33">
        <f t="shared" si="268"/>
        <v>552.28749999999991</v>
      </c>
      <c r="H9317" s="234"/>
    </row>
    <row r="9318" spans="1:8">
      <c r="A9318" s="211" t="s">
        <v>512</v>
      </c>
      <c r="B9318" s="216" t="str">
        <f ca="1">_xlfn.CONCAT(B9288,A9318)</f>
        <v>39F6E3D7-ac</v>
      </c>
      <c r="C9318" s="24"/>
      <c r="D9318" s="185"/>
      <c r="E9318" s="29"/>
      <c r="F9318" s="28"/>
      <c r="G9318" s="33">
        <f t="shared" si="268"/>
        <v>0</v>
      </c>
      <c r="H9318" s="234"/>
    </row>
    <row r="9319" spans="1:8" ht="14.25" thickBot="1">
      <c r="A9319" s="211" t="s">
        <v>513</v>
      </c>
      <c r="B9319" s="216" t="str">
        <f ca="1">_xlfn.CONCAT(B9288,A9319)</f>
        <v>39F6E3D7-ad</v>
      </c>
      <c r="C9319" s="24"/>
      <c r="D9319" s="185"/>
      <c r="E9319" s="29"/>
      <c r="F9319" s="28"/>
      <c r="G9319" s="33">
        <f t="shared" si="268"/>
        <v>0</v>
      </c>
      <c r="H9319" s="234"/>
    </row>
    <row r="9320" spans="1:8" ht="14.25" thickBot="1">
      <c r="A9320" s="211" t="s">
        <v>514</v>
      </c>
      <c r="B9320" s="216" t="str">
        <f ca="1">_xlfn.CONCAT(B9288,A9320)</f>
        <v>39F6E3D7-ae</v>
      </c>
      <c r="C9320" s="17"/>
      <c r="D9320" s="192"/>
      <c r="E9320" s="18"/>
      <c r="F9320" s="22" t="s">
        <v>26</v>
      </c>
      <c r="G9320" s="23">
        <f>SUM(G9314:G9319)</f>
        <v>2730.5743749999997</v>
      </c>
      <c r="H9320" s="234"/>
    </row>
    <row r="9321" spans="1:8" ht="15.75" thickBot="1">
      <c r="A9321" s="211" t="s">
        <v>515</v>
      </c>
      <c r="B9321" s="216" t="str">
        <f ca="1">_xlfn.CONCAT(B9288,A9321)</f>
        <v>39F6E3D7-af</v>
      </c>
      <c r="C9321" s="10" t="s">
        <v>27</v>
      </c>
      <c r="D9321" s="190"/>
      <c r="E9321" s="11"/>
      <c r="F9321" s="12"/>
      <c r="G9321" s="13"/>
      <c r="H9321" s="234"/>
    </row>
    <row r="9322" spans="1:8" ht="14.25" thickBot="1">
      <c r="A9322" s="211" t="s">
        <v>516</v>
      </c>
      <c r="B9322" s="216" t="str">
        <f ca="1">_xlfn.CONCAT(B9288,A9322)</f>
        <v>39F6E3D7-ag</v>
      </c>
      <c r="C9322" s="14" t="s">
        <v>1</v>
      </c>
      <c r="D9322" s="15" t="s">
        <v>28</v>
      </c>
      <c r="E9322" s="15" t="s">
        <v>20</v>
      </c>
      <c r="F9322" s="16" t="s">
        <v>21</v>
      </c>
      <c r="G9322" s="15" t="s">
        <v>5</v>
      </c>
      <c r="H9322" s="234"/>
    </row>
    <row r="9323" spans="1:8">
      <c r="A9323" s="211" t="s">
        <v>517</v>
      </c>
      <c r="B9323" s="216" t="str">
        <f ca="1">_xlfn.CONCAT(B9288,A9323)</f>
        <v>39F6E3D7-ah</v>
      </c>
      <c r="C9323" s="30" t="s">
        <v>29</v>
      </c>
      <c r="D9323" s="186">
        <f>'H-MO'!$N$77</f>
        <v>725918.52892505517</v>
      </c>
      <c r="E9323" s="31">
        <f>+D9323/8</f>
        <v>90739.816115631897</v>
      </c>
      <c r="F9323" s="32">
        <v>0.92</v>
      </c>
      <c r="G9323" s="33">
        <f>+E9323*F9323</f>
        <v>83480.630826381355</v>
      </c>
      <c r="H9323" s="234"/>
    </row>
    <row r="9324" spans="1:8">
      <c r="A9324" s="211" t="s">
        <v>518</v>
      </c>
      <c r="B9324" s="216" t="str">
        <f ca="1">_xlfn.CONCAT(B9288,A9324)</f>
        <v>39F6E3D7-ai</v>
      </c>
      <c r="C9324" s="34" t="s">
        <v>30</v>
      </c>
      <c r="D9324" s="187">
        <f>'H-MO'!$N$86</f>
        <v>685561.39085756091</v>
      </c>
      <c r="E9324" s="29">
        <f>+D9324/8</f>
        <v>85695.173857195114</v>
      </c>
      <c r="F9324" s="28">
        <v>0</v>
      </c>
      <c r="G9324" s="33">
        <f>+E9324*F9324</f>
        <v>0</v>
      </c>
      <c r="H9324" s="234"/>
    </row>
    <row r="9325" spans="1:8" ht="14.25" thickBot="1">
      <c r="A9325" s="211" t="s">
        <v>519</v>
      </c>
      <c r="B9325" s="216" t="str">
        <f ca="1">_xlfn.CONCAT(B9288,A9325)</f>
        <v>39F6E3D7-aj</v>
      </c>
      <c r="C9325" s="34"/>
      <c r="D9325" s="187"/>
      <c r="E9325" s="29"/>
      <c r="F9325" s="28"/>
      <c r="G9325" s="33">
        <f>+E9325*F9325</f>
        <v>0</v>
      </c>
    </row>
    <row r="9326" spans="1:8" ht="14.25" thickBot="1">
      <c r="A9326" s="211" t="s">
        <v>520</v>
      </c>
      <c r="B9326" s="216" t="str">
        <f ca="1">_xlfn.CONCAT(B9288,A9326)</f>
        <v>39F6E3D7-ak</v>
      </c>
      <c r="C9326" s="34"/>
      <c r="D9326" s="185"/>
      <c r="E9326" s="26"/>
      <c r="F9326" s="36" t="s">
        <v>31</v>
      </c>
      <c r="G9326" s="23">
        <f>SUM(G9323:G9325)</f>
        <v>83480.630826381355</v>
      </c>
    </row>
    <row r="9327" spans="1:8" ht="14.25" thickBot="1">
      <c r="A9327" s="211" t="s">
        <v>521</v>
      </c>
      <c r="B9327" s="216" t="str">
        <f ca="1">_xlfn.CONCAT(B9288,A9327)</f>
        <v>39F6E3D7-al</v>
      </c>
      <c r="C9327" s="37"/>
      <c r="E9327" s="38"/>
      <c r="F9327" s="22"/>
      <c r="G9327" s="39"/>
    </row>
    <row r="9328" spans="1:8" ht="16.5" thickBot="1">
      <c r="A9328" s="211" t="s">
        <v>522</v>
      </c>
      <c r="B9328" s="216" t="str">
        <f ca="1">_xlfn.CONCAT(B9288,A9328)</f>
        <v>39F6E3D7-am</v>
      </c>
      <c r="C9328" s="40"/>
      <c r="D9328" s="193"/>
      <c r="E9328" s="41"/>
      <c r="F9328" s="42"/>
      <c r="G9328" s="43">
        <f>+G9311+G9320+G9326</f>
        <v>152152.25520138134</v>
      </c>
    </row>
    <row r="9329" spans="1:8" ht="21.75" thickBot="1">
      <c r="B9329" s="212" t="s">
        <v>550</v>
      </c>
      <c r="C9329" s="2"/>
      <c r="D9329" s="183"/>
      <c r="F9329" s="4"/>
      <c r="G9329" s="5"/>
    </row>
    <row r="9330" spans="1:8" ht="18.75">
      <c r="A9330" s="213"/>
      <c r="B9330" s="214">
        <v>212</v>
      </c>
      <c r="C9330" s="242" t="str">
        <f ca="1">_xlfn.XLOOKUP(B9330,Cantidades!$A$10:$A$314,Cantidades!$C$10:$C$314,,0,1)</f>
        <v>Suministro e instalación de acometida 2#6+1#6+6T Aluminio</v>
      </c>
      <c r="D9330" s="243"/>
      <c r="E9330" s="243"/>
      <c r="F9330" s="243"/>
      <c r="G9330" s="244"/>
    </row>
    <row r="9331" spans="1:8" ht="19.5" thickBot="1">
      <c r="A9331" s="215"/>
      <c r="B9331" s="216" t="s">
        <v>550</v>
      </c>
      <c r="C9331" s="177"/>
      <c r="D9331" s="189"/>
      <c r="E9331" s="178"/>
      <c r="F9331" s="179" t="s">
        <v>636</v>
      </c>
      <c r="G9331" s="209" t="str">
        <f ca="1">B9332</f>
        <v>29F6E3D7-</v>
      </c>
    </row>
    <row r="9332" spans="1:8" ht="15.75" thickBot="1">
      <c r="B9332" s="212" t="str">
        <f ca="1">_xlfn.XLOOKUP(C9330,Cantidades!$C$1:$C$314,Cantidades!$B$1:$B$314,"",0,1)</f>
        <v>29F6E3D7-</v>
      </c>
      <c r="C9332" s="10" t="s">
        <v>0</v>
      </c>
      <c r="D9332" s="190"/>
      <c r="E9332" s="11"/>
      <c r="F9332" s="12"/>
      <c r="G9332" s="13"/>
    </row>
    <row r="9333" spans="1:8" ht="14.25" thickBot="1">
      <c r="A9333" s="215"/>
      <c r="B9333" s="216" t="s">
        <v>550</v>
      </c>
      <c r="C9333" s="14" t="s">
        <v>1</v>
      </c>
      <c r="D9333" s="15" t="s">
        <v>2</v>
      </c>
      <c r="E9333" s="15" t="s">
        <v>3</v>
      </c>
      <c r="F9333" s="16" t="s">
        <v>4</v>
      </c>
      <c r="G9333" s="15" t="s">
        <v>5</v>
      </c>
    </row>
    <row r="9334" spans="1:8">
      <c r="A9334" s="211" t="s">
        <v>484</v>
      </c>
      <c r="B9334" s="216" t="str">
        <f ca="1">_xlfn.CONCAT(B9332,A9334)</f>
        <v>29F6E3D7-A</v>
      </c>
      <c r="C9334" s="17" t="str">
        <f>_xlfn.XLOOKUP(H9334,'Materiales unitario'!$A$1:$A$2500,'Materiales unitario'!B$1:B$2500,,0,1)</f>
        <v>Cable de Aluminio aislado #6 AWG - THHN/THWN</v>
      </c>
      <c r="D9334" s="184" t="str">
        <f>_xlfn.XLOOKUP(H9334,'Materiales unitario'!A$1:A$2500,'Materiales unitario'!C$1:C$2500,,0,1)</f>
        <v>ml</v>
      </c>
      <c r="E9334" s="197">
        <f>_xlfn.XLOOKUP(H9334,'Materiales unitario'!$A$1:$A$2500,'Materiales unitario'!D$1:D$2500,,0,1)</f>
        <v>3213</v>
      </c>
      <c r="F9334" s="19">
        <v>4.2</v>
      </c>
      <c r="G9334" s="20">
        <f>+E9334*F9334</f>
        <v>13494.6</v>
      </c>
      <c r="H9334" s="211" t="s">
        <v>262</v>
      </c>
    </row>
    <row r="9335" spans="1:8">
      <c r="A9335" s="211" t="s">
        <v>485</v>
      </c>
      <c r="B9335" s="216" t="str">
        <f ca="1">_xlfn.CONCAT(B9332,A9335)</f>
        <v>29F6E3D7-B</v>
      </c>
      <c r="C9335" s="17" t="str">
        <f>_xlfn.XLOOKUP(H9335,'Materiales unitario'!$A$1:$A$2500,'Materiales unitario'!B$1:B$2500,,0,1)</f>
        <v>Borna bimetálica de ojo tipo pala #6 AWG</v>
      </c>
      <c r="D9335" s="184" t="str">
        <f>_xlfn.XLOOKUP(H9335,'Materiales unitario'!A$1:A$2500,'Materiales unitario'!C$1:C$2500,,0,1)</f>
        <v>un</v>
      </c>
      <c r="E9335" s="197">
        <f>_xlfn.XLOOKUP(H9335,'Materiales unitario'!$A$1:$A$2500,'Materiales unitario'!D$1:D$2500,,0,1)</f>
        <v>3094</v>
      </c>
      <c r="F9335" s="19">
        <v>0.5</v>
      </c>
      <c r="G9335" s="20">
        <f>+E9335*F9335</f>
        <v>1547</v>
      </c>
      <c r="H9335" s="211" t="s">
        <v>247</v>
      </c>
    </row>
    <row r="9336" spans="1:8">
      <c r="A9336" s="211" t="s">
        <v>486</v>
      </c>
      <c r="B9336" s="216" t="str">
        <f ca="1">_xlfn.CONCAT(B9332,A9336)</f>
        <v>29F6E3D7-C</v>
      </c>
      <c r="C9336" s="17" t="str">
        <f>_xlfn.XLOOKUP(H9336,'Materiales unitario'!$A$1:$A$2500,'Materiales unitario'!B$1:B$2500,,0,1)</f>
        <v>Termoencogible</v>
      </c>
      <c r="D9336" s="184" t="str">
        <f>_xlfn.XLOOKUP(H9336,'Materiales unitario'!A$1:A$2500,'Materiales unitario'!C$1:C$2500,,0,1)</f>
        <v>un</v>
      </c>
      <c r="E9336" s="197">
        <f>_xlfn.XLOOKUP(H9336,'Materiales unitario'!$A$1:$A$2500,'Materiales unitario'!D$1:D$2500,,0,1)</f>
        <v>5000</v>
      </c>
      <c r="F9336" s="19">
        <v>0.1</v>
      </c>
      <c r="G9336" s="20">
        <f>+E9336*F9336</f>
        <v>500</v>
      </c>
      <c r="H9336" s="211" t="s">
        <v>373</v>
      </c>
    </row>
    <row r="9337" spans="1:8">
      <c r="A9337" s="211" t="s">
        <v>487</v>
      </c>
      <c r="B9337" s="216" t="str">
        <f ca="1">_xlfn.CONCAT(B9332,A9337)</f>
        <v>29F6E3D7-D</v>
      </c>
      <c r="C9337" s="17"/>
      <c r="D9337" s="184"/>
      <c r="E9337" s="197"/>
      <c r="F9337" s="19"/>
      <c r="G9337" s="20"/>
    </row>
    <row r="9338" spans="1:8">
      <c r="A9338" s="211" t="s">
        <v>488</v>
      </c>
      <c r="B9338" s="216" t="str">
        <f ca="1">_xlfn.CONCAT(B9332,A9338)</f>
        <v>29F6E3D7-E</v>
      </c>
      <c r="C9338" s="17"/>
      <c r="D9338" s="184"/>
      <c r="E9338" s="197"/>
      <c r="F9338" s="19"/>
      <c r="G9338" s="20"/>
    </row>
    <row r="9339" spans="1:8">
      <c r="A9339" s="211" t="s">
        <v>489</v>
      </c>
      <c r="B9339" s="216" t="str">
        <f ca="1">_xlfn.CONCAT(B9332,A9339)</f>
        <v>29F6E3D7-F</v>
      </c>
      <c r="C9339" s="17"/>
      <c r="D9339" s="184"/>
      <c r="E9339" s="197"/>
      <c r="F9339" s="19"/>
      <c r="G9339" s="20"/>
    </row>
    <row r="9340" spans="1:8">
      <c r="A9340" s="211" t="s">
        <v>490</v>
      </c>
      <c r="B9340" s="216" t="str">
        <f ca="1">_xlfn.CONCAT(B9332,A9340)</f>
        <v>29F6E3D7-G</v>
      </c>
      <c r="C9340" s="17"/>
      <c r="D9340" s="184"/>
      <c r="E9340" s="197"/>
      <c r="F9340" s="19"/>
      <c r="G9340" s="20"/>
    </row>
    <row r="9341" spans="1:8">
      <c r="A9341" s="211" t="s">
        <v>491</v>
      </c>
      <c r="B9341" s="216" t="str">
        <f ca="1">_xlfn.CONCAT(B9332,A9341)</f>
        <v>29F6E3D7-H</v>
      </c>
      <c r="C9341" s="17"/>
      <c r="D9341" s="184"/>
      <c r="E9341" s="197"/>
      <c r="F9341" s="19"/>
      <c r="G9341" s="20"/>
    </row>
    <row r="9342" spans="1:8">
      <c r="A9342" s="211" t="s">
        <v>492</v>
      </c>
      <c r="B9342" s="216" t="str">
        <f ca="1">_xlfn.CONCAT(B9332,A9342)</f>
        <v>29F6E3D7-I</v>
      </c>
      <c r="C9342" s="17"/>
      <c r="D9342" s="184"/>
      <c r="E9342" s="197"/>
      <c r="F9342" s="19"/>
      <c r="G9342" s="20"/>
    </row>
    <row r="9343" spans="1:8">
      <c r="A9343" s="211" t="s">
        <v>493</v>
      </c>
      <c r="B9343" s="216" t="str">
        <f ca="1">_xlfn.CONCAT(B9332,A9343)</f>
        <v>29F6E3D7-J</v>
      </c>
      <c r="C9343" s="17"/>
      <c r="D9343" s="184"/>
      <c r="E9343" s="197"/>
      <c r="F9343" s="19"/>
      <c r="G9343" s="20"/>
    </row>
    <row r="9344" spans="1:8">
      <c r="A9344" s="211" t="s">
        <v>494</v>
      </c>
      <c r="B9344" s="216" t="str">
        <f ca="1">_xlfn.CONCAT(B9332,A9344)</f>
        <v>29F6E3D7-K</v>
      </c>
      <c r="C9344" s="17"/>
      <c r="D9344" s="184"/>
      <c r="E9344" s="197"/>
      <c r="F9344" s="19"/>
      <c r="G9344" s="20"/>
    </row>
    <row r="9345" spans="1:7">
      <c r="A9345" s="211" t="s">
        <v>495</v>
      </c>
      <c r="B9345" s="216" t="str">
        <f ca="1">_xlfn.CONCAT(B9332,A9345)</f>
        <v>29F6E3D7-L</v>
      </c>
      <c r="C9345" s="17"/>
      <c r="D9345" s="184"/>
      <c r="E9345" s="197"/>
      <c r="F9345" s="19"/>
      <c r="G9345" s="20"/>
    </row>
    <row r="9346" spans="1:7">
      <c r="A9346" s="211" t="s">
        <v>496</v>
      </c>
      <c r="B9346" s="216" t="str">
        <f ca="1">_xlfn.CONCAT(B9332,A9346)</f>
        <v>29F6E3D7-M</v>
      </c>
      <c r="C9346" s="17"/>
      <c r="D9346" s="184"/>
      <c r="E9346" s="197"/>
      <c r="F9346" s="19"/>
      <c r="G9346" s="20"/>
    </row>
    <row r="9347" spans="1:7">
      <c r="A9347" s="211" t="s">
        <v>497</v>
      </c>
      <c r="B9347" s="216" t="str">
        <f ca="1">_xlfn.CONCAT(B9332,A9347)</f>
        <v>29F6E3D7-N</v>
      </c>
      <c r="C9347" s="17"/>
      <c r="D9347" s="184"/>
      <c r="E9347" s="197"/>
      <c r="F9347" s="19"/>
      <c r="G9347" s="20"/>
    </row>
    <row r="9348" spans="1:7">
      <c r="A9348" s="211" t="s">
        <v>498</v>
      </c>
      <c r="B9348" s="216" t="str">
        <f ca="1">_xlfn.CONCAT(B9332,A9348)</f>
        <v>29F6E3D7-O</v>
      </c>
      <c r="C9348" s="17"/>
      <c r="D9348" s="184"/>
      <c r="E9348" s="197"/>
      <c r="F9348" s="19"/>
      <c r="G9348" s="20"/>
    </row>
    <row r="9349" spans="1:7">
      <c r="A9349" s="211" t="s">
        <v>499</v>
      </c>
      <c r="B9349" s="216" t="str">
        <f ca="1">_xlfn.CONCAT(B9332,A9349)</f>
        <v>29F6E3D7-P</v>
      </c>
      <c r="C9349" s="17"/>
      <c r="D9349" s="184"/>
      <c r="E9349" s="197"/>
      <c r="F9349" s="19"/>
      <c r="G9349" s="20"/>
    </row>
    <row r="9350" spans="1:7">
      <c r="A9350" s="211" t="s">
        <v>500</v>
      </c>
      <c r="B9350" s="216" t="str">
        <f ca="1">_xlfn.CONCAT(B9332,A9350)</f>
        <v>29F6E3D7-Q</v>
      </c>
      <c r="C9350" s="17"/>
      <c r="D9350" s="184"/>
      <c r="E9350" s="197"/>
      <c r="F9350" s="19"/>
      <c r="G9350" s="20"/>
    </row>
    <row r="9351" spans="1:7">
      <c r="A9351" s="211" t="s">
        <v>501</v>
      </c>
      <c r="B9351" s="216" t="str">
        <f ca="1">_xlfn.CONCAT(B9332,A9351)</f>
        <v>29F6E3D7-R</v>
      </c>
      <c r="C9351" s="17"/>
      <c r="D9351" s="184"/>
      <c r="E9351" s="197"/>
      <c r="F9351" s="19"/>
      <c r="G9351" s="20"/>
    </row>
    <row r="9352" spans="1:7">
      <c r="A9352" s="211" t="s">
        <v>502</v>
      </c>
      <c r="B9352" s="216" t="str">
        <f ca="1">_xlfn.CONCAT(B9332,A9352)</f>
        <v>29F6E3D7-S</v>
      </c>
      <c r="C9352" s="17"/>
      <c r="D9352" s="184"/>
      <c r="E9352" s="197"/>
      <c r="F9352" s="19"/>
      <c r="G9352" s="20"/>
    </row>
    <row r="9353" spans="1:7">
      <c r="A9353" s="211" t="s">
        <v>503</v>
      </c>
      <c r="B9353" s="216" t="str">
        <f ca="1">_xlfn.CONCAT(B9332,A9353)</f>
        <v>29F6E3D7-T</v>
      </c>
      <c r="C9353" s="17"/>
      <c r="D9353" s="184"/>
      <c r="E9353" s="197"/>
      <c r="F9353" s="19"/>
      <c r="G9353" s="20"/>
    </row>
    <row r="9354" spans="1:7" ht="14.25" thickBot="1">
      <c r="A9354" s="211" t="s">
        <v>504</v>
      </c>
      <c r="B9354" s="216" t="str">
        <f ca="1">_xlfn.CONCAT(B9332,A9354)</f>
        <v>29F6E3D7-U</v>
      </c>
      <c r="C9354" s="17"/>
      <c r="D9354" s="184"/>
      <c r="E9354" s="197"/>
      <c r="F9354" s="19"/>
      <c r="G9354" s="20"/>
    </row>
    <row r="9355" spans="1:7" ht="14.25" thickBot="1">
      <c r="A9355" s="211" t="s">
        <v>505</v>
      </c>
      <c r="B9355" s="216" t="str">
        <f ca="1">_xlfn.CONCAT(B9332,A9355)</f>
        <v>29F6E3D7-V</v>
      </c>
      <c r="C9355" s="17" t="s">
        <v>17</v>
      </c>
      <c r="D9355" s="192" t="s">
        <v>17</v>
      </c>
      <c r="E9355" s="18"/>
      <c r="F9355" s="22" t="s">
        <v>18</v>
      </c>
      <c r="G9355" s="23">
        <f>SUM(G9334:G9354)</f>
        <v>15541.6</v>
      </c>
    </row>
    <row r="9356" spans="1:7" ht="15.75" thickBot="1">
      <c r="A9356" s="211" t="s">
        <v>506</v>
      </c>
      <c r="B9356" s="216" t="str">
        <f ca="1">_xlfn.CONCAT(B9332,A9356)</f>
        <v>29F6E3D7-W</v>
      </c>
      <c r="C9356" s="10" t="s">
        <v>19</v>
      </c>
      <c r="D9356" s="190"/>
      <c r="E9356" s="11"/>
      <c r="F9356" s="12"/>
      <c r="G9356" s="13"/>
    </row>
    <row r="9357" spans="1:7" ht="14.25" thickBot="1">
      <c r="A9357" s="211" t="s">
        <v>507</v>
      </c>
      <c r="B9357" s="216" t="str">
        <f ca="1">_xlfn.CONCAT(B9332,A9357)</f>
        <v>29F6E3D7-X</v>
      </c>
      <c r="C9357" s="14" t="s">
        <v>1</v>
      </c>
      <c r="D9357" s="15"/>
      <c r="E9357" s="15" t="s">
        <v>20</v>
      </c>
      <c r="F9357" s="16" t="s">
        <v>21</v>
      </c>
      <c r="G9357" s="15" t="s">
        <v>5</v>
      </c>
    </row>
    <row r="9358" spans="1:7">
      <c r="A9358" s="211" t="s">
        <v>508</v>
      </c>
      <c r="B9358" s="216" t="str">
        <f ca="1">_xlfn.CONCAT(B9332,A9358)</f>
        <v>29F6E3D7-Y</v>
      </c>
      <c r="C9358" s="24" t="s">
        <v>22</v>
      </c>
      <c r="D9358" s="184"/>
      <c r="E9358" s="25">
        <f>_xlfn.XLOOKUP(C9358,'H-MO'!B$7:B$30,'H-MO'!D$7:D$30,,0,1)</f>
        <v>2436.5624999999995</v>
      </c>
      <c r="F9358" s="19">
        <v>0.5</v>
      </c>
      <c r="G9358" s="33">
        <f t="shared" ref="G9358:G9363" si="269">+E9358*F9358</f>
        <v>1218.2812499999998</v>
      </c>
    </row>
    <row r="9359" spans="1:7">
      <c r="A9359" s="211" t="s">
        <v>509</v>
      </c>
      <c r="B9359" s="216" t="str">
        <f ca="1">_xlfn.CONCAT(B9332,A9359)</f>
        <v>29F6E3D7-Z</v>
      </c>
      <c r="C9359" s="24" t="s">
        <v>23</v>
      </c>
      <c r="D9359" s="184"/>
      <c r="E9359" s="25">
        <f>_xlfn.XLOOKUP(C9359,'H-MO'!B$7:B$30,'H-MO'!D$7:D$30,,0,1)</f>
        <v>1461.9374999999998</v>
      </c>
      <c r="F9359" s="19">
        <v>0.04</v>
      </c>
      <c r="G9359" s="33">
        <f t="shared" si="269"/>
        <v>58.477499999999992</v>
      </c>
    </row>
    <row r="9360" spans="1:7">
      <c r="A9360" s="211" t="s">
        <v>510</v>
      </c>
      <c r="B9360" s="216" t="str">
        <f ca="1">_xlfn.CONCAT(B9332,A9360)</f>
        <v>29F6E3D7-aa</v>
      </c>
      <c r="C9360" s="24" t="s">
        <v>24</v>
      </c>
      <c r="D9360" s="185"/>
      <c r="E9360" s="25">
        <f>_xlfn.XLOOKUP(C9360,'H-MO'!B$7:B$30,'H-MO'!D$7:D$30,,0,1)</f>
        <v>29238.749999999996</v>
      </c>
      <c r="F9360" s="28">
        <v>0.1</v>
      </c>
      <c r="G9360" s="33">
        <f t="shared" si="269"/>
        <v>2923.875</v>
      </c>
    </row>
    <row r="9361" spans="1:7">
      <c r="A9361" s="211" t="s">
        <v>511</v>
      </c>
      <c r="B9361" s="216" t="str">
        <f ca="1">_xlfn.CONCAT(B9332,A9361)</f>
        <v>29F6E3D7-ab</v>
      </c>
      <c r="C9361" s="24" t="s">
        <v>25</v>
      </c>
      <c r="D9361" s="185"/>
      <c r="E9361" s="25">
        <f>_xlfn.XLOOKUP(C9361,'H-MO'!B$7:B$30,'H-MO'!D$7:D$30,,0,1)</f>
        <v>2761.4374999999995</v>
      </c>
      <c r="F9361" s="28">
        <v>0.5</v>
      </c>
      <c r="G9361" s="33">
        <f t="shared" si="269"/>
        <v>1380.7187499999998</v>
      </c>
    </row>
    <row r="9362" spans="1:7">
      <c r="A9362" s="211" t="s">
        <v>512</v>
      </c>
      <c r="B9362" s="216" t="str">
        <f ca="1">_xlfn.CONCAT(B9332,A9362)</f>
        <v>29F6E3D7-ac</v>
      </c>
      <c r="C9362" s="24"/>
      <c r="D9362" s="185"/>
      <c r="E9362" s="29"/>
      <c r="F9362" s="28"/>
      <c r="G9362" s="33">
        <f t="shared" si="269"/>
        <v>0</v>
      </c>
    </row>
    <row r="9363" spans="1:7" ht="14.25" thickBot="1">
      <c r="A9363" s="211" t="s">
        <v>513</v>
      </c>
      <c r="B9363" s="216" t="str">
        <f ca="1">_xlfn.CONCAT(B9332,A9363)</f>
        <v>29F6E3D7-ad</v>
      </c>
      <c r="C9363" s="24"/>
      <c r="D9363" s="185"/>
      <c r="E9363" s="29"/>
      <c r="F9363" s="28"/>
      <c r="G9363" s="33">
        <f t="shared" si="269"/>
        <v>0</v>
      </c>
    </row>
    <row r="9364" spans="1:7" ht="14.25" thickBot="1">
      <c r="A9364" s="211" t="s">
        <v>514</v>
      </c>
      <c r="B9364" s="216" t="str">
        <f ca="1">_xlfn.CONCAT(B9332,A9364)</f>
        <v>29F6E3D7-ae</v>
      </c>
      <c r="C9364" s="17"/>
      <c r="D9364" s="192"/>
      <c r="E9364" s="18"/>
      <c r="F9364" s="22" t="s">
        <v>26</v>
      </c>
      <c r="G9364" s="23">
        <f>SUM(G9358:G9363)</f>
        <v>5581.3525</v>
      </c>
    </row>
    <row r="9365" spans="1:7" ht="15.75" thickBot="1">
      <c r="A9365" s="211" t="s">
        <v>515</v>
      </c>
      <c r="B9365" s="216" t="str">
        <f ca="1">_xlfn.CONCAT(B9332,A9365)</f>
        <v>29F6E3D7-af</v>
      </c>
      <c r="C9365" s="10" t="s">
        <v>27</v>
      </c>
      <c r="D9365" s="190"/>
      <c r="E9365" s="11"/>
      <c r="F9365" s="12"/>
      <c r="G9365" s="13"/>
    </row>
    <row r="9366" spans="1:7" ht="14.25" thickBot="1">
      <c r="A9366" s="211" t="s">
        <v>516</v>
      </c>
      <c r="B9366" s="216" t="str">
        <f ca="1">_xlfn.CONCAT(B9332,A9366)</f>
        <v>29F6E3D7-ag</v>
      </c>
      <c r="C9366" s="14" t="s">
        <v>1</v>
      </c>
      <c r="D9366" s="15" t="s">
        <v>28</v>
      </c>
      <c r="E9366" s="15" t="s">
        <v>20</v>
      </c>
      <c r="F9366" s="16" t="s">
        <v>21</v>
      </c>
      <c r="G9366" s="15" t="s">
        <v>5</v>
      </c>
    </row>
    <row r="9367" spans="1:7">
      <c r="A9367" s="211" t="s">
        <v>517</v>
      </c>
      <c r="B9367" s="216" t="str">
        <f ca="1">_xlfn.CONCAT(B9332,A9367)</f>
        <v>29F6E3D7-ah</v>
      </c>
      <c r="C9367" s="30" t="s">
        <v>29</v>
      </c>
      <c r="D9367" s="186">
        <f>'H-MO'!$N$77</f>
        <v>725918.52892505517</v>
      </c>
      <c r="E9367" s="31">
        <f>+D9367/8</f>
        <v>90739.816115631897</v>
      </c>
      <c r="F9367" s="32">
        <v>0.12</v>
      </c>
      <c r="G9367" s="33">
        <f>+E9367*F9367</f>
        <v>10888.777933875826</v>
      </c>
    </row>
    <row r="9368" spans="1:7">
      <c r="A9368" s="211" t="s">
        <v>518</v>
      </c>
      <c r="B9368" s="216" t="str">
        <f ca="1">_xlfn.CONCAT(B9332,A9368)</f>
        <v>29F6E3D7-ai</v>
      </c>
      <c r="C9368" s="34" t="s">
        <v>30</v>
      </c>
      <c r="D9368" s="187">
        <f>'H-MO'!$N$86</f>
        <v>685561.39085756091</v>
      </c>
      <c r="E9368" s="29">
        <f>+D9368/8</f>
        <v>85695.173857195114</v>
      </c>
      <c r="F9368" s="28"/>
      <c r="G9368" s="33">
        <f>+E9368*F9368</f>
        <v>0</v>
      </c>
    </row>
    <row r="9369" spans="1:7" ht="14.25" thickBot="1">
      <c r="A9369" s="211" t="s">
        <v>519</v>
      </c>
      <c r="B9369" s="216" t="str">
        <f ca="1">_xlfn.CONCAT(B9332,A9369)</f>
        <v>29F6E3D7-aj</v>
      </c>
      <c r="C9369" s="34"/>
      <c r="D9369" s="187"/>
      <c r="E9369" s="29"/>
      <c r="F9369" s="28"/>
      <c r="G9369" s="33">
        <f>+E9369*F9369</f>
        <v>0</v>
      </c>
    </row>
    <row r="9370" spans="1:7" ht="14.25" thickBot="1">
      <c r="A9370" s="211" t="s">
        <v>520</v>
      </c>
      <c r="B9370" s="216" t="str">
        <f ca="1">_xlfn.CONCAT(B9332,A9370)</f>
        <v>29F6E3D7-ak</v>
      </c>
      <c r="C9370" s="34"/>
      <c r="D9370" s="185"/>
      <c r="E9370" s="26"/>
      <c r="F9370" s="36" t="s">
        <v>31</v>
      </c>
      <c r="G9370" s="23">
        <f>SUM(G9367:G9369)</f>
        <v>10888.777933875826</v>
      </c>
    </row>
    <row r="9371" spans="1:7" ht="14.25" thickBot="1">
      <c r="A9371" s="211" t="s">
        <v>521</v>
      </c>
      <c r="B9371" s="216" t="str">
        <f ca="1">_xlfn.CONCAT(B9332,A9371)</f>
        <v>29F6E3D7-al</v>
      </c>
      <c r="C9371" s="37"/>
      <c r="E9371" s="38"/>
      <c r="F9371" s="22"/>
      <c r="G9371" s="39"/>
    </row>
    <row r="9372" spans="1:7" ht="16.5" thickBot="1">
      <c r="A9372" s="211" t="s">
        <v>522</v>
      </c>
      <c r="B9372" s="216" t="str">
        <f ca="1">_xlfn.CONCAT(B9332,A9372)</f>
        <v>29F6E3D7-am</v>
      </c>
      <c r="C9372" s="40"/>
      <c r="D9372" s="193"/>
      <c r="E9372" s="41"/>
      <c r="F9372" s="42"/>
      <c r="G9372" s="43">
        <f>+G9355+G9364+G9370</f>
        <v>32011.730433875826</v>
      </c>
    </row>
    <row r="9373" spans="1:7" ht="21.75" thickBot="1">
      <c r="B9373" s="212" t="s">
        <v>550</v>
      </c>
      <c r="C9373" s="2"/>
      <c r="D9373" s="183"/>
      <c r="F9373" s="4"/>
      <c r="G9373" s="5"/>
    </row>
    <row r="9374" spans="1:7" ht="18.75">
      <c r="A9374" s="213"/>
      <c r="B9374" s="214">
        <v>213</v>
      </c>
      <c r="C9374" s="242" t="str">
        <f ca="1">_xlfn.XLOOKUP(B9374,Cantidades!$A$10:$A$314,Cantidades!$C$10:$C$314,,0,1)</f>
        <v xml:space="preserve">Suministro e instalación de cable 1/0 AWG de cobre enterrado.  </v>
      </c>
      <c r="D9374" s="243"/>
      <c r="E9374" s="243"/>
      <c r="F9374" s="243"/>
      <c r="G9374" s="244"/>
    </row>
    <row r="9375" spans="1:7" ht="19.5" thickBot="1">
      <c r="A9375" s="215"/>
      <c r="B9375" s="216" t="s">
        <v>550</v>
      </c>
      <c r="C9375" s="177"/>
      <c r="D9375" s="189"/>
      <c r="E9375" s="178"/>
      <c r="F9375" s="179" t="s">
        <v>636</v>
      </c>
      <c r="G9375" s="209" t="str">
        <f ca="1">B9376</f>
        <v>8B3A1BA-</v>
      </c>
    </row>
    <row r="9376" spans="1:7" ht="15.75" thickBot="1">
      <c r="B9376" s="212" t="str">
        <f ca="1">_xlfn.XLOOKUP(C9374,Cantidades!$C$1:$C$314,Cantidades!$B$1:$B$314,"",0,1)</f>
        <v>8B3A1BA-</v>
      </c>
      <c r="C9376" s="10" t="s">
        <v>0</v>
      </c>
      <c r="D9376" s="190"/>
      <c r="E9376" s="11"/>
      <c r="F9376" s="12"/>
      <c r="G9376" s="13"/>
    </row>
    <row r="9377" spans="1:8" ht="14.25" thickBot="1">
      <c r="A9377" s="215"/>
      <c r="B9377" s="216" t="s">
        <v>550</v>
      </c>
      <c r="C9377" s="14" t="s">
        <v>1</v>
      </c>
      <c r="D9377" s="15" t="s">
        <v>2</v>
      </c>
      <c r="E9377" s="15" t="s">
        <v>3</v>
      </c>
      <c r="F9377" s="16" t="s">
        <v>4</v>
      </c>
      <c r="G9377" s="15" t="s">
        <v>5</v>
      </c>
    </row>
    <row r="9378" spans="1:8">
      <c r="A9378" s="211" t="s">
        <v>484</v>
      </c>
      <c r="B9378" s="216" t="str">
        <f ca="1">_xlfn.CONCAT(B9376,A9378)</f>
        <v>8B3A1BA-A</v>
      </c>
      <c r="C9378" s="17" t="str">
        <f>_xlfn.XLOOKUP(H9378,'Materiales unitario'!$A$1:$A$2500,'Materiales unitario'!B$1:B$2500,,0,1)</f>
        <v>Cable de cobre 1/0 desnudo</v>
      </c>
      <c r="D9378" s="184" t="str">
        <f>_xlfn.XLOOKUP(H9378,'Materiales unitario'!A$1:A$2500,'Materiales unitario'!C$1:C$2500,,0,1)</f>
        <v>ml</v>
      </c>
      <c r="E9378" s="197">
        <f>_xlfn.XLOOKUP(H9378,'Materiales unitario'!$A$1:$A$2500,'Materiales unitario'!D$1:D$2500,,0,1)</f>
        <v>37530</v>
      </c>
      <c r="F9378" s="19">
        <v>1.05</v>
      </c>
      <c r="G9378" s="20">
        <f>+E9378*F9378</f>
        <v>39406.5</v>
      </c>
      <c r="H9378" s="211" t="s">
        <v>1563</v>
      </c>
    </row>
    <row r="9379" spans="1:8">
      <c r="A9379" s="211" t="s">
        <v>485</v>
      </c>
      <c r="B9379" s="216" t="str">
        <f ca="1">_xlfn.CONCAT(B9376,A9379)</f>
        <v>8B3A1BA-B</v>
      </c>
      <c r="C9379" s="17" t="str">
        <f>_xlfn.XLOOKUP(H9379,'Materiales unitario'!$A$1:$A$2500,'Materiales unitario'!B$1:B$2500,,0,1)</f>
        <v>Borna terminal estañada  de ojo tipo pala #1/0 AWG</v>
      </c>
      <c r="D9379" s="184" t="str">
        <f>_xlfn.XLOOKUP(H9379,'Materiales unitario'!A$1:A$2500,'Materiales unitario'!C$1:C$2500,,0,1)</f>
        <v>un</v>
      </c>
      <c r="E9379" s="197">
        <f>_xlfn.XLOOKUP(H9379,'Materiales unitario'!$A$1:$A$2500,'Materiales unitario'!D$1:D$2500,,0,1)</f>
        <v>4260</v>
      </c>
      <c r="F9379" s="19">
        <v>0.1</v>
      </c>
      <c r="G9379" s="20">
        <f>+E9379*F9379</f>
        <v>426</v>
      </c>
      <c r="H9379" s="211" t="s">
        <v>248</v>
      </c>
    </row>
    <row r="9380" spans="1:8">
      <c r="A9380" s="211" t="s">
        <v>486</v>
      </c>
      <c r="B9380" s="216" t="str">
        <f ca="1">_xlfn.CONCAT(B9376,A9380)</f>
        <v>8B3A1BA-C</v>
      </c>
      <c r="C9380" s="17"/>
      <c r="D9380" s="184"/>
      <c r="E9380" s="197"/>
      <c r="F9380" s="19"/>
      <c r="G9380" s="20"/>
    </row>
    <row r="9381" spans="1:8">
      <c r="A9381" s="211" t="s">
        <v>487</v>
      </c>
      <c r="B9381" s="216" t="str">
        <f ca="1">_xlfn.CONCAT(B9376,A9381)</f>
        <v>8B3A1BA-D</v>
      </c>
      <c r="C9381" s="17"/>
      <c r="D9381" s="184"/>
      <c r="E9381" s="197"/>
      <c r="F9381" s="19"/>
      <c r="G9381" s="20"/>
    </row>
    <row r="9382" spans="1:8">
      <c r="A9382" s="211" t="s">
        <v>488</v>
      </c>
      <c r="B9382" s="216" t="str">
        <f ca="1">_xlfn.CONCAT(B9376,A9382)</f>
        <v>8B3A1BA-E</v>
      </c>
      <c r="C9382" s="17"/>
      <c r="D9382" s="184"/>
      <c r="E9382" s="197"/>
      <c r="F9382" s="19"/>
      <c r="G9382" s="20"/>
    </row>
    <row r="9383" spans="1:8">
      <c r="A9383" s="211" t="s">
        <v>489</v>
      </c>
      <c r="B9383" s="216" t="str">
        <f ca="1">_xlfn.CONCAT(B9376,A9383)</f>
        <v>8B3A1BA-F</v>
      </c>
      <c r="C9383" s="17"/>
      <c r="D9383" s="184"/>
      <c r="E9383" s="197"/>
      <c r="F9383" s="19"/>
      <c r="G9383" s="20"/>
    </row>
    <row r="9384" spans="1:8">
      <c r="A9384" s="211" t="s">
        <v>490</v>
      </c>
      <c r="B9384" s="216" t="str">
        <f ca="1">_xlfn.CONCAT(B9376,A9384)</f>
        <v>8B3A1BA-G</v>
      </c>
      <c r="C9384" s="17"/>
      <c r="D9384" s="184"/>
      <c r="E9384" s="197"/>
      <c r="F9384" s="19"/>
      <c r="G9384" s="20"/>
    </row>
    <row r="9385" spans="1:8">
      <c r="A9385" s="211" t="s">
        <v>491</v>
      </c>
      <c r="B9385" s="216" t="str">
        <f ca="1">_xlfn.CONCAT(B9376,A9385)</f>
        <v>8B3A1BA-H</v>
      </c>
      <c r="C9385" s="17"/>
      <c r="D9385" s="184"/>
      <c r="E9385" s="197"/>
      <c r="F9385" s="19"/>
      <c r="G9385" s="20"/>
    </row>
    <row r="9386" spans="1:8">
      <c r="A9386" s="211" t="s">
        <v>492</v>
      </c>
      <c r="B9386" s="216" t="str">
        <f ca="1">_xlfn.CONCAT(B9376,A9386)</f>
        <v>8B3A1BA-I</v>
      </c>
      <c r="C9386" s="17"/>
      <c r="D9386" s="184"/>
      <c r="E9386" s="197"/>
      <c r="F9386" s="19"/>
      <c r="G9386" s="20"/>
    </row>
    <row r="9387" spans="1:8">
      <c r="A9387" s="211" t="s">
        <v>493</v>
      </c>
      <c r="B9387" s="216" t="str">
        <f ca="1">_xlfn.CONCAT(B9376,A9387)</f>
        <v>8B3A1BA-J</v>
      </c>
      <c r="C9387" s="17"/>
      <c r="D9387" s="184"/>
      <c r="E9387" s="197"/>
      <c r="F9387" s="19"/>
      <c r="G9387" s="20"/>
    </row>
    <row r="9388" spans="1:8">
      <c r="A9388" s="211" t="s">
        <v>494</v>
      </c>
      <c r="B9388" s="216" t="str">
        <f ca="1">_xlfn.CONCAT(B9376,A9388)</f>
        <v>8B3A1BA-K</v>
      </c>
      <c r="C9388" s="17"/>
      <c r="D9388" s="184"/>
      <c r="E9388" s="197"/>
      <c r="F9388" s="19"/>
      <c r="G9388" s="20"/>
    </row>
    <row r="9389" spans="1:8">
      <c r="A9389" s="211" t="s">
        <v>495</v>
      </c>
      <c r="B9389" s="216" t="str">
        <f ca="1">_xlfn.CONCAT(B9376,A9389)</f>
        <v>8B3A1BA-L</v>
      </c>
      <c r="C9389" s="17"/>
      <c r="D9389" s="184"/>
      <c r="E9389" s="197"/>
      <c r="F9389" s="19"/>
      <c r="G9389" s="20"/>
    </row>
    <row r="9390" spans="1:8">
      <c r="A9390" s="211" t="s">
        <v>496</v>
      </c>
      <c r="B9390" s="216" t="str">
        <f ca="1">_xlfn.CONCAT(B9376,A9390)</f>
        <v>8B3A1BA-M</v>
      </c>
      <c r="C9390" s="17"/>
      <c r="D9390" s="184"/>
      <c r="E9390" s="197"/>
      <c r="F9390" s="19"/>
      <c r="G9390" s="20"/>
    </row>
    <row r="9391" spans="1:8">
      <c r="A9391" s="211" t="s">
        <v>497</v>
      </c>
      <c r="B9391" s="216" t="str">
        <f ca="1">_xlfn.CONCAT(B9376,A9391)</f>
        <v>8B3A1BA-N</v>
      </c>
      <c r="C9391" s="17"/>
      <c r="D9391" s="184"/>
      <c r="E9391" s="197"/>
      <c r="F9391" s="19"/>
      <c r="G9391" s="20"/>
    </row>
    <row r="9392" spans="1:8">
      <c r="A9392" s="211" t="s">
        <v>498</v>
      </c>
      <c r="B9392" s="216" t="str">
        <f ca="1">_xlfn.CONCAT(B9376,A9392)</f>
        <v>8B3A1BA-O</v>
      </c>
      <c r="C9392" s="17"/>
      <c r="D9392" s="184"/>
      <c r="E9392" s="197"/>
      <c r="F9392" s="19"/>
      <c r="G9392" s="20"/>
    </row>
    <row r="9393" spans="1:7">
      <c r="A9393" s="211" t="s">
        <v>499</v>
      </c>
      <c r="B9393" s="216" t="str">
        <f ca="1">_xlfn.CONCAT(B9376,A9393)</f>
        <v>8B3A1BA-P</v>
      </c>
      <c r="C9393" s="17"/>
      <c r="D9393" s="184"/>
      <c r="E9393" s="197"/>
      <c r="F9393" s="19"/>
      <c r="G9393" s="20"/>
    </row>
    <row r="9394" spans="1:7">
      <c r="A9394" s="211" t="s">
        <v>500</v>
      </c>
      <c r="B9394" s="216" t="str">
        <f ca="1">_xlfn.CONCAT(B9376,A9394)</f>
        <v>8B3A1BA-Q</v>
      </c>
      <c r="C9394" s="17"/>
      <c r="D9394" s="184"/>
      <c r="E9394" s="197"/>
      <c r="F9394" s="19"/>
      <c r="G9394" s="20"/>
    </row>
    <row r="9395" spans="1:7">
      <c r="A9395" s="211" t="s">
        <v>501</v>
      </c>
      <c r="B9395" s="216" t="str">
        <f ca="1">_xlfn.CONCAT(B9376,A9395)</f>
        <v>8B3A1BA-R</v>
      </c>
      <c r="C9395" s="17"/>
      <c r="D9395" s="184"/>
      <c r="E9395" s="197"/>
      <c r="F9395" s="19"/>
      <c r="G9395" s="20"/>
    </row>
    <row r="9396" spans="1:7">
      <c r="A9396" s="211" t="s">
        <v>502</v>
      </c>
      <c r="B9396" s="216" t="str">
        <f ca="1">_xlfn.CONCAT(B9376,A9396)</f>
        <v>8B3A1BA-S</v>
      </c>
      <c r="C9396" s="17"/>
      <c r="D9396" s="184"/>
      <c r="E9396" s="197"/>
      <c r="F9396" s="19"/>
      <c r="G9396" s="20"/>
    </row>
    <row r="9397" spans="1:7">
      <c r="A9397" s="211" t="s">
        <v>503</v>
      </c>
      <c r="B9397" s="216" t="str">
        <f ca="1">_xlfn.CONCAT(B9376,A9397)</f>
        <v>8B3A1BA-T</v>
      </c>
      <c r="C9397" s="17"/>
      <c r="D9397" s="184"/>
      <c r="E9397" s="197"/>
      <c r="F9397" s="19"/>
      <c r="G9397" s="20"/>
    </row>
    <row r="9398" spans="1:7" ht="14.25" thickBot="1">
      <c r="A9398" s="211" t="s">
        <v>504</v>
      </c>
      <c r="B9398" s="216" t="str">
        <f ca="1">_xlfn.CONCAT(B9376,A9398)</f>
        <v>8B3A1BA-U</v>
      </c>
      <c r="C9398" s="17"/>
      <c r="D9398" s="184"/>
      <c r="E9398" s="197"/>
      <c r="F9398" s="19"/>
      <c r="G9398" s="20"/>
    </row>
    <row r="9399" spans="1:7" ht="14.25" thickBot="1">
      <c r="A9399" s="211" t="s">
        <v>505</v>
      </c>
      <c r="B9399" s="216" t="str">
        <f ca="1">_xlfn.CONCAT(B9376,A9399)</f>
        <v>8B3A1BA-V</v>
      </c>
      <c r="C9399" s="17" t="s">
        <v>17</v>
      </c>
      <c r="D9399" s="192" t="s">
        <v>17</v>
      </c>
      <c r="E9399" s="18"/>
      <c r="F9399" s="22" t="s">
        <v>18</v>
      </c>
      <c r="G9399" s="23">
        <f>SUM(G9378:G9398)</f>
        <v>39832.5</v>
      </c>
    </row>
    <row r="9400" spans="1:7" ht="15.75" thickBot="1">
      <c r="A9400" s="211" t="s">
        <v>506</v>
      </c>
      <c r="B9400" s="216" t="str">
        <f ca="1">_xlfn.CONCAT(B9376,A9400)</f>
        <v>8B3A1BA-W</v>
      </c>
      <c r="C9400" s="10" t="s">
        <v>19</v>
      </c>
      <c r="D9400" s="190"/>
      <c r="E9400" s="11"/>
      <c r="F9400" s="12"/>
      <c r="G9400" s="13"/>
    </row>
    <row r="9401" spans="1:7" ht="14.25" thickBot="1">
      <c r="A9401" s="211" t="s">
        <v>507</v>
      </c>
      <c r="B9401" s="216" t="str">
        <f ca="1">_xlfn.CONCAT(B9376,A9401)</f>
        <v>8B3A1BA-X</v>
      </c>
      <c r="C9401" s="14" t="s">
        <v>1</v>
      </c>
      <c r="D9401" s="15"/>
      <c r="E9401" s="15" t="s">
        <v>20</v>
      </c>
      <c r="F9401" s="16" t="s">
        <v>21</v>
      </c>
      <c r="G9401" s="15" t="s">
        <v>5</v>
      </c>
    </row>
    <row r="9402" spans="1:7">
      <c r="A9402" s="211" t="s">
        <v>508</v>
      </c>
      <c r="B9402" s="216" t="str">
        <f ca="1">_xlfn.CONCAT(B9376,A9402)</f>
        <v>8B3A1BA-Y</v>
      </c>
      <c r="C9402" s="24" t="s">
        <v>22</v>
      </c>
      <c r="D9402" s="184"/>
      <c r="E9402" s="25">
        <f>_xlfn.XLOOKUP(C9402,'H-MO'!B$7:B$30,'H-MO'!D$7:D$30,,0,1)</f>
        <v>2436.5624999999995</v>
      </c>
      <c r="F9402" s="19">
        <v>0.5</v>
      </c>
      <c r="G9402" s="33">
        <f t="shared" ref="G9402:G9407" si="270">+E9402*F9402</f>
        <v>1218.2812499999998</v>
      </c>
    </row>
    <row r="9403" spans="1:7">
      <c r="A9403" s="211" t="s">
        <v>509</v>
      </c>
      <c r="B9403" s="216" t="str">
        <f ca="1">_xlfn.CONCAT(B9376,A9403)</f>
        <v>8B3A1BA-Z</v>
      </c>
      <c r="C9403" s="24" t="s">
        <v>23</v>
      </c>
      <c r="D9403" s="184"/>
      <c r="E9403" s="25">
        <f>_xlfn.XLOOKUP(C9403,'H-MO'!B$7:B$30,'H-MO'!D$7:D$30,,0,1)</f>
        <v>1461.9374999999998</v>
      </c>
      <c r="F9403" s="19">
        <v>0.01</v>
      </c>
      <c r="G9403" s="33">
        <f t="shared" si="270"/>
        <v>14.619374999999998</v>
      </c>
    </row>
    <row r="9404" spans="1:7">
      <c r="A9404" s="211" t="s">
        <v>510</v>
      </c>
      <c r="B9404" s="216" t="str">
        <f ca="1">_xlfn.CONCAT(B9376,A9404)</f>
        <v>8B3A1BA-aa</v>
      </c>
      <c r="C9404" s="24" t="s">
        <v>24</v>
      </c>
      <c r="D9404" s="185"/>
      <c r="E9404" s="25">
        <f>_xlfn.XLOOKUP(C9404,'H-MO'!B$7:B$30,'H-MO'!D$7:D$30,,0,1)</f>
        <v>29238.749999999996</v>
      </c>
      <c r="F9404" s="28">
        <v>2E-3</v>
      </c>
      <c r="G9404" s="33">
        <f t="shared" si="270"/>
        <v>58.477499999999992</v>
      </c>
    </row>
    <row r="9405" spans="1:7">
      <c r="A9405" s="211" t="s">
        <v>511</v>
      </c>
      <c r="B9405" s="216" t="str">
        <f ca="1">_xlfn.CONCAT(B9376,A9405)</f>
        <v>8B3A1BA-ab</v>
      </c>
      <c r="C9405" s="24" t="s">
        <v>25</v>
      </c>
      <c r="D9405" s="185"/>
      <c r="E9405" s="25">
        <f>_xlfn.XLOOKUP(C9405,'H-MO'!B$7:B$30,'H-MO'!D$7:D$30,,0,1)</f>
        <v>2761.4374999999995</v>
      </c>
      <c r="F9405" s="28">
        <v>2E-3</v>
      </c>
      <c r="G9405" s="33">
        <f t="shared" si="270"/>
        <v>5.5228749999999991</v>
      </c>
    </row>
    <row r="9406" spans="1:7">
      <c r="A9406" s="211" t="s">
        <v>512</v>
      </c>
      <c r="B9406" s="216" t="str">
        <f ca="1">_xlfn.CONCAT(B9376,A9406)</f>
        <v>8B3A1BA-ac</v>
      </c>
      <c r="C9406" s="24"/>
      <c r="D9406" s="185"/>
      <c r="E9406" s="29"/>
      <c r="F9406" s="28"/>
      <c r="G9406" s="33">
        <f t="shared" si="270"/>
        <v>0</v>
      </c>
    </row>
    <row r="9407" spans="1:7" ht="14.25" thickBot="1">
      <c r="A9407" s="211" t="s">
        <v>513</v>
      </c>
      <c r="B9407" s="216" t="str">
        <f ca="1">_xlfn.CONCAT(B9376,A9407)</f>
        <v>8B3A1BA-ad</v>
      </c>
      <c r="C9407" s="24"/>
      <c r="D9407" s="185"/>
      <c r="E9407" s="29"/>
      <c r="F9407" s="28"/>
      <c r="G9407" s="33">
        <f t="shared" si="270"/>
        <v>0</v>
      </c>
    </row>
    <row r="9408" spans="1:7" ht="14.25" thickBot="1">
      <c r="A9408" s="211" t="s">
        <v>514</v>
      </c>
      <c r="B9408" s="216" t="str">
        <f ca="1">_xlfn.CONCAT(B9376,A9408)</f>
        <v>8B3A1BA-ae</v>
      </c>
      <c r="C9408" s="17"/>
      <c r="D9408" s="192"/>
      <c r="E9408" s="18"/>
      <c r="F9408" s="22" t="s">
        <v>26</v>
      </c>
      <c r="G9408" s="23">
        <f>SUM(G9402:G9407)</f>
        <v>1296.9009999999998</v>
      </c>
    </row>
    <row r="9409" spans="1:8" ht="15.75" thickBot="1">
      <c r="A9409" s="211" t="s">
        <v>515</v>
      </c>
      <c r="B9409" s="216" t="str">
        <f ca="1">_xlfn.CONCAT(B9376,A9409)</f>
        <v>8B3A1BA-af</v>
      </c>
      <c r="C9409" s="10" t="s">
        <v>27</v>
      </c>
      <c r="D9409" s="190"/>
      <c r="E9409" s="11"/>
      <c r="F9409" s="12"/>
      <c r="G9409" s="13"/>
    </row>
    <row r="9410" spans="1:8" ht="14.25" thickBot="1">
      <c r="A9410" s="211" t="s">
        <v>516</v>
      </c>
      <c r="B9410" s="216" t="str">
        <f ca="1">_xlfn.CONCAT(B9376,A9410)</f>
        <v>8B3A1BA-ag</v>
      </c>
      <c r="C9410" s="14" t="s">
        <v>1</v>
      </c>
      <c r="D9410" s="15" t="s">
        <v>28</v>
      </c>
      <c r="E9410" s="15" t="s">
        <v>20</v>
      </c>
      <c r="F9410" s="16" t="s">
        <v>21</v>
      </c>
      <c r="G9410" s="15" t="s">
        <v>5</v>
      </c>
    </row>
    <row r="9411" spans="1:8">
      <c r="A9411" s="211" t="s">
        <v>517</v>
      </c>
      <c r="B9411" s="216" t="str">
        <f ca="1">_xlfn.CONCAT(B9376,A9411)</f>
        <v>8B3A1BA-ah</v>
      </c>
      <c r="C9411" s="30" t="s">
        <v>29</v>
      </c>
      <c r="D9411" s="186">
        <f>'H-MO'!$N$77</f>
        <v>725918.52892505517</v>
      </c>
      <c r="E9411" s="31">
        <f>+D9411/8</f>
        <v>90739.816115631897</v>
      </c>
      <c r="F9411" s="32">
        <v>0.08</v>
      </c>
      <c r="G9411" s="33">
        <f>+E9411*F9411</f>
        <v>7259.1852892505522</v>
      </c>
    </row>
    <row r="9412" spans="1:8">
      <c r="A9412" s="211" t="s">
        <v>518</v>
      </c>
      <c r="B9412" s="216" t="str">
        <f ca="1">_xlfn.CONCAT(B9376,A9412)</f>
        <v>8B3A1BA-ai</v>
      </c>
      <c r="C9412" s="34" t="s">
        <v>30</v>
      </c>
      <c r="D9412" s="187">
        <f>'H-MO'!$N$86</f>
        <v>685561.39085756091</v>
      </c>
      <c r="E9412" s="29">
        <f>+D9412/8</f>
        <v>85695.173857195114</v>
      </c>
      <c r="F9412" s="28">
        <v>0.08</v>
      </c>
      <c r="G9412" s="33">
        <f>+E9412*F9412</f>
        <v>6855.6139085756095</v>
      </c>
    </row>
    <row r="9413" spans="1:8" ht="14.25" thickBot="1">
      <c r="A9413" s="211" t="s">
        <v>519</v>
      </c>
      <c r="B9413" s="216" t="str">
        <f ca="1">_xlfn.CONCAT(B9376,A9413)</f>
        <v>8B3A1BA-aj</v>
      </c>
      <c r="C9413" s="34"/>
      <c r="D9413" s="187"/>
      <c r="E9413" s="29"/>
      <c r="F9413" s="28"/>
      <c r="G9413" s="33">
        <f>+E9413*F9413</f>
        <v>0</v>
      </c>
    </row>
    <row r="9414" spans="1:8" ht="14.25" thickBot="1">
      <c r="A9414" s="211" t="s">
        <v>520</v>
      </c>
      <c r="B9414" s="216" t="str">
        <f ca="1">_xlfn.CONCAT(B9376,A9414)</f>
        <v>8B3A1BA-ak</v>
      </c>
      <c r="C9414" s="34"/>
      <c r="D9414" s="185"/>
      <c r="E9414" s="26"/>
      <c r="F9414" s="36" t="s">
        <v>31</v>
      </c>
      <c r="G9414" s="23">
        <f>SUM(G9411:G9413)</f>
        <v>14114.799197826162</v>
      </c>
    </row>
    <row r="9415" spans="1:8" ht="14.25" thickBot="1">
      <c r="A9415" s="211" t="s">
        <v>521</v>
      </c>
      <c r="B9415" s="216" t="str">
        <f ca="1">_xlfn.CONCAT(B9376,A9415)</f>
        <v>8B3A1BA-al</v>
      </c>
      <c r="C9415" s="37"/>
      <c r="E9415" s="38"/>
      <c r="F9415" s="22"/>
      <c r="G9415" s="39"/>
    </row>
    <row r="9416" spans="1:8" ht="16.5" thickBot="1">
      <c r="A9416" s="211" t="s">
        <v>522</v>
      </c>
      <c r="B9416" s="216" t="str">
        <f ca="1">_xlfn.CONCAT(B9376,A9416)</f>
        <v>8B3A1BA-am</v>
      </c>
      <c r="C9416" s="40"/>
      <c r="D9416" s="193"/>
      <c r="E9416" s="41"/>
      <c r="F9416" s="42"/>
      <c r="G9416" s="43">
        <f>+G9399+G9408+G9414</f>
        <v>55244.200197826161</v>
      </c>
    </row>
    <row r="9417" spans="1:8" ht="21.75" thickBot="1">
      <c r="B9417" s="212" t="s">
        <v>550</v>
      </c>
      <c r="C9417" s="2"/>
      <c r="D9417" s="183"/>
      <c r="F9417" s="4"/>
      <c r="G9417" s="5"/>
    </row>
    <row r="9418" spans="1:8" ht="18.75">
      <c r="A9418" s="213"/>
      <c r="B9418" s="214">
        <v>214</v>
      </c>
      <c r="C9418" s="242" t="str">
        <f ca="1">_xlfn.XLOOKUP(B9418,Cantidades!$A$10:$A$314,Cantidades!$C$10:$C$314,,0,1)</f>
        <v>Suministro e instalación de DPS tipo intemperie 12kV, 10 kA. Incluye soportes y herrajes.</v>
      </c>
      <c r="D9418" s="243"/>
      <c r="E9418" s="243"/>
      <c r="F9418" s="243"/>
      <c r="G9418" s="244"/>
    </row>
    <row r="9419" spans="1:8" ht="19.5" thickBot="1">
      <c r="A9419" s="215"/>
      <c r="B9419" s="216" t="s">
        <v>550</v>
      </c>
      <c r="C9419" s="177"/>
      <c r="D9419" s="189"/>
      <c r="E9419" s="178"/>
      <c r="F9419" s="179" t="s">
        <v>636</v>
      </c>
      <c r="G9419" s="209" t="str">
        <f ca="1">B9420</f>
        <v>2668838B-</v>
      </c>
    </row>
    <row r="9420" spans="1:8" ht="15.75" thickBot="1">
      <c r="B9420" s="212" t="str">
        <f ca="1">_xlfn.XLOOKUP(C9418,Cantidades!$C$1:$C$314,Cantidades!$B$1:$B$314,"",0,1)</f>
        <v>2668838B-</v>
      </c>
      <c r="C9420" s="10" t="s">
        <v>0</v>
      </c>
      <c r="D9420" s="190"/>
      <c r="E9420" s="11"/>
      <c r="F9420" s="12"/>
      <c r="G9420" s="13"/>
    </row>
    <row r="9421" spans="1:8" ht="14.25" thickBot="1">
      <c r="A9421" s="215"/>
      <c r="B9421" s="216" t="s">
        <v>550</v>
      </c>
      <c r="C9421" s="14" t="s">
        <v>1</v>
      </c>
      <c r="D9421" s="15" t="s">
        <v>2</v>
      </c>
      <c r="E9421" s="15" t="s">
        <v>3</v>
      </c>
      <c r="F9421" s="16" t="s">
        <v>4</v>
      </c>
      <c r="G9421" s="15" t="s">
        <v>5</v>
      </c>
    </row>
    <row r="9422" spans="1:8">
      <c r="A9422" s="211" t="s">
        <v>484</v>
      </c>
      <c r="B9422" s="216" t="str">
        <f ca="1">_xlfn.CONCAT(B9420,A9422)</f>
        <v>2668838B-A</v>
      </c>
      <c r="C9422" s="17" t="str">
        <f>_xlfn.XLOOKUP(H9422,'Materiales unitario'!$A$1:$A$2500,'Materiales unitario'!B$1:B$2500,,0,1)</f>
        <v>DPS Pararayo 12KV 10KA</v>
      </c>
      <c r="D9422" s="184" t="str">
        <f>_xlfn.XLOOKUP(H9422,'Materiales unitario'!A$1:A$2500,'Materiales unitario'!C$1:C$2500,,0,1)</f>
        <v>un</v>
      </c>
      <c r="E9422" s="197">
        <f>_xlfn.XLOOKUP(H9422,'Materiales unitario'!$A$1:$A$2500,'Materiales unitario'!D$1:D$2500,,0,1)</f>
        <v>124960.00000000001</v>
      </c>
      <c r="F9422" s="19">
        <v>1.05</v>
      </c>
      <c r="G9422" s="20">
        <f>+E9422*F9422</f>
        <v>131208.00000000003</v>
      </c>
      <c r="H9422" s="211" t="s">
        <v>315</v>
      </c>
    </row>
    <row r="9423" spans="1:8">
      <c r="A9423" s="211" t="s">
        <v>485</v>
      </c>
      <c r="B9423" s="216" t="str">
        <f ca="1">_xlfn.CONCAT(B9420,A9423)</f>
        <v>2668838B-B</v>
      </c>
      <c r="C9423" s="17" t="str">
        <f>_xlfn.XLOOKUP(H9423,'Materiales unitario'!$A$1:$A$2500,'Materiales unitario'!B$1:B$2500,,0,1)</f>
        <v>Conector compresión aluminio 4-4/0</v>
      </c>
      <c r="D9423" s="184" t="str">
        <f>_xlfn.XLOOKUP(H9423,'Materiales unitario'!A$1:A$2500,'Materiales unitario'!C$1:C$2500,,0,1)</f>
        <v>un</v>
      </c>
      <c r="E9423" s="197">
        <f>_xlfn.XLOOKUP(H9423,'Materiales unitario'!$A$1:$A$2500,'Materiales unitario'!D$1:D$2500,,0,1)</f>
        <v>31740</v>
      </c>
      <c r="F9423" s="19">
        <v>1.05</v>
      </c>
      <c r="G9423" s="20">
        <f>+E9423*F9423</f>
        <v>33327</v>
      </c>
      <c r="H9423" s="211" t="s">
        <v>301</v>
      </c>
    </row>
    <row r="9424" spans="1:8">
      <c r="A9424" s="211" t="s">
        <v>486</v>
      </c>
      <c r="B9424" s="216" t="str">
        <f ca="1">_xlfn.CONCAT(B9420,A9424)</f>
        <v>2668838B-C</v>
      </c>
      <c r="C9424" s="17" t="str">
        <f>_xlfn.XLOOKUP(H9424,'Materiales unitario'!$A$1:$A$2500,'Materiales unitario'!B$1:B$2500,,0,1)</f>
        <v>Cable de Aluminio aislado #2 AWG - THHN/THWN</v>
      </c>
      <c r="D9424" s="184" t="str">
        <f>_xlfn.XLOOKUP(H9424,'Materiales unitario'!A$1:A$2500,'Materiales unitario'!C$1:C$2500,,0,1)</f>
        <v>ml</v>
      </c>
      <c r="E9424" s="197">
        <f>_xlfn.XLOOKUP(H9424,'Materiales unitario'!$A$1:$A$2500,'Materiales unitario'!D$1:D$2500,,0,1)</f>
        <v>6188</v>
      </c>
      <c r="F9424" s="19">
        <v>1.5</v>
      </c>
      <c r="G9424" s="20">
        <f>+E9424*F9424</f>
        <v>9282</v>
      </c>
      <c r="H9424" s="211" t="s">
        <v>258</v>
      </c>
    </row>
    <row r="9425" spans="1:7">
      <c r="A9425" s="211" t="s">
        <v>487</v>
      </c>
      <c r="B9425" s="216" t="str">
        <f ca="1">_xlfn.CONCAT(B9420,A9425)</f>
        <v>2668838B-D</v>
      </c>
      <c r="C9425" s="17"/>
      <c r="D9425" s="184"/>
      <c r="E9425" s="197"/>
      <c r="F9425" s="19"/>
      <c r="G9425" s="20"/>
    </row>
    <row r="9426" spans="1:7">
      <c r="A9426" s="211" t="s">
        <v>488</v>
      </c>
      <c r="B9426" s="216" t="str">
        <f ca="1">_xlfn.CONCAT(B9420,A9426)</f>
        <v>2668838B-E</v>
      </c>
      <c r="C9426" s="17"/>
      <c r="D9426" s="184"/>
      <c r="E9426" s="197"/>
      <c r="F9426" s="19"/>
      <c r="G9426" s="20"/>
    </row>
    <row r="9427" spans="1:7">
      <c r="A9427" s="211" t="s">
        <v>489</v>
      </c>
      <c r="B9427" s="216" t="str">
        <f ca="1">_xlfn.CONCAT(B9420,A9427)</f>
        <v>2668838B-F</v>
      </c>
      <c r="C9427" s="17"/>
      <c r="D9427" s="184"/>
      <c r="E9427" s="197"/>
      <c r="F9427" s="19"/>
      <c r="G9427" s="20"/>
    </row>
    <row r="9428" spans="1:7">
      <c r="A9428" s="211" t="s">
        <v>490</v>
      </c>
      <c r="B9428" s="216" t="str">
        <f ca="1">_xlfn.CONCAT(B9420,A9428)</f>
        <v>2668838B-G</v>
      </c>
      <c r="C9428" s="17"/>
      <c r="D9428" s="184"/>
      <c r="E9428" s="197"/>
      <c r="F9428" s="19"/>
      <c r="G9428" s="20"/>
    </row>
    <row r="9429" spans="1:7">
      <c r="A9429" s="211" t="s">
        <v>491</v>
      </c>
      <c r="B9429" s="216" t="str">
        <f ca="1">_xlfn.CONCAT(B9420,A9429)</f>
        <v>2668838B-H</v>
      </c>
      <c r="C9429" s="17"/>
      <c r="D9429" s="184"/>
      <c r="E9429" s="197"/>
      <c r="F9429" s="19"/>
      <c r="G9429" s="20"/>
    </row>
    <row r="9430" spans="1:7">
      <c r="A9430" s="211" t="s">
        <v>492</v>
      </c>
      <c r="B9430" s="216" t="str">
        <f ca="1">_xlfn.CONCAT(B9420,A9430)</f>
        <v>2668838B-I</v>
      </c>
      <c r="C9430" s="17"/>
      <c r="D9430" s="184"/>
      <c r="E9430" s="197"/>
      <c r="F9430" s="19"/>
      <c r="G9430" s="20"/>
    </row>
    <row r="9431" spans="1:7">
      <c r="A9431" s="211" t="s">
        <v>493</v>
      </c>
      <c r="B9431" s="216" t="str">
        <f ca="1">_xlfn.CONCAT(B9420,A9431)</f>
        <v>2668838B-J</v>
      </c>
      <c r="C9431" s="17"/>
      <c r="D9431" s="184"/>
      <c r="E9431" s="197"/>
      <c r="F9431" s="19"/>
      <c r="G9431" s="20"/>
    </row>
    <row r="9432" spans="1:7">
      <c r="A9432" s="211" t="s">
        <v>494</v>
      </c>
      <c r="B9432" s="216" t="str">
        <f ca="1">_xlfn.CONCAT(B9420,A9432)</f>
        <v>2668838B-K</v>
      </c>
      <c r="C9432" s="17"/>
      <c r="D9432" s="184"/>
      <c r="E9432" s="197"/>
      <c r="F9432" s="19"/>
      <c r="G9432" s="20"/>
    </row>
    <row r="9433" spans="1:7">
      <c r="A9433" s="211" t="s">
        <v>495</v>
      </c>
      <c r="B9433" s="216" t="str">
        <f ca="1">_xlfn.CONCAT(B9420,A9433)</f>
        <v>2668838B-L</v>
      </c>
      <c r="C9433" s="17"/>
      <c r="D9433" s="184"/>
      <c r="E9433" s="197"/>
      <c r="F9433" s="19"/>
      <c r="G9433" s="20"/>
    </row>
    <row r="9434" spans="1:7">
      <c r="A9434" s="211" t="s">
        <v>496</v>
      </c>
      <c r="B9434" s="216" t="str">
        <f ca="1">_xlfn.CONCAT(B9420,A9434)</f>
        <v>2668838B-M</v>
      </c>
      <c r="C9434" s="17"/>
      <c r="D9434" s="184"/>
      <c r="E9434" s="197"/>
      <c r="F9434" s="19"/>
      <c r="G9434" s="20"/>
    </row>
    <row r="9435" spans="1:7">
      <c r="A9435" s="211" t="s">
        <v>497</v>
      </c>
      <c r="B9435" s="216" t="str">
        <f ca="1">_xlfn.CONCAT(B9420,A9435)</f>
        <v>2668838B-N</v>
      </c>
      <c r="C9435" s="17"/>
      <c r="D9435" s="184"/>
      <c r="E9435" s="197"/>
      <c r="F9435" s="19"/>
      <c r="G9435" s="20"/>
    </row>
    <row r="9436" spans="1:7">
      <c r="A9436" s="211" t="s">
        <v>498</v>
      </c>
      <c r="B9436" s="216" t="str">
        <f ca="1">_xlfn.CONCAT(B9420,A9436)</f>
        <v>2668838B-O</v>
      </c>
      <c r="C9436" s="17"/>
      <c r="D9436" s="184"/>
      <c r="E9436" s="197"/>
      <c r="F9436" s="19"/>
      <c r="G9436" s="20"/>
    </row>
    <row r="9437" spans="1:7">
      <c r="A9437" s="211" t="s">
        <v>499</v>
      </c>
      <c r="B9437" s="216" t="str">
        <f ca="1">_xlfn.CONCAT(B9420,A9437)</f>
        <v>2668838B-P</v>
      </c>
      <c r="C9437" s="17"/>
      <c r="D9437" s="184"/>
      <c r="E9437" s="197"/>
      <c r="F9437" s="19"/>
      <c r="G9437" s="20"/>
    </row>
    <row r="9438" spans="1:7">
      <c r="A9438" s="211" t="s">
        <v>500</v>
      </c>
      <c r="B9438" s="216" t="str">
        <f ca="1">_xlfn.CONCAT(B9420,A9438)</f>
        <v>2668838B-Q</v>
      </c>
      <c r="C9438" s="17"/>
      <c r="D9438" s="184"/>
      <c r="E9438" s="197"/>
      <c r="F9438" s="19"/>
      <c r="G9438" s="20"/>
    </row>
    <row r="9439" spans="1:7">
      <c r="A9439" s="211" t="s">
        <v>501</v>
      </c>
      <c r="B9439" s="216" t="str">
        <f ca="1">_xlfn.CONCAT(B9420,A9439)</f>
        <v>2668838B-R</v>
      </c>
      <c r="C9439" s="17"/>
      <c r="D9439" s="184"/>
      <c r="E9439" s="197"/>
      <c r="F9439" s="19"/>
      <c r="G9439" s="20"/>
    </row>
    <row r="9440" spans="1:7">
      <c r="A9440" s="211" t="s">
        <v>502</v>
      </c>
      <c r="B9440" s="216" t="str">
        <f ca="1">_xlfn.CONCAT(B9420,A9440)</f>
        <v>2668838B-S</v>
      </c>
      <c r="C9440" s="17"/>
      <c r="D9440" s="184"/>
      <c r="E9440" s="197"/>
      <c r="F9440" s="19"/>
      <c r="G9440" s="20"/>
    </row>
    <row r="9441" spans="1:7">
      <c r="A9441" s="211" t="s">
        <v>503</v>
      </c>
      <c r="B9441" s="216" t="str">
        <f ca="1">_xlfn.CONCAT(B9420,A9441)</f>
        <v>2668838B-T</v>
      </c>
      <c r="C9441" s="17"/>
      <c r="D9441" s="184"/>
      <c r="E9441" s="197"/>
      <c r="F9441" s="19"/>
      <c r="G9441" s="20"/>
    </row>
    <row r="9442" spans="1:7" ht="14.25" thickBot="1">
      <c r="A9442" s="211" t="s">
        <v>504</v>
      </c>
      <c r="B9442" s="216" t="str">
        <f ca="1">_xlfn.CONCAT(B9420,A9442)</f>
        <v>2668838B-U</v>
      </c>
      <c r="C9442" s="17"/>
      <c r="D9442" s="184"/>
      <c r="E9442" s="197"/>
      <c r="F9442" s="19"/>
      <c r="G9442" s="20"/>
    </row>
    <row r="9443" spans="1:7" ht="14.25" thickBot="1">
      <c r="A9443" s="211" t="s">
        <v>505</v>
      </c>
      <c r="B9443" s="216" t="str">
        <f ca="1">_xlfn.CONCAT(B9420,A9443)</f>
        <v>2668838B-V</v>
      </c>
      <c r="C9443" s="17" t="s">
        <v>17</v>
      </c>
      <c r="D9443" s="192" t="s">
        <v>17</v>
      </c>
      <c r="E9443" s="18"/>
      <c r="F9443" s="22" t="s">
        <v>18</v>
      </c>
      <c r="G9443" s="23">
        <f>SUM(G9422:G9442)</f>
        <v>173817.00000000003</v>
      </c>
    </row>
    <row r="9444" spans="1:7" ht="15.75" thickBot="1">
      <c r="A9444" s="211" t="s">
        <v>506</v>
      </c>
      <c r="B9444" s="216" t="str">
        <f ca="1">_xlfn.CONCAT(B9420,A9444)</f>
        <v>2668838B-W</v>
      </c>
      <c r="C9444" s="10" t="s">
        <v>19</v>
      </c>
      <c r="D9444" s="190"/>
      <c r="E9444" s="11"/>
      <c r="F9444" s="12"/>
      <c r="G9444" s="13"/>
    </row>
    <row r="9445" spans="1:7" ht="14.25" thickBot="1">
      <c r="A9445" s="211" t="s">
        <v>507</v>
      </c>
      <c r="B9445" s="216" t="str">
        <f ca="1">_xlfn.CONCAT(B9420,A9445)</f>
        <v>2668838B-X</v>
      </c>
      <c r="C9445" s="14" t="s">
        <v>1</v>
      </c>
      <c r="D9445" s="15"/>
      <c r="E9445" s="15" t="s">
        <v>20</v>
      </c>
      <c r="F9445" s="16" t="s">
        <v>21</v>
      </c>
      <c r="G9445" s="15" t="s">
        <v>5</v>
      </c>
    </row>
    <row r="9446" spans="1:7">
      <c r="A9446" s="211" t="s">
        <v>508</v>
      </c>
      <c r="B9446" s="216" t="str">
        <f ca="1">_xlfn.CONCAT(B9420,A9446)</f>
        <v>2668838B-Y</v>
      </c>
      <c r="C9446" s="24" t="s">
        <v>22</v>
      </c>
      <c r="D9446" s="184"/>
      <c r="E9446" s="25">
        <f>_xlfn.XLOOKUP(C9446,'H-MO'!B$7:B$30,'H-MO'!D$7:D$30,,0,1)</f>
        <v>2436.5624999999995</v>
      </c>
      <c r="F9446" s="19">
        <v>0.21198840579710146</v>
      </c>
      <c r="G9446" s="33">
        <f t="shared" ref="G9446:G9451" si="271">+E9446*F9446</f>
        <v>516.52299999999991</v>
      </c>
    </row>
    <row r="9447" spans="1:7">
      <c r="A9447" s="211" t="s">
        <v>509</v>
      </c>
      <c r="B9447" s="216" t="str">
        <f ca="1">_xlfn.CONCAT(B9420,A9447)</f>
        <v>2668838B-Z</v>
      </c>
      <c r="C9447" s="24" t="s">
        <v>23</v>
      </c>
      <c r="D9447" s="184"/>
      <c r="E9447" s="25">
        <f>_xlfn.XLOOKUP(C9447,'H-MO'!B$7:B$30,'H-MO'!D$7:D$30,,0,1)</f>
        <v>1461.9374999999998</v>
      </c>
      <c r="F9447" s="19">
        <v>0.52997101449275363</v>
      </c>
      <c r="G9447" s="33">
        <f t="shared" si="271"/>
        <v>774.78449999999987</v>
      </c>
    </row>
    <row r="9448" spans="1:7">
      <c r="A9448" s="211" t="s">
        <v>510</v>
      </c>
      <c r="B9448" s="216" t="str">
        <f ca="1">_xlfn.CONCAT(B9420,A9448)</f>
        <v>2668838B-aa</v>
      </c>
      <c r="C9448" s="24" t="s">
        <v>24</v>
      </c>
      <c r="D9448" s="185"/>
      <c r="E9448" s="25">
        <f>_xlfn.XLOOKUP(C9448,'H-MO'!B$7:B$30,'H-MO'!D$7:D$30,,0,1)</f>
        <v>29238.749999999996</v>
      </c>
      <c r="F9448" s="28">
        <v>8.8328502415458941E-3</v>
      </c>
      <c r="G9448" s="33">
        <f t="shared" si="271"/>
        <v>258.26149999999996</v>
      </c>
    </row>
    <row r="9449" spans="1:7">
      <c r="A9449" s="211" t="s">
        <v>511</v>
      </c>
      <c r="B9449" s="216" t="str">
        <f ca="1">_xlfn.CONCAT(B9420,A9449)</f>
        <v>2668838B-ab</v>
      </c>
      <c r="C9449" s="24" t="s">
        <v>25</v>
      </c>
      <c r="D9449" s="185"/>
      <c r="E9449" s="25">
        <f>_xlfn.XLOOKUP(C9449,'H-MO'!B$7:B$30,'H-MO'!D$7:D$30,,0,1)</f>
        <v>2761.4374999999995</v>
      </c>
      <c r="F9449" s="28">
        <v>0.18704859335038365</v>
      </c>
      <c r="G9449" s="33">
        <f t="shared" si="271"/>
        <v>516.52300000000002</v>
      </c>
    </row>
    <row r="9450" spans="1:7">
      <c r="A9450" s="211" t="s">
        <v>512</v>
      </c>
      <c r="B9450" s="216" t="str">
        <f ca="1">_xlfn.CONCAT(B9420,A9450)</f>
        <v>2668838B-ac</v>
      </c>
      <c r="C9450" s="24"/>
      <c r="D9450" s="185"/>
      <c r="E9450" s="29"/>
      <c r="F9450" s="28"/>
      <c r="G9450" s="33">
        <f t="shared" si="271"/>
        <v>0</v>
      </c>
    </row>
    <row r="9451" spans="1:7" ht="14.25" thickBot="1">
      <c r="A9451" s="211" t="s">
        <v>513</v>
      </c>
      <c r="B9451" s="216" t="str">
        <f ca="1">_xlfn.CONCAT(B9420,A9451)</f>
        <v>2668838B-ad</v>
      </c>
      <c r="C9451" s="24"/>
      <c r="D9451" s="185"/>
      <c r="E9451" s="29"/>
      <c r="F9451" s="28"/>
      <c r="G9451" s="33">
        <f t="shared" si="271"/>
        <v>0</v>
      </c>
    </row>
    <row r="9452" spans="1:7" ht="14.25" thickBot="1">
      <c r="A9452" s="211" t="s">
        <v>514</v>
      </c>
      <c r="B9452" s="216" t="str">
        <f ca="1">_xlfn.CONCAT(B9420,A9452)</f>
        <v>2668838B-ae</v>
      </c>
      <c r="C9452" s="17"/>
      <c r="D9452" s="192"/>
      <c r="E9452" s="18"/>
      <c r="F9452" s="22" t="s">
        <v>26</v>
      </c>
      <c r="G9452" s="23">
        <f>SUM(G9446:G9451)</f>
        <v>2066.0920000000001</v>
      </c>
    </row>
    <row r="9453" spans="1:7" ht="15.75" thickBot="1">
      <c r="A9453" s="211" t="s">
        <v>515</v>
      </c>
      <c r="B9453" s="216" t="str">
        <f ca="1">_xlfn.CONCAT(B9420,A9453)</f>
        <v>2668838B-af</v>
      </c>
      <c r="C9453" s="10" t="s">
        <v>27</v>
      </c>
      <c r="D9453" s="190"/>
      <c r="E9453" s="11"/>
      <c r="F9453" s="12"/>
      <c r="G9453" s="13"/>
    </row>
    <row r="9454" spans="1:7" ht="14.25" thickBot="1">
      <c r="A9454" s="211" t="s">
        <v>516</v>
      </c>
      <c r="B9454" s="216" t="str">
        <f ca="1">_xlfn.CONCAT(B9420,A9454)</f>
        <v>2668838B-ag</v>
      </c>
      <c r="C9454" s="14" t="s">
        <v>1</v>
      </c>
      <c r="D9454" s="15" t="s">
        <v>28</v>
      </c>
      <c r="E9454" s="15" t="s">
        <v>20</v>
      </c>
      <c r="F9454" s="16" t="s">
        <v>21</v>
      </c>
      <c r="G9454" s="15" t="s">
        <v>5</v>
      </c>
    </row>
    <row r="9455" spans="1:7">
      <c r="A9455" s="211" t="s">
        <v>517</v>
      </c>
      <c r="B9455" s="216" t="str">
        <f ca="1">_xlfn.CONCAT(B9420,A9455)</f>
        <v>2668838B-ah</v>
      </c>
      <c r="C9455" s="30" t="s">
        <v>29</v>
      </c>
      <c r="D9455" s="186">
        <f>'H-MO'!$N$77</f>
        <v>725918.52892505517</v>
      </c>
      <c r="E9455" s="31">
        <f>+D9455/8</f>
        <v>90739.816115631897</v>
      </c>
      <c r="F9455" s="32">
        <v>1</v>
      </c>
      <c r="G9455" s="33">
        <f>+E9455*F9455</f>
        <v>90739.816115631897</v>
      </c>
    </row>
    <row r="9456" spans="1:7">
      <c r="A9456" s="211" t="s">
        <v>518</v>
      </c>
      <c r="B9456" s="216" t="str">
        <f ca="1">_xlfn.CONCAT(B9420,A9456)</f>
        <v>2668838B-ai</v>
      </c>
      <c r="C9456" s="34" t="s">
        <v>30</v>
      </c>
      <c r="D9456" s="187">
        <f>'H-MO'!$N$86</f>
        <v>685561.39085756091</v>
      </c>
      <c r="E9456" s="29">
        <f>+D9456/8</f>
        <v>85695.173857195114</v>
      </c>
      <c r="F9456" s="28"/>
      <c r="G9456" s="33">
        <f>+E9456*F9456</f>
        <v>0</v>
      </c>
    </row>
    <row r="9457" spans="1:8" ht="14.25" thickBot="1">
      <c r="A9457" s="211" t="s">
        <v>519</v>
      </c>
      <c r="B9457" s="216" t="str">
        <f ca="1">_xlfn.CONCAT(B9420,A9457)</f>
        <v>2668838B-aj</v>
      </c>
      <c r="C9457" s="34"/>
      <c r="D9457" s="187"/>
      <c r="E9457" s="29"/>
      <c r="F9457" s="28"/>
      <c r="G9457" s="33">
        <f>+E9457*F9457</f>
        <v>0</v>
      </c>
    </row>
    <row r="9458" spans="1:8" ht="14.25" thickBot="1">
      <c r="A9458" s="211" t="s">
        <v>520</v>
      </c>
      <c r="B9458" s="216" t="str">
        <f ca="1">_xlfn.CONCAT(B9420,A9458)</f>
        <v>2668838B-ak</v>
      </c>
      <c r="C9458" s="34"/>
      <c r="D9458" s="185"/>
      <c r="E9458" s="26"/>
      <c r="F9458" s="36" t="s">
        <v>31</v>
      </c>
      <c r="G9458" s="23">
        <f>SUM(G9455:G9457)</f>
        <v>90739.816115631897</v>
      </c>
    </row>
    <row r="9459" spans="1:8" ht="14.25" thickBot="1">
      <c r="A9459" s="211" t="s">
        <v>521</v>
      </c>
      <c r="B9459" s="216" t="str">
        <f ca="1">_xlfn.CONCAT(B9420,A9459)</f>
        <v>2668838B-al</v>
      </c>
      <c r="C9459" s="37"/>
      <c r="E9459" s="38"/>
      <c r="F9459" s="22"/>
      <c r="G9459" s="39"/>
    </row>
    <row r="9460" spans="1:8" ht="16.5" thickBot="1">
      <c r="A9460" s="211" t="s">
        <v>522</v>
      </c>
      <c r="B9460" s="216" t="str">
        <f ca="1">_xlfn.CONCAT(B9420,A9460)</f>
        <v>2668838B-am</v>
      </c>
      <c r="C9460" s="40"/>
      <c r="D9460" s="193"/>
      <c r="E9460" s="41"/>
      <c r="F9460" s="42"/>
      <c r="G9460" s="43">
        <f>+G9443+G9452+G9458</f>
        <v>266622.9081156319</v>
      </c>
    </row>
    <row r="9461" spans="1:8" ht="21.75" thickBot="1">
      <c r="B9461" s="212" t="s">
        <v>550</v>
      </c>
      <c r="C9461" s="2"/>
      <c r="D9461" s="183"/>
      <c r="F9461" s="4"/>
      <c r="G9461" s="5"/>
    </row>
    <row r="9462" spans="1:8" ht="18.75">
      <c r="A9462" s="213"/>
      <c r="B9462" s="214">
        <v>215</v>
      </c>
      <c r="C9462" s="242" t="str">
        <f ca="1">_xlfn.XLOOKUP(B9462,Cantidades!$A$10:$A$314,Cantidades!$C$10:$C$314,,0,1)</f>
        <v>Suministro e instalación de cable de aluminio 3x185 mm2 XLPE 15 kV</v>
      </c>
      <c r="D9462" s="243"/>
      <c r="E9462" s="243"/>
      <c r="F9462" s="243"/>
      <c r="G9462" s="244"/>
    </row>
    <row r="9463" spans="1:8" ht="19.5" thickBot="1">
      <c r="A9463" s="215"/>
      <c r="B9463" s="216" t="s">
        <v>550</v>
      </c>
      <c r="C9463" s="177"/>
      <c r="D9463" s="189"/>
      <c r="E9463" s="178"/>
      <c r="F9463" s="179" t="s">
        <v>636</v>
      </c>
      <c r="G9463" s="209" t="str">
        <f ca="1">B9464</f>
        <v>E5B17E7-</v>
      </c>
    </row>
    <row r="9464" spans="1:8" ht="15.75" thickBot="1">
      <c r="B9464" s="212" t="str">
        <f ca="1">_xlfn.XLOOKUP(C9462,Cantidades!$C$1:$C$314,Cantidades!$B$1:$B$314,"",0,1)</f>
        <v>E5B17E7-</v>
      </c>
      <c r="C9464" s="10" t="s">
        <v>0</v>
      </c>
      <c r="D9464" s="190"/>
      <c r="E9464" s="11"/>
      <c r="F9464" s="12"/>
      <c r="G9464" s="13"/>
    </row>
    <row r="9465" spans="1:8" ht="14.25" thickBot="1">
      <c r="A9465" s="215"/>
      <c r="B9465" s="216" t="s">
        <v>550</v>
      </c>
      <c r="C9465" s="14" t="s">
        <v>1</v>
      </c>
      <c r="D9465" s="15" t="s">
        <v>2</v>
      </c>
      <c r="E9465" s="15" t="s">
        <v>3</v>
      </c>
      <c r="F9465" s="16" t="s">
        <v>4</v>
      </c>
      <c r="G9465" s="15" t="s">
        <v>5</v>
      </c>
    </row>
    <row r="9466" spans="1:8">
      <c r="A9466" s="211" t="s">
        <v>484</v>
      </c>
      <c r="B9466" s="216" t="str">
        <f ca="1">_xlfn.CONCAT(B9464,A9466)</f>
        <v>E5B17E7-A</v>
      </c>
      <c r="C9466" s="17" t="str">
        <f>_xlfn.XLOOKUP(H9466,'Materiales unitario'!$A$1:$A$2500,'Materiales unitario'!B$1:B$2500,,0,1)</f>
        <v>Cable de Al. XLPE 100% 15KV. 185 mm. NC</v>
      </c>
      <c r="D9466" s="184" t="str">
        <f>_xlfn.XLOOKUP(H9466,'Materiales unitario'!A$1:A$2500,'Materiales unitario'!C$1:C$2500,,0,1)</f>
        <v>ml</v>
      </c>
      <c r="E9466" s="197">
        <f>_xlfn.XLOOKUP(H9466,'Materiales unitario'!$A$1:$A$2500,'Materiales unitario'!D$1:D$2500,,0,1)</f>
        <v>70345</v>
      </c>
      <c r="F9466" s="19">
        <v>3.15</v>
      </c>
      <c r="G9466" s="20">
        <f>+E9466*F9466</f>
        <v>221586.75</v>
      </c>
      <c r="H9466" s="211" t="s">
        <v>561</v>
      </c>
    </row>
    <row r="9467" spans="1:8">
      <c r="A9467" s="211" t="s">
        <v>485</v>
      </c>
      <c r="B9467" s="216" t="str">
        <f ca="1">_xlfn.CONCAT(B9464,A9467)</f>
        <v>E5B17E7-B</v>
      </c>
      <c r="C9467" s="17"/>
      <c r="D9467" s="184"/>
      <c r="E9467" s="197"/>
      <c r="F9467" s="19"/>
      <c r="G9467" s="20"/>
    </row>
    <row r="9468" spans="1:8">
      <c r="A9468" s="211" t="s">
        <v>486</v>
      </c>
      <c r="B9468" s="216" t="str">
        <f ca="1">_xlfn.CONCAT(B9464,A9468)</f>
        <v>E5B17E7-C</v>
      </c>
      <c r="C9468" s="17"/>
      <c r="D9468" s="184"/>
      <c r="E9468" s="197"/>
      <c r="F9468" s="19"/>
      <c r="G9468" s="20"/>
    </row>
    <row r="9469" spans="1:8">
      <c r="A9469" s="211" t="s">
        <v>487</v>
      </c>
      <c r="B9469" s="216" t="str">
        <f ca="1">_xlfn.CONCAT(B9464,A9469)</f>
        <v>E5B17E7-D</v>
      </c>
      <c r="C9469" s="17"/>
      <c r="D9469" s="184"/>
      <c r="E9469" s="197"/>
      <c r="F9469" s="19"/>
      <c r="G9469" s="20"/>
    </row>
    <row r="9470" spans="1:8">
      <c r="A9470" s="211" t="s">
        <v>488</v>
      </c>
      <c r="B9470" s="216" t="str">
        <f ca="1">_xlfn.CONCAT(B9464,A9470)</f>
        <v>E5B17E7-E</v>
      </c>
      <c r="C9470" s="17"/>
      <c r="D9470" s="184"/>
      <c r="E9470" s="197"/>
      <c r="F9470" s="19"/>
      <c r="G9470" s="20"/>
    </row>
    <row r="9471" spans="1:8">
      <c r="A9471" s="211" t="s">
        <v>489</v>
      </c>
      <c r="B9471" s="216" t="str">
        <f ca="1">_xlfn.CONCAT(B9464,A9471)</f>
        <v>E5B17E7-F</v>
      </c>
      <c r="C9471" s="17"/>
      <c r="D9471" s="184"/>
      <c r="E9471" s="197"/>
      <c r="F9471" s="19"/>
      <c r="G9471" s="20"/>
    </row>
    <row r="9472" spans="1:8">
      <c r="A9472" s="211" t="s">
        <v>490</v>
      </c>
      <c r="B9472" s="216" t="str">
        <f ca="1">_xlfn.CONCAT(B9464,A9472)</f>
        <v>E5B17E7-G</v>
      </c>
      <c r="C9472" s="17"/>
      <c r="D9472" s="184"/>
      <c r="E9472" s="197"/>
      <c r="F9472" s="19"/>
      <c r="G9472" s="20"/>
    </row>
    <row r="9473" spans="1:7">
      <c r="A9473" s="211" t="s">
        <v>491</v>
      </c>
      <c r="B9473" s="216" t="str">
        <f ca="1">_xlfn.CONCAT(B9464,A9473)</f>
        <v>E5B17E7-H</v>
      </c>
      <c r="C9473" s="17"/>
      <c r="D9473" s="184"/>
      <c r="E9473" s="197"/>
      <c r="F9473" s="19"/>
      <c r="G9473" s="20"/>
    </row>
    <row r="9474" spans="1:7">
      <c r="A9474" s="211" t="s">
        <v>492</v>
      </c>
      <c r="B9474" s="216" t="str">
        <f ca="1">_xlfn.CONCAT(B9464,A9474)</f>
        <v>E5B17E7-I</v>
      </c>
      <c r="C9474" s="17"/>
      <c r="D9474" s="184"/>
      <c r="E9474" s="197"/>
      <c r="F9474" s="19"/>
      <c r="G9474" s="20"/>
    </row>
    <row r="9475" spans="1:7">
      <c r="A9475" s="211" t="s">
        <v>493</v>
      </c>
      <c r="B9475" s="216" t="str">
        <f ca="1">_xlfn.CONCAT(B9464,A9475)</f>
        <v>E5B17E7-J</v>
      </c>
      <c r="C9475" s="17"/>
      <c r="D9475" s="184"/>
      <c r="E9475" s="197"/>
      <c r="F9475" s="19"/>
      <c r="G9475" s="20"/>
    </row>
    <row r="9476" spans="1:7">
      <c r="A9476" s="211" t="s">
        <v>494</v>
      </c>
      <c r="B9476" s="216" t="str">
        <f ca="1">_xlfn.CONCAT(B9464,A9476)</f>
        <v>E5B17E7-K</v>
      </c>
      <c r="C9476" s="17"/>
      <c r="D9476" s="184"/>
      <c r="E9476" s="197"/>
      <c r="F9476" s="19"/>
      <c r="G9476" s="20"/>
    </row>
    <row r="9477" spans="1:7">
      <c r="A9477" s="211" t="s">
        <v>495</v>
      </c>
      <c r="B9477" s="216" t="str">
        <f ca="1">_xlfn.CONCAT(B9464,A9477)</f>
        <v>E5B17E7-L</v>
      </c>
      <c r="C9477" s="17"/>
      <c r="D9477" s="184"/>
      <c r="E9477" s="197"/>
      <c r="F9477" s="19"/>
      <c r="G9477" s="20"/>
    </row>
    <row r="9478" spans="1:7">
      <c r="A9478" s="211" t="s">
        <v>496</v>
      </c>
      <c r="B9478" s="216" t="str">
        <f ca="1">_xlfn.CONCAT(B9464,A9478)</f>
        <v>E5B17E7-M</v>
      </c>
      <c r="C9478" s="17"/>
      <c r="D9478" s="184"/>
      <c r="E9478" s="197"/>
      <c r="F9478" s="19"/>
      <c r="G9478" s="20"/>
    </row>
    <row r="9479" spans="1:7">
      <c r="A9479" s="211" t="s">
        <v>497</v>
      </c>
      <c r="B9479" s="216" t="str">
        <f ca="1">_xlfn.CONCAT(B9464,A9479)</f>
        <v>E5B17E7-N</v>
      </c>
      <c r="C9479" s="17"/>
      <c r="D9479" s="184"/>
      <c r="E9479" s="197"/>
      <c r="F9479" s="19"/>
      <c r="G9479" s="20"/>
    </row>
    <row r="9480" spans="1:7">
      <c r="A9480" s="211" t="s">
        <v>498</v>
      </c>
      <c r="B9480" s="216" t="str">
        <f ca="1">_xlfn.CONCAT(B9464,A9480)</f>
        <v>E5B17E7-O</v>
      </c>
      <c r="C9480" s="17"/>
      <c r="D9480" s="184"/>
      <c r="E9480" s="197"/>
      <c r="F9480" s="19"/>
      <c r="G9480" s="20"/>
    </row>
    <row r="9481" spans="1:7">
      <c r="A9481" s="211" t="s">
        <v>499</v>
      </c>
      <c r="B9481" s="216" t="str">
        <f ca="1">_xlfn.CONCAT(B9464,A9481)</f>
        <v>E5B17E7-P</v>
      </c>
      <c r="C9481" s="17"/>
      <c r="D9481" s="184"/>
      <c r="E9481" s="197"/>
      <c r="F9481" s="19"/>
      <c r="G9481" s="20"/>
    </row>
    <row r="9482" spans="1:7">
      <c r="A9482" s="211" t="s">
        <v>500</v>
      </c>
      <c r="B9482" s="216" t="str">
        <f ca="1">_xlfn.CONCAT(B9464,A9482)</f>
        <v>E5B17E7-Q</v>
      </c>
      <c r="C9482" s="17"/>
      <c r="D9482" s="184"/>
      <c r="E9482" s="197"/>
      <c r="F9482" s="19"/>
      <c r="G9482" s="20"/>
    </row>
    <row r="9483" spans="1:7">
      <c r="A9483" s="211" t="s">
        <v>501</v>
      </c>
      <c r="B9483" s="216" t="str">
        <f ca="1">_xlfn.CONCAT(B9464,A9483)</f>
        <v>E5B17E7-R</v>
      </c>
      <c r="C9483" s="17"/>
      <c r="D9483" s="184"/>
      <c r="E9483" s="197"/>
      <c r="F9483" s="19"/>
      <c r="G9483" s="20"/>
    </row>
    <row r="9484" spans="1:7">
      <c r="A9484" s="211" t="s">
        <v>502</v>
      </c>
      <c r="B9484" s="216" t="str">
        <f ca="1">_xlfn.CONCAT(B9464,A9484)</f>
        <v>E5B17E7-S</v>
      </c>
      <c r="C9484" s="17"/>
      <c r="D9484" s="184"/>
      <c r="E9484" s="197"/>
      <c r="F9484" s="19"/>
      <c r="G9484" s="20"/>
    </row>
    <row r="9485" spans="1:7">
      <c r="A9485" s="211" t="s">
        <v>503</v>
      </c>
      <c r="B9485" s="216" t="str">
        <f ca="1">_xlfn.CONCAT(B9464,A9485)</f>
        <v>E5B17E7-T</v>
      </c>
      <c r="C9485" s="17"/>
      <c r="D9485" s="184"/>
      <c r="E9485" s="197"/>
      <c r="F9485" s="19"/>
      <c r="G9485" s="20"/>
    </row>
    <row r="9486" spans="1:7" ht="14.25" thickBot="1">
      <c r="A9486" s="211" t="s">
        <v>504</v>
      </c>
      <c r="B9486" s="216" t="str">
        <f ca="1">_xlfn.CONCAT(B9464,A9486)</f>
        <v>E5B17E7-U</v>
      </c>
      <c r="C9486" s="17"/>
      <c r="D9486" s="184"/>
      <c r="E9486" s="197"/>
      <c r="F9486" s="19"/>
      <c r="G9486" s="20"/>
    </row>
    <row r="9487" spans="1:7" ht="14.25" thickBot="1">
      <c r="A9487" s="211" t="s">
        <v>505</v>
      </c>
      <c r="B9487" s="216" t="str">
        <f ca="1">_xlfn.CONCAT(B9464,A9487)</f>
        <v>E5B17E7-V</v>
      </c>
      <c r="C9487" s="17" t="s">
        <v>17</v>
      </c>
      <c r="D9487" s="192" t="s">
        <v>17</v>
      </c>
      <c r="E9487" s="18"/>
      <c r="F9487" s="22" t="s">
        <v>18</v>
      </c>
      <c r="G9487" s="23">
        <f>SUM(G9466:G9486)</f>
        <v>221586.75</v>
      </c>
    </row>
    <row r="9488" spans="1:7" ht="15.75" thickBot="1">
      <c r="A9488" s="211" t="s">
        <v>506</v>
      </c>
      <c r="B9488" s="216" t="str">
        <f ca="1">_xlfn.CONCAT(B9464,A9488)</f>
        <v>E5B17E7-W</v>
      </c>
      <c r="C9488" s="10" t="s">
        <v>19</v>
      </c>
      <c r="D9488" s="190"/>
      <c r="E9488" s="11"/>
      <c r="F9488" s="12"/>
      <c r="G9488" s="13"/>
    </row>
    <row r="9489" spans="1:7" ht="14.25" thickBot="1">
      <c r="A9489" s="211" t="s">
        <v>507</v>
      </c>
      <c r="B9489" s="216" t="str">
        <f ca="1">_xlfn.CONCAT(B9464,A9489)</f>
        <v>E5B17E7-X</v>
      </c>
      <c r="C9489" s="14" t="s">
        <v>1</v>
      </c>
      <c r="D9489" s="15"/>
      <c r="E9489" s="15" t="s">
        <v>20</v>
      </c>
      <c r="F9489" s="16" t="s">
        <v>21</v>
      </c>
      <c r="G9489" s="15" t="s">
        <v>5</v>
      </c>
    </row>
    <row r="9490" spans="1:7">
      <c r="A9490" s="211" t="s">
        <v>508</v>
      </c>
      <c r="B9490" s="216" t="str">
        <f ca="1">_xlfn.CONCAT(B9464,A9490)</f>
        <v>E5B17E7-Y</v>
      </c>
      <c r="C9490" s="24" t="s">
        <v>22</v>
      </c>
      <c r="D9490" s="184"/>
      <c r="E9490" s="25">
        <f>_xlfn.XLOOKUP(C9490,'H-MO'!B$7:B$30,'H-MO'!D$7:D$30,,0,1)</f>
        <v>2436.5624999999995</v>
      </c>
      <c r="F9490" s="19">
        <v>0.21198840579710146</v>
      </c>
      <c r="G9490" s="33">
        <f t="shared" ref="G9490:G9495" si="272">+E9490*F9490</f>
        <v>516.52299999999991</v>
      </c>
    </row>
    <row r="9491" spans="1:7">
      <c r="A9491" s="211" t="s">
        <v>509</v>
      </c>
      <c r="B9491" s="216" t="str">
        <f ca="1">_xlfn.CONCAT(B9464,A9491)</f>
        <v>E5B17E7-Z</v>
      </c>
      <c r="C9491" s="24" t="s">
        <v>23</v>
      </c>
      <c r="D9491" s="184"/>
      <c r="E9491" s="25">
        <f>_xlfn.XLOOKUP(C9491,'H-MO'!B$7:B$30,'H-MO'!D$7:D$30,,0,1)</f>
        <v>1461.9374999999998</v>
      </c>
      <c r="F9491" s="19">
        <v>0.23</v>
      </c>
      <c r="G9491" s="33">
        <f t="shared" si="272"/>
        <v>336.24562499999996</v>
      </c>
    </row>
    <row r="9492" spans="1:7">
      <c r="A9492" s="211" t="s">
        <v>510</v>
      </c>
      <c r="B9492" s="216" t="str">
        <f ca="1">_xlfn.CONCAT(B9464,A9492)</f>
        <v>E5B17E7-aa</v>
      </c>
      <c r="C9492" s="24" t="s">
        <v>24</v>
      </c>
      <c r="D9492" s="185"/>
      <c r="E9492" s="25">
        <f>_xlfn.XLOOKUP(C9492,'H-MO'!B$7:B$30,'H-MO'!D$7:D$30,,0,1)</f>
        <v>29238.749999999996</v>
      </c>
      <c r="F9492" s="28">
        <v>1.4999999999999999E-2</v>
      </c>
      <c r="G9492" s="33">
        <f t="shared" si="272"/>
        <v>438.58124999999995</v>
      </c>
    </row>
    <row r="9493" spans="1:7">
      <c r="A9493" s="211" t="s">
        <v>511</v>
      </c>
      <c r="B9493" s="216" t="str">
        <f ca="1">_xlfn.CONCAT(B9464,A9493)</f>
        <v>E5B17E7-ab</v>
      </c>
      <c r="C9493" s="24" t="s">
        <v>25</v>
      </c>
      <c r="D9493" s="185"/>
      <c r="E9493" s="25">
        <f>_xlfn.XLOOKUP(C9493,'H-MO'!B$7:B$30,'H-MO'!D$7:D$30,,0,1)</f>
        <v>2761.4374999999995</v>
      </c>
      <c r="F9493" s="28">
        <v>0.7</v>
      </c>
      <c r="G9493" s="33">
        <f t="shared" si="272"/>
        <v>1933.0062499999995</v>
      </c>
    </row>
    <row r="9494" spans="1:7">
      <c r="A9494" s="211" t="s">
        <v>512</v>
      </c>
      <c r="B9494" s="216" t="str">
        <f ca="1">_xlfn.CONCAT(B9464,A9494)</f>
        <v>E5B17E7-ac</v>
      </c>
      <c r="C9494" s="24"/>
      <c r="D9494" s="185"/>
      <c r="E9494" s="29"/>
      <c r="F9494" s="28"/>
      <c r="G9494" s="33">
        <f t="shared" si="272"/>
        <v>0</v>
      </c>
    </row>
    <row r="9495" spans="1:7" ht="14.25" thickBot="1">
      <c r="A9495" s="211" t="s">
        <v>513</v>
      </c>
      <c r="B9495" s="216" t="str">
        <f ca="1">_xlfn.CONCAT(B9464,A9495)</f>
        <v>E5B17E7-ad</v>
      </c>
      <c r="C9495" s="24"/>
      <c r="D9495" s="185"/>
      <c r="E9495" s="29"/>
      <c r="F9495" s="28"/>
      <c r="G9495" s="33">
        <f t="shared" si="272"/>
        <v>0</v>
      </c>
    </row>
    <row r="9496" spans="1:7" ht="14.25" thickBot="1">
      <c r="A9496" s="211" t="s">
        <v>514</v>
      </c>
      <c r="B9496" s="216" t="str">
        <f ca="1">_xlfn.CONCAT(B9464,A9496)</f>
        <v>E5B17E7-ae</v>
      </c>
      <c r="C9496" s="17"/>
      <c r="D9496" s="192"/>
      <c r="E9496" s="18"/>
      <c r="F9496" s="22" t="s">
        <v>26</v>
      </c>
      <c r="G9496" s="23">
        <f>SUM(G9490:G9495)</f>
        <v>3224.3561249999993</v>
      </c>
    </row>
    <row r="9497" spans="1:7" ht="15.75" thickBot="1">
      <c r="A9497" s="211" t="s">
        <v>515</v>
      </c>
      <c r="B9497" s="216" t="str">
        <f ca="1">_xlfn.CONCAT(B9464,A9497)</f>
        <v>E5B17E7-af</v>
      </c>
      <c r="C9497" s="10" t="s">
        <v>27</v>
      </c>
      <c r="D9497" s="190"/>
      <c r="E9497" s="11"/>
      <c r="F9497" s="12"/>
      <c r="G9497" s="13"/>
    </row>
    <row r="9498" spans="1:7" ht="14.25" thickBot="1">
      <c r="A9498" s="211" t="s">
        <v>516</v>
      </c>
      <c r="B9498" s="216" t="str">
        <f ca="1">_xlfn.CONCAT(B9464,A9498)</f>
        <v>E5B17E7-ag</v>
      </c>
      <c r="C9498" s="14" t="s">
        <v>1</v>
      </c>
      <c r="D9498" s="15" t="s">
        <v>28</v>
      </c>
      <c r="E9498" s="15" t="s">
        <v>20</v>
      </c>
      <c r="F9498" s="16" t="s">
        <v>21</v>
      </c>
      <c r="G9498" s="15" t="s">
        <v>5</v>
      </c>
    </row>
    <row r="9499" spans="1:7">
      <c r="A9499" s="211" t="s">
        <v>517</v>
      </c>
      <c r="B9499" s="216" t="str">
        <f ca="1">_xlfn.CONCAT(B9464,A9499)</f>
        <v>E5B17E7-ah</v>
      </c>
      <c r="C9499" s="30" t="s">
        <v>29</v>
      </c>
      <c r="D9499" s="186">
        <f>'H-MO'!$N$77</f>
        <v>725918.52892505517</v>
      </c>
      <c r="E9499" s="31">
        <f>+D9499/8</f>
        <v>90739.816115631897</v>
      </c>
      <c r="F9499" s="32">
        <v>0.8</v>
      </c>
      <c r="G9499" s="33">
        <f>+E9499*F9499</f>
        <v>72591.852892505514</v>
      </c>
    </row>
    <row r="9500" spans="1:7">
      <c r="A9500" s="211" t="s">
        <v>518</v>
      </c>
      <c r="B9500" s="216" t="str">
        <f ca="1">_xlfn.CONCAT(B9464,A9500)</f>
        <v>E5B17E7-ai</v>
      </c>
      <c r="C9500" s="34" t="s">
        <v>30</v>
      </c>
      <c r="D9500" s="187">
        <f>'H-MO'!$N$86</f>
        <v>685561.39085756091</v>
      </c>
      <c r="E9500" s="29">
        <f>+D9500/8</f>
        <v>85695.173857195114</v>
      </c>
      <c r="F9500" s="28"/>
      <c r="G9500" s="33">
        <f>+E9500*F9500</f>
        <v>0</v>
      </c>
    </row>
    <row r="9501" spans="1:7" ht="14.25" thickBot="1">
      <c r="A9501" s="211" t="s">
        <v>519</v>
      </c>
      <c r="B9501" s="216" t="str">
        <f ca="1">_xlfn.CONCAT(B9464,A9501)</f>
        <v>E5B17E7-aj</v>
      </c>
      <c r="C9501" s="34"/>
      <c r="D9501" s="187"/>
      <c r="E9501" s="29"/>
      <c r="F9501" s="28"/>
      <c r="G9501" s="33">
        <f>+E9501*F9501</f>
        <v>0</v>
      </c>
    </row>
    <row r="9502" spans="1:7" ht="14.25" thickBot="1">
      <c r="A9502" s="211" t="s">
        <v>520</v>
      </c>
      <c r="B9502" s="216" t="str">
        <f ca="1">_xlfn.CONCAT(B9464,A9502)</f>
        <v>E5B17E7-ak</v>
      </c>
      <c r="C9502" s="34"/>
      <c r="D9502" s="185"/>
      <c r="E9502" s="26"/>
      <c r="F9502" s="36" t="s">
        <v>31</v>
      </c>
      <c r="G9502" s="23">
        <f>SUM(G9499:G9501)</f>
        <v>72591.852892505514</v>
      </c>
    </row>
    <row r="9503" spans="1:7" ht="14.25" thickBot="1">
      <c r="A9503" s="211" t="s">
        <v>521</v>
      </c>
      <c r="B9503" s="216" t="str">
        <f ca="1">_xlfn.CONCAT(B9464,A9503)</f>
        <v>E5B17E7-al</v>
      </c>
      <c r="C9503" s="37"/>
      <c r="E9503" s="38"/>
      <c r="F9503" s="22"/>
      <c r="G9503" s="39"/>
    </row>
    <row r="9504" spans="1:7" ht="16.5" thickBot="1">
      <c r="A9504" s="211" t="s">
        <v>522</v>
      </c>
      <c r="B9504" s="216" t="str">
        <f ca="1">_xlfn.CONCAT(B9464,A9504)</f>
        <v>E5B17E7-am</v>
      </c>
      <c r="C9504" s="40"/>
      <c r="D9504" s="193"/>
      <c r="E9504" s="41"/>
      <c r="F9504" s="42"/>
      <c r="G9504" s="43">
        <f>+G9487+G9496+G9502</f>
        <v>297402.95901750552</v>
      </c>
    </row>
    <row r="9505" spans="1:8" ht="21.75" thickBot="1">
      <c r="B9505" s="212" t="s">
        <v>550</v>
      </c>
      <c r="C9505" s="2"/>
      <c r="D9505" s="183"/>
      <c r="F9505" s="4"/>
      <c r="G9505" s="5"/>
    </row>
    <row r="9506" spans="1:8" ht="18.75">
      <c r="A9506" s="213"/>
      <c r="B9506" s="214">
        <v>216</v>
      </c>
      <c r="C9506" s="242" t="str">
        <f ca="1">_xlfn.XLOOKUP(B9506,Cantidades!$A$10:$A$314,Cantidades!$C$10:$C$314,,0,1)</f>
        <v>Suministro e instalación de afloramiento 1Ø6" IMC. Incluye tubería, 1 capacetes, 1 union, 1 curva, cinta de señalización, cinta de acero inoxidable y demás elementos para su correta instalación.</v>
      </c>
      <c r="D9506" s="243"/>
      <c r="E9506" s="243"/>
      <c r="F9506" s="243"/>
      <c r="G9506" s="244"/>
    </row>
    <row r="9507" spans="1:8" ht="19.5" thickBot="1">
      <c r="A9507" s="215"/>
      <c r="B9507" s="216" t="s">
        <v>550</v>
      </c>
      <c r="C9507" s="177"/>
      <c r="D9507" s="189"/>
      <c r="E9507" s="178"/>
      <c r="F9507" s="179" t="s">
        <v>636</v>
      </c>
      <c r="G9507" s="209" t="str">
        <f ca="1">B9508</f>
        <v>31FECDAD-</v>
      </c>
    </row>
    <row r="9508" spans="1:8" ht="15.75" thickBot="1">
      <c r="B9508" s="212" t="str">
        <f ca="1">_xlfn.XLOOKUP(C9506,Cantidades!$C$1:$C$314,Cantidades!$B$1:$B$314,"",0,1)</f>
        <v>31FECDAD-</v>
      </c>
      <c r="C9508" s="10" t="s">
        <v>0</v>
      </c>
      <c r="D9508" s="190"/>
      <c r="E9508" s="11"/>
      <c r="F9508" s="12"/>
      <c r="G9508" s="13"/>
    </row>
    <row r="9509" spans="1:8" ht="14.25" thickBot="1">
      <c r="A9509" s="215"/>
      <c r="B9509" s="216" t="s">
        <v>550</v>
      </c>
      <c r="C9509" s="14" t="s">
        <v>1</v>
      </c>
      <c r="D9509" s="15" t="s">
        <v>2</v>
      </c>
      <c r="E9509" s="15" t="s">
        <v>3</v>
      </c>
      <c r="F9509" s="16" t="s">
        <v>4</v>
      </c>
      <c r="G9509" s="15" t="s">
        <v>5</v>
      </c>
    </row>
    <row r="9510" spans="1:8" ht="15">
      <c r="A9510" s="211" t="s">
        <v>484</v>
      </c>
      <c r="B9510" s="216" t="str">
        <f ca="1">_xlfn.CONCAT(B9508,A9510)</f>
        <v>31FECDAD-A</v>
      </c>
      <c r="C9510" s="17" t="str">
        <f>_xlfn.XLOOKUP(H9510,'Materiales unitario'!$A$1:$A$2500,'Materiales unitario'!B$1:B$2500,,0,1)</f>
        <v xml:space="preserve">Tubo metálico galv. Ø6" IMC </v>
      </c>
      <c r="D9510" s="184" t="str">
        <f>_xlfn.XLOOKUP(H9510,'Materiales unitario'!A$1:A$2500,'Materiales unitario'!C$1:C$2500,,0,1)</f>
        <v>ml</v>
      </c>
      <c r="E9510" s="197">
        <f>_xlfn.XLOOKUP(H9510,'Materiales unitario'!$A$1:$A$2500,'Materiales unitario'!D$1:D$2500,,0,1)</f>
        <v>545700</v>
      </c>
      <c r="F9510" s="19">
        <v>6</v>
      </c>
      <c r="G9510" s="20">
        <f>+E9510*F9510</f>
        <v>3274200</v>
      </c>
      <c r="H9510" s="217" t="s">
        <v>1573</v>
      </c>
    </row>
    <row r="9511" spans="1:8" ht="15">
      <c r="A9511" s="211" t="s">
        <v>485</v>
      </c>
      <c r="B9511" s="216" t="str">
        <f ca="1">_xlfn.CONCAT(B9508,A9511)</f>
        <v>31FECDAD-B</v>
      </c>
      <c r="C9511" s="17" t="str">
        <f>_xlfn.XLOOKUP(H9511,'Materiales unitario'!$A$1:$A$2500,'Materiales unitario'!B$1:B$2500,,0,1)</f>
        <v>Capacete en aluminio fundido ø6"</v>
      </c>
      <c r="D9511" s="184" t="str">
        <f>_xlfn.XLOOKUP(H9511,'Materiales unitario'!A$1:A$2500,'Materiales unitario'!C$1:C$2500,,0,1)</f>
        <v>un</v>
      </c>
      <c r="E9511" s="197">
        <f>_xlfn.XLOOKUP(H9511,'Materiales unitario'!$A$1:$A$2500,'Materiales unitario'!D$1:D$2500,,0,1)</f>
        <v>325640</v>
      </c>
      <c r="F9511" s="19">
        <v>1</v>
      </c>
      <c r="G9511" s="20">
        <f>+E9511*F9511</f>
        <v>325640</v>
      </c>
      <c r="H9511" s="217" t="s">
        <v>1575</v>
      </c>
    </row>
    <row r="9512" spans="1:8" ht="15">
      <c r="A9512" s="211" t="s">
        <v>486</v>
      </c>
      <c r="B9512" s="216" t="str">
        <f ca="1">_xlfn.CONCAT(B9508,A9512)</f>
        <v>31FECDAD-C</v>
      </c>
      <c r="C9512" s="17" t="str">
        <f>_xlfn.XLOOKUP(H9512,'Materiales unitario'!$A$1:$A$2500,'Materiales unitario'!B$1:B$2500,,0,1)</f>
        <v>Union metalica galv. IMC ø6"</v>
      </c>
      <c r="D9512" s="184" t="str">
        <f>_xlfn.XLOOKUP(H9512,'Materiales unitario'!A$1:A$2500,'Materiales unitario'!C$1:C$2500,,0,1)</f>
        <v>un</v>
      </c>
      <c r="E9512" s="197">
        <f>_xlfn.XLOOKUP(H9512,'Materiales unitario'!$A$1:$A$2500,'Materiales unitario'!D$1:D$2500,,0,1)</f>
        <v>94670</v>
      </c>
      <c r="F9512" s="19">
        <v>1</v>
      </c>
      <c r="G9512" s="20">
        <f>+E9512*F9512</f>
        <v>94670</v>
      </c>
      <c r="H9512" s="217" t="s">
        <v>1577</v>
      </c>
    </row>
    <row r="9513" spans="1:8" ht="15">
      <c r="A9513" s="211" t="s">
        <v>487</v>
      </c>
      <c r="B9513" s="216" t="str">
        <f ca="1">_xlfn.CONCAT(B9508,A9513)</f>
        <v>31FECDAD-D</v>
      </c>
      <c r="C9513" s="17" t="str">
        <f>_xlfn.XLOOKUP(H9513,'Materiales unitario'!$A$1:$A$2500,'Materiales unitario'!B$1:B$2500,,0,1)</f>
        <v>Curva PVC ø6"</v>
      </c>
      <c r="D9513" s="184" t="str">
        <f>_xlfn.XLOOKUP(H9513,'Materiales unitario'!A$1:A$2500,'Materiales unitario'!C$1:C$2500,,0,1)</f>
        <v>un</v>
      </c>
      <c r="E9513" s="197">
        <f>_xlfn.XLOOKUP(H9513,'Materiales unitario'!$A$1:$A$2500,'Materiales unitario'!D$1:D$2500,,0,1)</f>
        <v>124560</v>
      </c>
      <c r="F9513" s="19">
        <v>1</v>
      </c>
      <c r="G9513" s="20">
        <f>+E9513*F9513</f>
        <v>124560</v>
      </c>
      <c r="H9513" s="217" t="s">
        <v>1579</v>
      </c>
    </row>
    <row r="9514" spans="1:8" ht="15">
      <c r="A9514" s="211" t="s">
        <v>488</v>
      </c>
      <c r="B9514" s="216" t="str">
        <f ca="1">_xlfn.CONCAT(B9508,A9514)</f>
        <v>31FECDAD-E</v>
      </c>
      <c r="C9514" s="17" t="str">
        <f>_xlfn.XLOOKUP(H9514,'Materiales unitario'!$A$1:$A$2500,'Materiales unitario'!B$1:B$2500,,0,1)</f>
        <v>Cinta Band - It  ø3/8"</v>
      </c>
      <c r="D9514" s="184" t="str">
        <f>_xlfn.XLOOKUP(H9514,'Materiales unitario'!A$1:A$2500,'Materiales unitario'!C$1:C$2500,,0,1)</f>
        <v>ml</v>
      </c>
      <c r="E9514" s="197">
        <f>_xlfn.XLOOKUP(H9514,'Materiales unitario'!$A$1:$A$2500,'Materiales unitario'!D$1:D$2500,,0,1)</f>
        <v>2856</v>
      </c>
      <c r="F9514" s="19">
        <v>14</v>
      </c>
      <c r="G9514" s="20">
        <f>+E9514*F9514</f>
        <v>39984</v>
      </c>
      <c r="H9514" s="217" t="s">
        <v>297</v>
      </c>
    </row>
    <row r="9515" spans="1:8" ht="15">
      <c r="A9515" s="211" t="s">
        <v>489</v>
      </c>
      <c r="B9515" s="216" t="str">
        <f ca="1">_xlfn.CONCAT(B9508,A9515)</f>
        <v>31FECDAD-F</v>
      </c>
      <c r="C9515" s="17"/>
      <c r="D9515" s="184"/>
      <c r="E9515" s="197"/>
      <c r="F9515" s="19"/>
      <c r="G9515" s="20"/>
      <c r="H9515" s="217"/>
    </row>
    <row r="9516" spans="1:8" ht="15">
      <c r="A9516" s="211" t="s">
        <v>490</v>
      </c>
      <c r="B9516" s="216" t="str">
        <f ca="1">_xlfn.CONCAT(B9508,A9516)</f>
        <v>31FECDAD-G</v>
      </c>
      <c r="C9516" s="17"/>
      <c r="D9516" s="184"/>
      <c r="E9516" s="197"/>
      <c r="F9516" s="19"/>
      <c r="G9516" s="20"/>
      <c r="H9516" s="217"/>
    </row>
    <row r="9517" spans="1:8" ht="15">
      <c r="A9517" s="211" t="s">
        <v>491</v>
      </c>
      <c r="B9517" s="216" t="str">
        <f ca="1">_xlfn.CONCAT(B9508,A9517)</f>
        <v>31FECDAD-H</v>
      </c>
      <c r="C9517" s="17"/>
      <c r="D9517" s="184"/>
      <c r="E9517" s="197"/>
      <c r="F9517" s="19"/>
      <c r="G9517" s="20"/>
      <c r="H9517" s="217"/>
    </row>
    <row r="9518" spans="1:8" ht="15">
      <c r="A9518" s="211" t="s">
        <v>492</v>
      </c>
      <c r="B9518" s="216" t="str">
        <f ca="1">_xlfn.CONCAT(B9508,A9518)</f>
        <v>31FECDAD-I</v>
      </c>
      <c r="C9518" s="17"/>
      <c r="D9518" s="184"/>
      <c r="E9518" s="197"/>
      <c r="F9518" s="19"/>
      <c r="G9518" s="20"/>
      <c r="H9518" s="217"/>
    </row>
    <row r="9519" spans="1:8" ht="15">
      <c r="A9519" s="211" t="s">
        <v>493</v>
      </c>
      <c r="B9519" s="216" t="str">
        <f ca="1">_xlfn.CONCAT(B9508,A9519)</f>
        <v>31FECDAD-J</v>
      </c>
      <c r="C9519" s="17"/>
      <c r="D9519" s="184"/>
      <c r="E9519" s="197"/>
      <c r="F9519" s="19"/>
      <c r="G9519" s="20"/>
      <c r="H9519" s="217"/>
    </row>
    <row r="9520" spans="1:8">
      <c r="A9520" s="211" t="s">
        <v>494</v>
      </c>
      <c r="B9520" s="216" t="str">
        <f ca="1">_xlfn.CONCAT(B9508,A9520)</f>
        <v>31FECDAD-K</v>
      </c>
      <c r="C9520" s="17"/>
      <c r="D9520" s="184"/>
      <c r="E9520" s="197"/>
      <c r="F9520" s="19"/>
      <c r="G9520" s="20"/>
    </row>
    <row r="9521" spans="1:7">
      <c r="A9521" s="211" t="s">
        <v>495</v>
      </c>
      <c r="B9521" s="216" t="str">
        <f ca="1">_xlfn.CONCAT(B9508,A9521)</f>
        <v>31FECDAD-L</v>
      </c>
      <c r="C9521" s="17"/>
      <c r="D9521" s="184"/>
      <c r="E9521" s="197"/>
      <c r="F9521" s="19"/>
      <c r="G9521" s="20"/>
    </row>
    <row r="9522" spans="1:7">
      <c r="A9522" s="211" t="s">
        <v>496</v>
      </c>
      <c r="B9522" s="216" t="str">
        <f ca="1">_xlfn.CONCAT(B9508,A9522)</f>
        <v>31FECDAD-M</v>
      </c>
      <c r="C9522" s="17"/>
      <c r="D9522" s="184"/>
      <c r="E9522" s="197"/>
      <c r="F9522" s="19"/>
      <c r="G9522" s="20"/>
    </row>
    <row r="9523" spans="1:7">
      <c r="A9523" s="211" t="s">
        <v>497</v>
      </c>
      <c r="B9523" s="216" t="str">
        <f ca="1">_xlfn.CONCAT(B9508,A9523)</f>
        <v>31FECDAD-N</v>
      </c>
      <c r="C9523" s="17"/>
      <c r="D9523" s="184"/>
      <c r="E9523" s="197"/>
      <c r="F9523" s="19"/>
      <c r="G9523" s="20"/>
    </row>
    <row r="9524" spans="1:7">
      <c r="A9524" s="211" t="s">
        <v>498</v>
      </c>
      <c r="B9524" s="216" t="str">
        <f ca="1">_xlfn.CONCAT(B9508,A9524)</f>
        <v>31FECDAD-O</v>
      </c>
      <c r="C9524" s="17"/>
      <c r="D9524" s="184"/>
      <c r="E9524" s="197"/>
      <c r="F9524" s="19"/>
      <c r="G9524" s="20"/>
    </row>
    <row r="9525" spans="1:7">
      <c r="A9525" s="211" t="s">
        <v>499</v>
      </c>
      <c r="B9525" s="216" t="str">
        <f ca="1">_xlfn.CONCAT(B9508,A9525)</f>
        <v>31FECDAD-P</v>
      </c>
      <c r="C9525" s="17"/>
      <c r="D9525" s="184"/>
      <c r="E9525" s="197"/>
      <c r="F9525" s="19"/>
      <c r="G9525" s="20"/>
    </row>
    <row r="9526" spans="1:7">
      <c r="A9526" s="211" t="s">
        <v>500</v>
      </c>
      <c r="B9526" s="216" t="str">
        <f ca="1">_xlfn.CONCAT(B9508,A9526)</f>
        <v>31FECDAD-Q</v>
      </c>
      <c r="C9526" s="17"/>
      <c r="D9526" s="184"/>
      <c r="E9526" s="197"/>
      <c r="F9526" s="19"/>
      <c r="G9526" s="20"/>
    </row>
    <row r="9527" spans="1:7">
      <c r="A9527" s="211" t="s">
        <v>501</v>
      </c>
      <c r="B9527" s="216" t="str">
        <f ca="1">_xlfn.CONCAT(B9508,A9527)</f>
        <v>31FECDAD-R</v>
      </c>
      <c r="C9527" s="17"/>
      <c r="D9527" s="184"/>
      <c r="E9527" s="197"/>
      <c r="F9527" s="19"/>
      <c r="G9527" s="20"/>
    </row>
    <row r="9528" spans="1:7">
      <c r="A9528" s="211" t="s">
        <v>502</v>
      </c>
      <c r="B9528" s="216" t="str">
        <f ca="1">_xlfn.CONCAT(B9508,A9528)</f>
        <v>31FECDAD-S</v>
      </c>
      <c r="C9528" s="17"/>
      <c r="D9528" s="184"/>
      <c r="E9528" s="197"/>
      <c r="F9528" s="19"/>
      <c r="G9528" s="20"/>
    </row>
    <row r="9529" spans="1:7">
      <c r="A9529" s="211" t="s">
        <v>503</v>
      </c>
      <c r="B9529" s="216" t="str">
        <f ca="1">_xlfn.CONCAT(B9508,A9529)</f>
        <v>31FECDAD-T</v>
      </c>
      <c r="C9529" s="17"/>
      <c r="D9529" s="184"/>
      <c r="E9529" s="197"/>
      <c r="F9529" s="19"/>
      <c r="G9529" s="20"/>
    </row>
    <row r="9530" spans="1:7" ht="14.25" thickBot="1">
      <c r="A9530" s="211" t="s">
        <v>504</v>
      </c>
      <c r="B9530" s="216" t="str">
        <f ca="1">_xlfn.CONCAT(B9508,A9530)</f>
        <v>31FECDAD-U</v>
      </c>
      <c r="C9530" s="17"/>
      <c r="D9530" s="184"/>
      <c r="E9530" s="197"/>
      <c r="F9530" s="19"/>
      <c r="G9530" s="20"/>
    </row>
    <row r="9531" spans="1:7" ht="14.25" thickBot="1">
      <c r="A9531" s="211" t="s">
        <v>505</v>
      </c>
      <c r="B9531" s="216" t="str">
        <f ca="1">_xlfn.CONCAT(B9508,A9531)</f>
        <v>31FECDAD-V</v>
      </c>
      <c r="C9531" s="17" t="s">
        <v>17</v>
      </c>
      <c r="D9531" s="192" t="s">
        <v>17</v>
      </c>
      <c r="E9531" s="18"/>
      <c r="F9531" s="22" t="s">
        <v>18</v>
      </c>
      <c r="G9531" s="23">
        <f>SUM(G9510:G9530)</f>
        <v>3859054</v>
      </c>
    </row>
    <row r="9532" spans="1:7" ht="15.75" thickBot="1">
      <c r="A9532" s="211" t="s">
        <v>506</v>
      </c>
      <c r="B9532" s="216" t="str">
        <f ca="1">_xlfn.CONCAT(B9508,A9532)</f>
        <v>31FECDAD-W</v>
      </c>
      <c r="C9532" s="10" t="s">
        <v>19</v>
      </c>
      <c r="D9532" s="190"/>
      <c r="E9532" s="11"/>
      <c r="F9532" s="12"/>
      <c r="G9532" s="13"/>
    </row>
    <row r="9533" spans="1:7" ht="14.25" thickBot="1">
      <c r="A9533" s="211" t="s">
        <v>507</v>
      </c>
      <c r="B9533" s="216" t="str">
        <f ca="1">_xlfn.CONCAT(B9508,A9533)</f>
        <v>31FECDAD-X</v>
      </c>
      <c r="C9533" s="14" t="s">
        <v>1</v>
      </c>
      <c r="D9533" s="15"/>
      <c r="E9533" s="15" t="s">
        <v>20</v>
      </c>
      <c r="F9533" s="16" t="s">
        <v>21</v>
      </c>
      <c r="G9533" s="15" t="s">
        <v>5</v>
      </c>
    </row>
    <row r="9534" spans="1:7">
      <c r="A9534" s="211" t="s">
        <v>508</v>
      </c>
      <c r="B9534" s="216" t="str">
        <f ca="1">_xlfn.CONCAT(B9508,A9534)</f>
        <v>31FECDAD-Y</v>
      </c>
      <c r="C9534" s="24" t="s">
        <v>22</v>
      </c>
      <c r="D9534" s="184"/>
      <c r="E9534" s="25">
        <f>_xlfn.XLOOKUP(C9534,'H-MO'!B$7:B$30,'H-MO'!D$7:D$30,,0,1)</f>
        <v>2436.5624999999995</v>
      </c>
      <c r="F9534" s="19">
        <v>4</v>
      </c>
      <c r="G9534" s="33">
        <f t="shared" ref="G9534:G9539" si="273">+E9534*F9534</f>
        <v>9746.2499999999982</v>
      </c>
    </row>
    <row r="9535" spans="1:7">
      <c r="A9535" s="211" t="s">
        <v>509</v>
      </c>
      <c r="B9535" s="216" t="str">
        <f ca="1">_xlfn.CONCAT(B9508,A9535)</f>
        <v>31FECDAD-Z</v>
      </c>
      <c r="C9535" s="24" t="s">
        <v>23</v>
      </c>
      <c r="D9535" s="184"/>
      <c r="E9535" s="25">
        <f>_xlfn.XLOOKUP(C9535,'H-MO'!B$7:B$30,'H-MO'!D$7:D$30,,0,1)</f>
        <v>1461.9374999999998</v>
      </c>
      <c r="F9535" s="19">
        <v>6</v>
      </c>
      <c r="G9535" s="33">
        <f t="shared" si="273"/>
        <v>8771.6249999999982</v>
      </c>
    </row>
    <row r="9536" spans="1:7">
      <c r="A9536" s="211" t="s">
        <v>510</v>
      </c>
      <c r="B9536" s="216" t="str">
        <f ca="1">_xlfn.CONCAT(B9508,A9536)</f>
        <v>31FECDAD-aa</v>
      </c>
      <c r="C9536" s="24" t="s">
        <v>24</v>
      </c>
      <c r="D9536" s="185"/>
      <c r="E9536" s="25">
        <f>_xlfn.XLOOKUP(C9536,'H-MO'!B$7:B$30,'H-MO'!D$7:D$30,,0,1)</f>
        <v>29238.749999999996</v>
      </c>
      <c r="F9536" s="28">
        <v>2</v>
      </c>
      <c r="G9536" s="33">
        <f t="shared" si="273"/>
        <v>58477.499999999993</v>
      </c>
    </row>
    <row r="9537" spans="1:7">
      <c r="A9537" s="211" t="s">
        <v>511</v>
      </c>
      <c r="B9537" s="216" t="str">
        <f ca="1">_xlfn.CONCAT(B9508,A9537)</f>
        <v>31FECDAD-ab</v>
      </c>
      <c r="C9537" s="24" t="s">
        <v>25</v>
      </c>
      <c r="D9537" s="185"/>
      <c r="E9537" s="25">
        <f>_xlfn.XLOOKUP(C9537,'H-MO'!B$7:B$30,'H-MO'!D$7:D$30,,0,1)</f>
        <v>2761.4374999999995</v>
      </c>
      <c r="F9537" s="28">
        <v>12</v>
      </c>
      <c r="G9537" s="33">
        <f t="shared" si="273"/>
        <v>33137.249999999993</v>
      </c>
    </row>
    <row r="9538" spans="1:7">
      <c r="A9538" s="211" t="s">
        <v>512</v>
      </c>
      <c r="B9538" s="216" t="str">
        <f ca="1">_xlfn.CONCAT(B9508,A9538)</f>
        <v>31FECDAD-ac</v>
      </c>
      <c r="C9538" s="24"/>
      <c r="D9538" s="185"/>
      <c r="E9538" s="29"/>
      <c r="F9538" s="28"/>
      <c r="G9538" s="33">
        <f t="shared" si="273"/>
        <v>0</v>
      </c>
    </row>
    <row r="9539" spans="1:7" ht="14.25" thickBot="1">
      <c r="A9539" s="211" t="s">
        <v>513</v>
      </c>
      <c r="B9539" s="216" t="str">
        <f ca="1">_xlfn.CONCAT(B9508,A9539)</f>
        <v>31FECDAD-ad</v>
      </c>
      <c r="C9539" s="24"/>
      <c r="D9539" s="185"/>
      <c r="E9539" s="29"/>
      <c r="F9539" s="28"/>
      <c r="G9539" s="33">
        <f t="shared" si="273"/>
        <v>0</v>
      </c>
    </row>
    <row r="9540" spans="1:7" ht="14.25" thickBot="1">
      <c r="A9540" s="211" t="s">
        <v>514</v>
      </c>
      <c r="B9540" s="216" t="str">
        <f ca="1">_xlfn.CONCAT(B9508,A9540)</f>
        <v>31FECDAD-ae</v>
      </c>
      <c r="C9540" s="17"/>
      <c r="D9540" s="192"/>
      <c r="E9540" s="18"/>
      <c r="F9540" s="22" t="s">
        <v>26</v>
      </c>
      <c r="G9540" s="23">
        <f>SUM(G9534:G9539)</f>
        <v>110132.62499999997</v>
      </c>
    </row>
    <row r="9541" spans="1:7" ht="15.75" thickBot="1">
      <c r="A9541" s="211" t="s">
        <v>515</v>
      </c>
      <c r="B9541" s="216" t="str">
        <f ca="1">_xlfn.CONCAT(B9508,A9541)</f>
        <v>31FECDAD-af</v>
      </c>
      <c r="C9541" s="10" t="s">
        <v>27</v>
      </c>
      <c r="D9541" s="190"/>
      <c r="E9541" s="11"/>
      <c r="F9541" s="12"/>
      <c r="G9541" s="13"/>
    </row>
    <row r="9542" spans="1:7" ht="14.25" thickBot="1">
      <c r="A9542" s="211" t="s">
        <v>516</v>
      </c>
      <c r="B9542" s="216" t="str">
        <f ca="1">_xlfn.CONCAT(B9508,A9542)</f>
        <v>31FECDAD-ag</v>
      </c>
      <c r="C9542" s="14" t="s">
        <v>1</v>
      </c>
      <c r="D9542" s="15" t="s">
        <v>28</v>
      </c>
      <c r="E9542" s="15" t="s">
        <v>20</v>
      </c>
      <c r="F9542" s="16" t="s">
        <v>21</v>
      </c>
      <c r="G9542" s="15" t="s">
        <v>5</v>
      </c>
    </row>
    <row r="9543" spans="1:7">
      <c r="A9543" s="211" t="s">
        <v>517</v>
      </c>
      <c r="B9543" s="216" t="str">
        <f ca="1">_xlfn.CONCAT(B9508,A9543)</f>
        <v>31FECDAD-ah</v>
      </c>
      <c r="C9543" s="30" t="s">
        <v>29</v>
      </c>
      <c r="D9543" s="186">
        <f>'H-MO'!$N$77</f>
        <v>725918.52892505517</v>
      </c>
      <c r="E9543" s="31">
        <f>+D9543/8</f>
        <v>90739.816115631897</v>
      </c>
      <c r="F9543" s="32">
        <v>14</v>
      </c>
      <c r="G9543" s="33">
        <f>+E9543*F9543</f>
        <v>1270357.4256188464</v>
      </c>
    </row>
    <row r="9544" spans="1:7">
      <c r="A9544" s="211" t="s">
        <v>518</v>
      </c>
      <c r="B9544" s="216" t="str">
        <f ca="1">_xlfn.CONCAT(B9508,A9544)</f>
        <v>31FECDAD-ai</v>
      </c>
      <c r="C9544" s="34" t="s">
        <v>30</v>
      </c>
      <c r="D9544" s="187">
        <f>'H-MO'!$N$86</f>
        <v>685561.39085756091</v>
      </c>
      <c r="E9544" s="29">
        <f>+D9544/8</f>
        <v>85695.173857195114</v>
      </c>
      <c r="F9544" s="28">
        <v>0</v>
      </c>
      <c r="G9544" s="33">
        <f>+E9544*F9544</f>
        <v>0</v>
      </c>
    </row>
    <row r="9545" spans="1:7" ht="14.25" thickBot="1">
      <c r="A9545" s="211" t="s">
        <v>519</v>
      </c>
      <c r="B9545" s="216" t="str">
        <f ca="1">_xlfn.CONCAT(B9508,A9545)</f>
        <v>31FECDAD-aj</v>
      </c>
      <c r="C9545" s="34"/>
      <c r="D9545" s="187"/>
      <c r="E9545" s="29"/>
      <c r="F9545" s="28"/>
      <c r="G9545" s="33">
        <f>+E9545*F9545</f>
        <v>0</v>
      </c>
    </row>
    <row r="9546" spans="1:7" ht="14.25" thickBot="1">
      <c r="A9546" s="211" t="s">
        <v>520</v>
      </c>
      <c r="B9546" s="216" t="str">
        <f ca="1">_xlfn.CONCAT(B9508,A9546)</f>
        <v>31FECDAD-ak</v>
      </c>
      <c r="C9546" s="34"/>
      <c r="D9546" s="185"/>
      <c r="E9546" s="26"/>
      <c r="F9546" s="36" t="s">
        <v>31</v>
      </c>
      <c r="G9546" s="23">
        <f>SUM(G9543:G9545)</f>
        <v>1270357.4256188464</v>
      </c>
    </row>
    <row r="9547" spans="1:7" ht="14.25" thickBot="1">
      <c r="A9547" s="211" t="s">
        <v>521</v>
      </c>
      <c r="B9547" s="216" t="str">
        <f ca="1">_xlfn.CONCAT(B9508,A9547)</f>
        <v>31FECDAD-al</v>
      </c>
      <c r="C9547" s="37"/>
      <c r="E9547" s="38"/>
      <c r="F9547" s="22"/>
      <c r="G9547" s="39"/>
    </row>
    <row r="9548" spans="1:7" ht="16.5" thickBot="1">
      <c r="A9548" s="211" t="s">
        <v>522</v>
      </c>
      <c r="B9548" s="216" t="str">
        <f ca="1">_xlfn.CONCAT(B9508,A9548)</f>
        <v>31FECDAD-am</v>
      </c>
      <c r="C9548" s="40"/>
      <c r="D9548" s="193"/>
      <c r="E9548" s="41"/>
      <c r="F9548" s="42"/>
      <c r="G9548" s="43">
        <f>+G9531+G9540+G9546</f>
        <v>5239544.050618846</v>
      </c>
    </row>
    <row r="9549" spans="1:7" ht="21.75" thickBot="1">
      <c r="B9549" s="212" t="s">
        <v>550</v>
      </c>
      <c r="C9549" s="2"/>
      <c r="D9549" s="183"/>
      <c r="F9549" s="4"/>
      <c r="G9549" s="5"/>
    </row>
    <row r="9550" spans="1:7" ht="18.75">
      <c r="A9550" s="213"/>
      <c r="B9550" s="214">
        <v>217</v>
      </c>
      <c r="C9550" s="242" t="str">
        <f ca="1">_xlfn.XLOOKUP(B9550,Cantidades!$A$10:$A$314,Cantidades!$C$10:$C$314,,0,1)</f>
        <v>Suministro e instalación de cruceta metálica 2,50m. Incluye herrajes</v>
      </c>
      <c r="D9550" s="243"/>
      <c r="E9550" s="243"/>
      <c r="F9550" s="243"/>
      <c r="G9550" s="244"/>
    </row>
    <row r="9551" spans="1:7" ht="19.5" thickBot="1">
      <c r="A9551" s="215"/>
      <c r="B9551" s="216" t="s">
        <v>550</v>
      </c>
      <c r="C9551" s="177"/>
      <c r="D9551" s="189"/>
      <c r="E9551" s="178"/>
      <c r="F9551" s="179" t="s">
        <v>636</v>
      </c>
      <c r="G9551" s="209" t="str">
        <f ca="1">B9552</f>
        <v>189EAF31-</v>
      </c>
    </row>
    <row r="9552" spans="1:7" ht="15.75" thickBot="1">
      <c r="B9552" s="212" t="str">
        <f ca="1">_xlfn.XLOOKUP(C9550,Cantidades!$C$1:$C$314,Cantidades!$B$1:$B$314,"",0,1)</f>
        <v>189EAF31-</v>
      </c>
      <c r="C9552" s="10" t="s">
        <v>0</v>
      </c>
      <c r="D9552" s="190"/>
      <c r="E9552" s="11"/>
      <c r="F9552" s="12"/>
      <c r="G9552" s="13"/>
    </row>
    <row r="9553" spans="1:8" ht="14.25" thickBot="1">
      <c r="A9553" s="215"/>
      <c r="B9553" s="216" t="s">
        <v>550</v>
      </c>
      <c r="C9553" s="14" t="s">
        <v>1</v>
      </c>
      <c r="D9553" s="15" t="s">
        <v>2</v>
      </c>
      <c r="E9553" s="15" t="s">
        <v>3</v>
      </c>
      <c r="F9553" s="16" t="s">
        <v>4</v>
      </c>
      <c r="G9553" s="15" t="s">
        <v>5</v>
      </c>
    </row>
    <row r="9554" spans="1:8" ht="15">
      <c r="A9554" s="211" t="s">
        <v>484</v>
      </c>
      <c r="B9554" s="216" t="str">
        <f ca="1">_xlfn.CONCAT(B9552,A9554)</f>
        <v>189EAF31-A</v>
      </c>
      <c r="C9554" s="17" t="str">
        <f>_xlfn.XLOOKUP(H9554,'Materiales unitario'!$A$1:$A$2500,'Materiales unitario'!B$1:B$2500,,0,1)</f>
        <v>Cruceta metalica 2.5m</v>
      </c>
      <c r="D9554" s="184" t="str">
        <f>_xlfn.XLOOKUP(H9554,'Materiales unitario'!A$1:A$2500,'Materiales unitario'!C$1:C$2500,,0,1)</f>
        <v>un</v>
      </c>
      <c r="E9554" s="197">
        <f>_xlfn.XLOOKUP(H9554,'Materiales unitario'!$A$1:$A$2500,'Materiales unitario'!D$1:D$2500,,0,1)</f>
        <v>182325.00000000003</v>
      </c>
      <c r="F9554" s="19">
        <v>1</v>
      </c>
      <c r="G9554" s="20">
        <f>+E9554*F9554</f>
        <v>182325.00000000003</v>
      </c>
      <c r="H9554" s="217" t="s">
        <v>310</v>
      </c>
    </row>
    <row r="9555" spans="1:8" ht="15">
      <c r="A9555" s="211" t="s">
        <v>485</v>
      </c>
      <c r="B9555" s="216" t="str">
        <f ca="1">_xlfn.CONCAT(B9552,A9555)</f>
        <v>189EAF31-B</v>
      </c>
      <c r="C9555" s="17" t="str">
        <f>_xlfn.XLOOKUP(H9555,'Materiales unitario'!$A$1:$A$2500,'Materiales unitario'!B$1:B$2500,,0,1)</f>
        <v xml:space="preserve">ESPARRAGO DE 5/8" X 12" - 4T, </v>
      </c>
      <c r="D9555" s="184" t="str">
        <f>_xlfn.XLOOKUP(H9555,'Materiales unitario'!A$1:A$2500,'Materiales unitario'!C$1:C$2500,,0,1)</f>
        <v>un</v>
      </c>
      <c r="E9555" s="197">
        <f>_xlfn.XLOOKUP(H9555,'Materiales unitario'!$A$1:$A$2500,'Materiales unitario'!D$1:D$2500,,0,1)</f>
        <v>7040.0000000000009</v>
      </c>
      <c r="F9555" s="19">
        <v>2</v>
      </c>
      <c r="G9555" s="20">
        <f>+E9555*F9555</f>
        <v>14080.000000000002</v>
      </c>
      <c r="H9555" s="217" t="s">
        <v>319</v>
      </c>
    </row>
    <row r="9556" spans="1:8" ht="15">
      <c r="A9556" s="211" t="s">
        <v>486</v>
      </c>
      <c r="B9556" s="216" t="str">
        <f ca="1">_xlfn.CONCAT(B9552,A9556)</f>
        <v>189EAF31-C</v>
      </c>
      <c r="C9556" s="17" t="str">
        <f>_xlfn.XLOOKUP(H9556,'Materiales unitario'!$A$1:$A$2500,'Materiales unitario'!B$1:B$2500,,0,1)</f>
        <v>DIAGONAL EN VARILLA DE 5/8" X 0,77 MTS. NO. 1 E.E.B.</v>
      </c>
      <c r="D9556" s="184" t="str">
        <f>_xlfn.XLOOKUP(H9556,'Materiales unitario'!A$1:A$2500,'Materiales unitario'!C$1:C$2500,,0,1)</f>
        <v>un</v>
      </c>
      <c r="E9556" s="197">
        <f>_xlfn.XLOOKUP(H9556,'Materiales unitario'!$A$1:$A$2500,'Materiales unitario'!D$1:D$2500,,0,1)</f>
        <v>17552.5</v>
      </c>
      <c r="F9556" s="19">
        <v>2</v>
      </c>
      <c r="G9556" s="20">
        <f>+E9556*F9556</f>
        <v>35105</v>
      </c>
      <c r="H9556" s="217" t="s">
        <v>313</v>
      </c>
    </row>
    <row r="9557" spans="1:8" ht="15">
      <c r="A9557" s="211" t="s">
        <v>487</v>
      </c>
      <c r="B9557" s="216" t="str">
        <f ca="1">_xlfn.CONCAT(B9552,A9557)</f>
        <v>189EAF31-D</v>
      </c>
      <c r="C9557" s="17" t="str">
        <f>_xlfn.XLOOKUP(H9557,'Materiales unitario'!$A$1:$A$2500,'Materiales unitario'!B$1:B$2500,,0,1)</f>
        <v>Tornillo galvanizado ø5/8" x 6"</v>
      </c>
      <c r="D9557" s="184" t="str">
        <f>_xlfn.XLOOKUP(H9557,'Materiales unitario'!A$1:A$2500,'Materiales unitario'!C$1:C$2500,,0,1)</f>
        <v>un</v>
      </c>
      <c r="E9557" s="197">
        <f>_xlfn.XLOOKUP(H9557,'Materiales unitario'!$A$1:$A$2500,'Materiales unitario'!D$1:D$2500,,0,1)</f>
        <v>4720</v>
      </c>
      <c r="F9557" s="19">
        <v>4</v>
      </c>
      <c r="G9557" s="20">
        <f>+E9557*F9557</f>
        <v>18880</v>
      </c>
      <c r="H9557" s="217" t="s">
        <v>1584</v>
      </c>
    </row>
    <row r="9558" spans="1:8" ht="15">
      <c r="A9558" s="211" t="s">
        <v>488</v>
      </c>
      <c r="B9558" s="216" t="str">
        <f ca="1">_xlfn.CONCAT(B9552,A9558)</f>
        <v>189EAF31-E</v>
      </c>
      <c r="C9558" s="17" t="str">
        <f>_xlfn.XLOOKUP(H9558,'Materiales unitario'!$A$1:$A$2500,'Materiales unitario'!B$1:B$2500,,0,1)</f>
        <v>Tornillo de carriaje ø5/8" x 1,1/2"</v>
      </c>
      <c r="D9558" s="184" t="str">
        <f>_xlfn.XLOOKUP(H9558,'Materiales unitario'!A$1:A$2500,'Materiales unitario'!C$1:C$2500,,0,1)</f>
        <v>un</v>
      </c>
      <c r="E9558" s="197">
        <f>_xlfn.XLOOKUP(H9558,'Materiales unitario'!$A$1:$A$2500,'Materiales unitario'!D$1:D$2500,,0,1)</f>
        <v>2870</v>
      </c>
      <c r="F9558" s="19">
        <v>2</v>
      </c>
      <c r="G9558" s="20">
        <f>+E9558*F9558</f>
        <v>5740</v>
      </c>
      <c r="H9558" s="217" t="s">
        <v>1585</v>
      </c>
    </row>
    <row r="9559" spans="1:8" ht="15">
      <c r="A9559" s="211" t="s">
        <v>489</v>
      </c>
      <c r="B9559" s="216" t="str">
        <f ca="1">_xlfn.CONCAT(B9552,A9559)</f>
        <v>189EAF31-F</v>
      </c>
      <c r="C9559" s="17"/>
      <c r="D9559" s="184"/>
      <c r="E9559" s="197"/>
      <c r="F9559" s="19"/>
      <c r="G9559" s="20"/>
      <c r="H9559" s="217"/>
    </row>
    <row r="9560" spans="1:8" ht="15">
      <c r="A9560" s="211" t="s">
        <v>490</v>
      </c>
      <c r="B9560" s="216" t="str">
        <f ca="1">_xlfn.CONCAT(B9552,A9560)</f>
        <v>189EAF31-G</v>
      </c>
      <c r="C9560" s="17"/>
      <c r="D9560" s="184"/>
      <c r="E9560" s="197"/>
      <c r="F9560" s="19"/>
      <c r="G9560" s="20"/>
      <c r="H9560" s="217"/>
    </row>
    <row r="9561" spans="1:8" ht="15">
      <c r="A9561" s="211" t="s">
        <v>491</v>
      </c>
      <c r="B9561" s="216" t="str">
        <f ca="1">_xlfn.CONCAT(B9552,A9561)</f>
        <v>189EAF31-H</v>
      </c>
      <c r="C9561" s="17"/>
      <c r="D9561" s="184"/>
      <c r="E9561" s="197"/>
      <c r="F9561" s="19"/>
      <c r="G9561" s="20"/>
      <c r="H9561" s="217"/>
    </row>
    <row r="9562" spans="1:8" ht="15">
      <c r="A9562" s="211" t="s">
        <v>492</v>
      </c>
      <c r="B9562" s="216" t="str">
        <f ca="1">_xlfn.CONCAT(B9552,A9562)</f>
        <v>189EAF31-I</v>
      </c>
      <c r="C9562" s="17"/>
      <c r="D9562" s="184"/>
      <c r="E9562" s="197"/>
      <c r="F9562" s="19"/>
      <c r="G9562" s="20"/>
      <c r="H9562" s="217"/>
    </row>
    <row r="9563" spans="1:8" ht="15">
      <c r="A9563" s="211" t="s">
        <v>493</v>
      </c>
      <c r="B9563" s="216" t="str">
        <f ca="1">_xlfn.CONCAT(B9552,A9563)</f>
        <v>189EAF31-J</v>
      </c>
      <c r="C9563" s="17"/>
      <c r="D9563" s="184"/>
      <c r="E9563" s="197"/>
      <c r="F9563" s="19"/>
      <c r="G9563" s="20"/>
      <c r="H9563" s="217"/>
    </row>
    <row r="9564" spans="1:8">
      <c r="A9564" s="211" t="s">
        <v>494</v>
      </c>
      <c r="B9564" s="216" t="str">
        <f ca="1">_xlfn.CONCAT(B9552,A9564)</f>
        <v>189EAF31-K</v>
      </c>
      <c r="C9564" s="17"/>
      <c r="D9564" s="184"/>
      <c r="E9564" s="197"/>
      <c r="F9564" s="19"/>
      <c r="G9564" s="20"/>
    </row>
    <row r="9565" spans="1:8">
      <c r="A9565" s="211" t="s">
        <v>495</v>
      </c>
      <c r="B9565" s="216" t="str">
        <f ca="1">_xlfn.CONCAT(B9552,A9565)</f>
        <v>189EAF31-L</v>
      </c>
      <c r="C9565" s="17"/>
      <c r="D9565" s="184"/>
      <c r="E9565" s="197"/>
      <c r="F9565" s="19"/>
      <c r="G9565" s="20"/>
    </row>
    <row r="9566" spans="1:8">
      <c r="A9566" s="211" t="s">
        <v>496</v>
      </c>
      <c r="B9566" s="216" t="str">
        <f ca="1">_xlfn.CONCAT(B9552,A9566)</f>
        <v>189EAF31-M</v>
      </c>
      <c r="C9566" s="17"/>
      <c r="D9566" s="184"/>
      <c r="E9566" s="197"/>
      <c r="F9566" s="19"/>
      <c r="G9566" s="20"/>
    </row>
    <row r="9567" spans="1:8">
      <c r="A9567" s="211" t="s">
        <v>497</v>
      </c>
      <c r="B9567" s="216" t="str">
        <f ca="1">_xlfn.CONCAT(B9552,A9567)</f>
        <v>189EAF31-N</v>
      </c>
      <c r="C9567" s="17"/>
      <c r="D9567" s="184"/>
      <c r="E9567" s="197"/>
      <c r="F9567" s="19"/>
      <c r="G9567" s="20"/>
    </row>
    <row r="9568" spans="1:8">
      <c r="A9568" s="211" t="s">
        <v>498</v>
      </c>
      <c r="B9568" s="216" t="str">
        <f ca="1">_xlfn.CONCAT(B9552,A9568)</f>
        <v>189EAF31-O</v>
      </c>
      <c r="C9568" s="17"/>
      <c r="D9568" s="184"/>
      <c r="E9568" s="197"/>
      <c r="F9568" s="19"/>
      <c r="G9568" s="20"/>
    </row>
    <row r="9569" spans="1:7">
      <c r="A9569" s="211" t="s">
        <v>499</v>
      </c>
      <c r="B9569" s="216" t="str">
        <f ca="1">_xlfn.CONCAT(B9552,A9569)</f>
        <v>189EAF31-P</v>
      </c>
      <c r="C9569" s="17"/>
      <c r="D9569" s="184"/>
      <c r="E9569" s="197"/>
      <c r="F9569" s="19"/>
      <c r="G9569" s="20"/>
    </row>
    <row r="9570" spans="1:7">
      <c r="A9570" s="211" t="s">
        <v>500</v>
      </c>
      <c r="B9570" s="216" t="str">
        <f ca="1">_xlfn.CONCAT(B9552,A9570)</f>
        <v>189EAF31-Q</v>
      </c>
      <c r="C9570" s="17"/>
      <c r="D9570" s="184"/>
      <c r="E9570" s="197"/>
      <c r="F9570" s="19"/>
      <c r="G9570" s="20"/>
    </row>
    <row r="9571" spans="1:7">
      <c r="A9571" s="211" t="s">
        <v>501</v>
      </c>
      <c r="B9571" s="216" t="str">
        <f ca="1">_xlfn.CONCAT(B9552,A9571)</f>
        <v>189EAF31-R</v>
      </c>
      <c r="C9571" s="17"/>
      <c r="D9571" s="184"/>
      <c r="E9571" s="197"/>
      <c r="F9571" s="19"/>
      <c r="G9571" s="20"/>
    </row>
    <row r="9572" spans="1:7">
      <c r="A9572" s="211" t="s">
        <v>502</v>
      </c>
      <c r="B9572" s="216" t="str">
        <f ca="1">_xlfn.CONCAT(B9552,A9572)</f>
        <v>189EAF31-S</v>
      </c>
      <c r="C9572" s="17"/>
      <c r="D9572" s="184"/>
      <c r="E9572" s="197"/>
      <c r="F9572" s="19"/>
      <c r="G9572" s="20"/>
    </row>
    <row r="9573" spans="1:7">
      <c r="A9573" s="211" t="s">
        <v>503</v>
      </c>
      <c r="B9573" s="216" t="str">
        <f ca="1">_xlfn.CONCAT(B9552,A9573)</f>
        <v>189EAF31-T</v>
      </c>
      <c r="C9573" s="17"/>
      <c r="D9573" s="184"/>
      <c r="E9573" s="197"/>
      <c r="F9573" s="19"/>
      <c r="G9573" s="20"/>
    </row>
    <row r="9574" spans="1:7" ht="14.25" thickBot="1">
      <c r="A9574" s="211" t="s">
        <v>504</v>
      </c>
      <c r="B9574" s="216" t="str">
        <f ca="1">_xlfn.CONCAT(B9552,A9574)</f>
        <v>189EAF31-U</v>
      </c>
      <c r="C9574" s="17"/>
      <c r="D9574" s="184"/>
      <c r="E9574" s="197"/>
      <c r="F9574" s="19"/>
      <c r="G9574" s="20"/>
    </row>
    <row r="9575" spans="1:7" ht="14.25" thickBot="1">
      <c r="A9575" s="211" t="s">
        <v>505</v>
      </c>
      <c r="B9575" s="216" t="str">
        <f ca="1">_xlfn.CONCAT(B9552,A9575)</f>
        <v>189EAF31-V</v>
      </c>
      <c r="C9575" s="17" t="s">
        <v>17</v>
      </c>
      <c r="D9575" s="192" t="s">
        <v>17</v>
      </c>
      <c r="E9575" s="18"/>
      <c r="F9575" s="22" t="s">
        <v>18</v>
      </c>
      <c r="G9575" s="23">
        <f>SUM(G9554:G9574)</f>
        <v>256130.00000000003</v>
      </c>
    </row>
    <row r="9576" spans="1:7" ht="15.75" thickBot="1">
      <c r="A9576" s="211" t="s">
        <v>506</v>
      </c>
      <c r="B9576" s="216" t="str">
        <f ca="1">_xlfn.CONCAT(B9552,A9576)</f>
        <v>189EAF31-W</v>
      </c>
      <c r="C9576" s="10" t="s">
        <v>19</v>
      </c>
      <c r="D9576" s="190"/>
      <c r="E9576" s="11"/>
      <c r="F9576" s="12"/>
      <c r="G9576" s="13"/>
    </row>
    <row r="9577" spans="1:7" ht="14.25" thickBot="1">
      <c r="A9577" s="211" t="s">
        <v>507</v>
      </c>
      <c r="B9577" s="216" t="str">
        <f ca="1">_xlfn.CONCAT(B9552,A9577)</f>
        <v>189EAF31-X</v>
      </c>
      <c r="C9577" s="14" t="s">
        <v>1</v>
      </c>
      <c r="D9577" s="15"/>
      <c r="E9577" s="15" t="s">
        <v>20</v>
      </c>
      <c r="F9577" s="16" t="s">
        <v>21</v>
      </c>
      <c r="G9577" s="15" t="s">
        <v>5</v>
      </c>
    </row>
    <row r="9578" spans="1:7">
      <c r="A9578" s="211" t="s">
        <v>508</v>
      </c>
      <c r="B9578" s="216" t="str">
        <f ca="1">_xlfn.CONCAT(B9552,A9578)</f>
        <v>189EAF31-Y</v>
      </c>
      <c r="C9578" s="24" t="s">
        <v>22</v>
      </c>
      <c r="D9578" s="184"/>
      <c r="E9578" s="25">
        <f>_xlfn.XLOOKUP(C9578,'H-MO'!B$7:B$30,'H-MO'!D$7:D$30,,0,1)</f>
        <v>2436.5624999999995</v>
      </c>
      <c r="F9578" s="19">
        <v>4</v>
      </c>
      <c r="G9578" s="33">
        <f t="shared" ref="G9578:G9583" si="274">+E9578*F9578</f>
        <v>9746.2499999999982</v>
      </c>
    </row>
    <row r="9579" spans="1:7">
      <c r="A9579" s="211" t="s">
        <v>509</v>
      </c>
      <c r="B9579" s="216" t="str">
        <f ca="1">_xlfn.CONCAT(B9552,A9579)</f>
        <v>189EAF31-Z</v>
      </c>
      <c r="C9579" s="24" t="s">
        <v>23</v>
      </c>
      <c r="D9579" s="184"/>
      <c r="E9579" s="25">
        <f>_xlfn.XLOOKUP(C9579,'H-MO'!B$7:B$30,'H-MO'!D$7:D$30,,0,1)</f>
        <v>1461.9374999999998</v>
      </c>
      <c r="F9579" s="19">
        <v>6</v>
      </c>
      <c r="G9579" s="33">
        <f t="shared" si="274"/>
        <v>8771.6249999999982</v>
      </c>
    </row>
    <row r="9580" spans="1:7">
      <c r="A9580" s="211" t="s">
        <v>510</v>
      </c>
      <c r="B9580" s="216" t="str">
        <f ca="1">_xlfn.CONCAT(B9552,A9580)</f>
        <v>189EAF31-aa</v>
      </c>
      <c r="C9580" s="24" t="s">
        <v>24</v>
      </c>
      <c r="D9580" s="185"/>
      <c r="E9580" s="25">
        <f>_xlfn.XLOOKUP(C9580,'H-MO'!B$7:B$30,'H-MO'!D$7:D$30,,0,1)</f>
        <v>29238.749999999996</v>
      </c>
      <c r="F9580" s="28">
        <v>2</v>
      </c>
      <c r="G9580" s="33">
        <f t="shared" si="274"/>
        <v>58477.499999999993</v>
      </c>
    </row>
    <row r="9581" spans="1:7">
      <c r="A9581" s="211" t="s">
        <v>511</v>
      </c>
      <c r="B9581" s="216" t="str">
        <f ca="1">_xlfn.CONCAT(B9552,A9581)</f>
        <v>189EAF31-ab</v>
      </c>
      <c r="C9581" s="24" t="s">
        <v>25</v>
      </c>
      <c r="D9581" s="185"/>
      <c r="E9581" s="25">
        <f>_xlfn.XLOOKUP(C9581,'H-MO'!B$7:B$30,'H-MO'!D$7:D$30,,0,1)</f>
        <v>2761.4374999999995</v>
      </c>
      <c r="F9581" s="28">
        <v>10</v>
      </c>
      <c r="G9581" s="33">
        <f t="shared" si="274"/>
        <v>27614.374999999996</v>
      </c>
    </row>
    <row r="9582" spans="1:7">
      <c r="A9582" s="211" t="s">
        <v>512</v>
      </c>
      <c r="B9582" s="216" t="str">
        <f ca="1">_xlfn.CONCAT(B9552,A9582)</f>
        <v>189EAF31-ac</v>
      </c>
      <c r="C9582" s="24"/>
      <c r="D9582" s="185"/>
      <c r="E9582" s="29"/>
      <c r="F9582" s="28"/>
      <c r="G9582" s="33">
        <f t="shared" si="274"/>
        <v>0</v>
      </c>
    </row>
    <row r="9583" spans="1:7" ht="14.25" thickBot="1">
      <c r="A9583" s="211" t="s">
        <v>513</v>
      </c>
      <c r="B9583" s="216" t="str">
        <f ca="1">_xlfn.CONCAT(B9552,A9583)</f>
        <v>189EAF31-ad</v>
      </c>
      <c r="C9583" s="24"/>
      <c r="D9583" s="185"/>
      <c r="E9583" s="29"/>
      <c r="F9583" s="28"/>
      <c r="G9583" s="33">
        <f t="shared" si="274"/>
        <v>0</v>
      </c>
    </row>
    <row r="9584" spans="1:7" ht="14.25" thickBot="1">
      <c r="A9584" s="211" t="s">
        <v>514</v>
      </c>
      <c r="B9584" s="216" t="str">
        <f ca="1">_xlfn.CONCAT(B9552,A9584)</f>
        <v>189EAF31-ae</v>
      </c>
      <c r="C9584" s="17"/>
      <c r="D9584" s="192"/>
      <c r="E9584" s="18"/>
      <c r="F9584" s="22" t="s">
        <v>26</v>
      </c>
      <c r="G9584" s="23">
        <f>SUM(G9578:G9583)</f>
        <v>104609.74999999999</v>
      </c>
    </row>
    <row r="9585" spans="1:8" ht="15.75" thickBot="1">
      <c r="A9585" s="211" t="s">
        <v>515</v>
      </c>
      <c r="B9585" s="216" t="str">
        <f ca="1">_xlfn.CONCAT(B9552,A9585)</f>
        <v>189EAF31-af</v>
      </c>
      <c r="C9585" s="10" t="s">
        <v>27</v>
      </c>
      <c r="D9585" s="190"/>
      <c r="E9585" s="11"/>
      <c r="F9585" s="12"/>
      <c r="G9585" s="13"/>
    </row>
    <row r="9586" spans="1:8" ht="14.25" thickBot="1">
      <c r="A9586" s="211" t="s">
        <v>516</v>
      </c>
      <c r="B9586" s="216" t="str">
        <f ca="1">_xlfn.CONCAT(B9552,A9586)</f>
        <v>189EAF31-ag</v>
      </c>
      <c r="C9586" s="14" t="s">
        <v>1</v>
      </c>
      <c r="D9586" s="15" t="s">
        <v>28</v>
      </c>
      <c r="E9586" s="15" t="s">
        <v>20</v>
      </c>
      <c r="F9586" s="16" t="s">
        <v>21</v>
      </c>
      <c r="G9586" s="15" t="s">
        <v>5</v>
      </c>
    </row>
    <row r="9587" spans="1:8">
      <c r="A9587" s="211" t="s">
        <v>517</v>
      </c>
      <c r="B9587" s="216" t="str">
        <f ca="1">_xlfn.CONCAT(B9552,A9587)</f>
        <v>189EAF31-ah</v>
      </c>
      <c r="C9587" s="30" t="s">
        <v>29</v>
      </c>
      <c r="D9587" s="186">
        <f>'H-MO'!$N$77</f>
        <v>725918.52892505517</v>
      </c>
      <c r="E9587" s="31">
        <f>+D9587/8</f>
        <v>90739.816115631897</v>
      </c>
      <c r="F9587" s="32">
        <v>3</v>
      </c>
      <c r="G9587" s="33">
        <f>+E9587*F9587</f>
        <v>272219.44834689569</v>
      </c>
    </row>
    <row r="9588" spans="1:8">
      <c r="A9588" s="211" t="s">
        <v>518</v>
      </c>
      <c r="B9588" s="216" t="str">
        <f ca="1">_xlfn.CONCAT(B9552,A9588)</f>
        <v>189EAF31-ai</v>
      </c>
      <c r="C9588" s="34" t="s">
        <v>30</v>
      </c>
      <c r="D9588" s="187">
        <f>'H-MO'!$N$86</f>
        <v>685561.39085756091</v>
      </c>
      <c r="E9588" s="29">
        <f>+D9588/8</f>
        <v>85695.173857195114</v>
      </c>
      <c r="F9588" s="28">
        <v>0</v>
      </c>
      <c r="G9588" s="33">
        <f>+E9588*F9588</f>
        <v>0</v>
      </c>
    </row>
    <row r="9589" spans="1:8" ht="14.25" thickBot="1">
      <c r="A9589" s="211" t="s">
        <v>519</v>
      </c>
      <c r="B9589" s="216" t="str">
        <f ca="1">_xlfn.CONCAT(B9552,A9589)</f>
        <v>189EAF31-aj</v>
      </c>
      <c r="C9589" s="34"/>
      <c r="D9589" s="187"/>
      <c r="E9589" s="29"/>
      <c r="F9589" s="28"/>
      <c r="G9589" s="33">
        <f>+E9589*F9589</f>
        <v>0</v>
      </c>
    </row>
    <row r="9590" spans="1:8" ht="14.25" thickBot="1">
      <c r="A9590" s="211" t="s">
        <v>520</v>
      </c>
      <c r="B9590" s="216" t="str">
        <f ca="1">_xlfn.CONCAT(B9552,A9590)</f>
        <v>189EAF31-ak</v>
      </c>
      <c r="C9590" s="34"/>
      <c r="D9590" s="185"/>
      <c r="E9590" s="26"/>
      <c r="F9590" s="36" t="s">
        <v>31</v>
      </c>
      <c r="G9590" s="23">
        <f>SUM(G9587:G9589)</f>
        <v>272219.44834689569</v>
      </c>
    </row>
    <row r="9591" spans="1:8" ht="14.25" thickBot="1">
      <c r="A9591" s="211" t="s">
        <v>521</v>
      </c>
      <c r="B9591" s="216" t="str">
        <f ca="1">_xlfn.CONCAT(B9552,A9591)</f>
        <v>189EAF31-al</v>
      </c>
      <c r="C9591" s="37"/>
      <c r="E9591" s="38"/>
      <c r="F9591" s="22"/>
      <c r="G9591" s="39"/>
    </row>
    <row r="9592" spans="1:8" ht="16.5" thickBot="1">
      <c r="A9592" s="211" t="s">
        <v>522</v>
      </c>
      <c r="B9592" s="216" t="str">
        <f ca="1">_xlfn.CONCAT(B9552,A9592)</f>
        <v>189EAF31-am</v>
      </c>
      <c r="C9592" s="40"/>
      <c r="D9592" s="193"/>
      <c r="E9592" s="41"/>
      <c r="F9592" s="42"/>
      <c r="G9592" s="43">
        <f>+G9575+G9584+G9590</f>
        <v>632959.19834689563</v>
      </c>
    </row>
    <row r="9593" spans="1:8" ht="21.75" thickBot="1">
      <c r="B9593" s="212" t="s">
        <v>550</v>
      </c>
      <c r="C9593" s="2"/>
      <c r="D9593" s="183"/>
      <c r="F9593" s="4"/>
      <c r="G9593" s="5"/>
    </row>
    <row r="9594" spans="1:8" ht="18.75">
      <c r="A9594" s="213"/>
      <c r="B9594" s="214">
        <v>218</v>
      </c>
      <c r="C9594" s="242" t="str">
        <f ca="1">_xlfn.XLOOKUP(B9594,Cantidades!$A$10:$A$314,Cantidades!$C$10:$C$314,,0,1)</f>
        <v>Suministro e instalación de seccionador monopolar 400A 15 kV tipo cuchilla. Incluye herrajes</v>
      </c>
      <c r="D9594" s="243"/>
      <c r="E9594" s="243"/>
      <c r="F9594" s="243"/>
      <c r="G9594" s="244"/>
    </row>
    <row r="9595" spans="1:8" ht="19.5" thickBot="1">
      <c r="A9595" s="215"/>
      <c r="B9595" s="216" t="s">
        <v>550</v>
      </c>
      <c r="C9595" s="177"/>
      <c r="D9595" s="189"/>
      <c r="E9595" s="178"/>
      <c r="F9595" s="179" t="s">
        <v>636</v>
      </c>
      <c r="G9595" s="209" t="str">
        <f ca="1">B9596</f>
        <v>F038038-</v>
      </c>
    </row>
    <row r="9596" spans="1:8" ht="15.75" thickBot="1">
      <c r="B9596" s="212" t="str">
        <f ca="1">_xlfn.XLOOKUP(C9594,Cantidades!$C$1:$C$314,Cantidades!$B$1:$B$314,"",0,1)</f>
        <v>F038038-</v>
      </c>
      <c r="C9596" s="10" t="s">
        <v>0</v>
      </c>
      <c r="D9596" s="190"/>
      <c r="E9596" s="11"/>
      <c r="F9596" s="12"/>
      <c r="G9596" s="13"/>
    </row>
    <row r="9597" spans="1:8" ht="14.25" thickBot="1">
      <c r="A9597" s="215"/>
      <c r="B9597" s="216" t="s">
        <v>550</v>
      </c>
      <c r="C9597" s="14" t="s">
        <v>1</v>
      </c>
      <c r="D9597" s="15" t="s">
        <v>2</v>
      </c>
      <c r="E9597" s="15" t="s">
        <v>3</v>
      </c>
      <c r="F9597" s="16" t="s">
        <v>4</v>
      </c>
      <c r="G9597" s="15" t="s">
        <v>5</v>
      </c>
    </row>
    <row r="9598" spans="1:8" ht="15">
      <c r="A9598" s="211" t="s">
        <v>484</v>
      </c>
      <c r="B9598" s="216" t="str">
        <f ca="1">_xlfn.CONCAT(B9596,A9598)</f>
        <v>F038038-A</v>
      </c>
      <c r="C9598" s="17" t="str">
        <f>_xlfn.XLOOKUP(H9598,'Materiales unitario'!$A$1:$A$2500,'Materiales unitario'!B$1:B$2500,,0,1)</f>
        <v>Seccionador monopolar 400 A 15 kV tipo cuchilla</v>
      </c>
      <c r="D9598" s="184" t="str">
        <f>_xlfn.XLOOKUP(H9598,'Materiales unitario'!A$1:A$2500,'Materiales unitario'!C$1:C$2500,,0,1)</f>
        <v>un</v>
      </c>
      <c r="E9598" s="197">
        <f>_xlfn.XLOOKUP(H9598,'Materiales unitario'!$A$1:$A$2500,'Materiales unitario'!D$1:D$2500,,0,1)</f>
        <v>420300</v>
      </c>
      <c r="F9598" s="19">
        <v>1</v>
      </c>
      <c r="G9598" s="20">
        <f>+E9598*F9598</f>
        <v>420300</v>
      </c>
      <c r="H9598" s="217" t="s">
        <v>1588</v>
      </c>
    </row>
    <row r="9599" spans="1:8" ht="15">
      <c r="A9599" s="211" t="s">
        <v>485</v>
      </c>
      <c r="B9599" s="216" t="str">
        <f ca="1">_xlfn.CONCAT(B9596,A9599)</f>
        <v>F038038-B</v>
      </c>
      <c r="C9599" s="17"/>
      <c r="D9599" s="184"/>
      <c r="E9599" s="197"/>
      <c r="F9599" s="19"/>
      <c r="G9599" s="20"/>
      <c r="H9599" s="217"/>
    </row>
    <row r="9600" spans="1:8" ht="15">
      <c r="A9600" s="211" t="s">
        <v>486</v>
      </c>
      <c r="B9600" s="216" t="str">
        <f ca="1">_xlfn.CONCAT(B9596,A9600)</f>
        <v>F038038-C</v>
      </c>
      <c r="C9600" s="17"/>
      <c r="D9600" s="184"/>
      <c r="E9600" s="197"/>
      <c r="F9600" s="19"/>
      <c r="G9600" s="20"/>
      <c r="H9600" s="217"/>
    </row>
    <row r="9601" spans="1:8" ht="15">
      <c r="A9601" s="211" t="s">
        <v>487</v>
      </c>
      <c r="B9601" s="216" t="str">
        <f ca="1">_xlfn.CONCAT(B9596,A9601)</f>
        <v>F038038-D</v>
      </c>
      <c r="C9601" s="17"/>
      <c r="D9601" s="184"/>
      <c r="E9601" s="197"/>
      <c r="F9601" s="19"/>
      <c r="G9601" s="20"/>
      <c r="H9601" s="217"/>
    </row>
    <row r="9602" spans="1:8" ht="15">
      <c r="A9602" s="211" t="s">
        <v>488</v>
      </c>
      <c r="B9602" s="216" t="str">
        <f ca="1">_xlfn.CONCAT(B9596,A9602)</f>
        <v>F038038-E</v>
      </c>
      <c r="C9602" s="17"/>
      <c r="D9602" s="184"/>
      <c r="E9602" s="197"/>
      <c r="F9602" s="19"/>
      <c r="G9602" s="20"/>
      <c r="H9602" s="217"/>
    </row>
    <row r="9603" spans="1:8" ht="15">
      <c r="A9603" s="211" t="s">
        <v>489</v>
      </c>
      <c r="B9603" s="216" t="str">
        <f ca="1">_xlfn.CONCAT(B9596,A9603)</f>
        <v>F038038-F</v>
      </c>
      <c r="C9603" s="17"/>
      <c r="D9603" s="184"/>
      <c r="E9603" s="197"/>
      <c r="F9603" s="19"/>
      <c r="G9603" s="20"/>
      <c r="H9603" s="217"/>
    </row>
    <row r="9604" spans="1:8" ht="15">
      <c r="A9604" s="211" t="s">
        <v>490</v>
      </c>
      <c r="B9604" s="216" t="str">
        <f ca="1">_xlfn.CONCAT(B9596,A9604)</f>
        <v>F038038-G</v>
      </c>
      <c r="C9604" s="17"/>
      <c r="D9604" s="184"/>
      <c r="E9604" s="197"/>
      <c r="F9604" s="19"/>
      <c r="G9604" s="20"/>
      <c r="H9604" s="217"/>
    </row>
    <row r="9605" spans="1:8" ht="15">
      <c r="A9605" s="211" t="s">
        <v>491</v>
      </c>
      <c r="B9605" s="216" t="str">
        <f ca="1">_xlfn.CONCAT(B9596,A9605)</f>
        <v>F038038-H</v>
      </c>
      <c r="C9605" s="17"/>
      <c r="D9605" s="184"/>
      <c r="E9605" s="197"/>
      <c r="F9605" s="19"/>
      <c r="G9605" s="20"/>
      <c r="H9605" s="217"/>
    </row>
    <row r="9606" spans="1:8" ht="15">
      <c r="A9606" s="211" t="s">
        <v>492</v>
      </c>
      <c r="B9606" s="216" t="str">
        <f ca="1">_xlfn.CONCAT(B9596,A9606)</f>
        <v>F038038-I</v>
      </c>
      <c r="C9606" s="17"/>
      <c r="D9606" s="184"/>
      <c r="E9606" s="197"/>
      <c r="F9606" s="19"/>
      <c r="G9606" s="20"/>
      <c r="H9606" s="217"/>
    </row>
    <row r="9607" spans="1:8" ht="15">
      <c r="A9607" s="211" t="s">
        <v>493</v>
      </c>
      <c r="B9607" s="216" t="str">
        <f ca="1">_xlfn.CONCAT(B9596,A9607)</f>
        <v>F038038-J</v>
      </c>
      <c r="C9607" s="17"/>
      <c r="D9607" s="184"/>
      <c r="E9607" s="197"/>
      <c r="F9607" s="19"/>
      <c r="G9607" s="20"/>
      <c r="H9607" s="217"/>
    </row>
    <row r="9608" spans="1:8">
      <c r="A9608" s="211" t="s">
        <v>494</v>
      </c>
      <c r="B9608" s="216" t="str">
        <f ca="1">_xlfn.CONCAT(B9596,A9608)</f>
        <v>F038038-K</v>
      </c>
      <c r="C9608" s="17"/>
      <c r="D9608" s="184"/>
      <c r="E9608" s="197"/>
      <c r="F9608" s="19"/>
      <c r="G9608" s="20"/>
    </row>
    <row r="9609" spans="1:8">
      <c r="A9609" s="211" t="s">
        <v>495</v>
      </c>
      <c r="B9609" s="216" t="str">
        <f ca="1">_xlfn.CONCAT(B9596,A9609)</f>
        <v>F038038-L</v>
      </c>
      <c r="C9609" s="17"/>
      <c r="D9609" s="184"/>
      <c r="E9609" s="197"/>
      <c r="F9609" s="19"/>
      <c r="G9609" s="20"/>
    </row>
    <row r="9610" spans="1:8">
      <c r="A9610" s="211" t="s">
        <v>496</v>
      </c>
      <c r="B9610" s="216" t="str">
        <f ca="1">_xlfn.CONCAT(B9596,A9610)</f>
        <v>F038038-M</v>
      </c>
      <c r="C9610" s="17"/>
      <c r="D9610" s="184"/>
      <c r="E9610" s="197"/>
      <c r="F9610" s="19"/>
      <c r="G9610" s="20"/>
    </row>
    <row r="9611" spans="1:8">
      <c r="A9611" s="211" t="s">
        <v>497</v>
      </c>
      <c r="B9611" s="216" t="str">
        <f ca="1">_xlfn.CONCAT(B9596,A9611)</f>
        <v>F038038-N</v>
      </c>
      <c r="C9611" s="17"/>
      <c r="D9611" s="184"/>
      <c r="E9611" s="197"/>
      <c r="F9611" s="19"/>
      <c r="G9611" s="20"/>
    </row>
    <row r="9612" spans="1:8">
      <c r="A9612" s="211" t="s">
        <v>498</v>
      </c>
      <c r="B9612" s="216" t="str">
        <f ca="1">_xlfn.CONCAT(B9596,A9612)</f>
        <v>F038038-O</v>
      </c>
      <c r="C9612" s="17"/>
      <c r="D9612" s="184"/>
      <c r="E9612" s="197"/>
      <c r="F9612" s="19"/>
      <c r="G9612" s="20"/>
    </row>
    <row r="9613" spans="1:8">
      <c r="A9613" s="211" t="s">
        <v>499</v>
      </c>
      <c r="B9613" s="216" t="str">
        <f ca="1">_xlfn.CONCAT(B9596,A9613)</f>
        <v>F038038-P</v>
      </c>
      <c r="C9613" s="17"/>
      <c r="D9613" s="184"/>
      <c r="E9613" s="197"/>
      <c r="F9613" s="19"/>
      <c r="G9613" s="20"/>
    </row>
    <row r="9614" spans="1:8">
      <c r="A9614" s="211" t="s">
        <v>500</v>
      </c>
      <c r="B9614" s="216" t="str">
        <f ca="1">_xlfn.CONCAT(B9596,A9614)</f>
        <v>F038038-Q</v>
      </c>
      <c r="C9614" s="17"/>
      <c r="D9614" s="184"/>
      <c r="E9614" s="197"/>
      <c r="F9614" s="19"/>
      <c r="G9614" s="20"/>
    </row>
    <row r="9615" spans="1:8">
      <c r="A9615" s="211" t="s">
        <v>501</v>
      </c>
      <c r="B9615" s="216" t="str">
        <f ca="1">_xlfn.CONCAT(B9596,A9615)</f>
        <v>F038038-R</v>
      </c>
      <c r="C9615" s="17"/>
      <c r="D9615" s="184"/>
      <c r="E9615" s="197"/>
      <c r="F9615" s="19"/>
      <c r="G9615" s="20"/>
    </row>
    <row r="9616" spans="1:8">
      <c r="A9616" s="211" t="s">
        <v>502</v>
      </c>
      <c r="B9616" s="216" t="str">
        <f ca="1">_xlfn.CONCAT(B9596,A9616)</f>
        <v>F038038-S</v>
      </c>
      <c r="C9616" s="17"/>
      <c r="D9616" s="184"/>
      <c r="E9616" s="197"/>
      <c r="F9616" s="19"/>
      <c r="G9616" s="20"/>
    </row>
    <row r="9617" spans="1:7">
      <c r="A9617" s="211" t="s">
        <v>503</v>
      </c>
      <c r="B9617" s="216" t="str">
        <f ca="1">_xlfn.CONCAT(B9596,A9617)</f>
        <v>F038038-T</v>
      </c>
      <c r="C9617" s="17"/>
      <c r="D9617" s="184"/>
      <c r="E9617" s="197"/>
      <c r="F9617" s="19"/>
      <c r="G9617" s="20"/>
    </row>
    <row r="9618" spans="1:7" ht="14.25" thickBot="1">
      <c r="A9618" s="211" t="s">
        <v>504</v>
      </c>
      <c r="B9618" s="216" t="str">
        <f ca="1">_xlfn.CONCAT(B9596,A9618)</f>
        <v>F038038-U</v>
      </c>
      <c r="C9618" s="17"/>
      <c r="D9618" s="184"/>
      <c r="E9618" s="197"/>
      <c r="F9618" s="19"/>
      <c r="G9618" s="20"/>
    </row>
    <row r="9619" spans="1:7" ht="14.25" thickBot="1">
      <c r="A9619" s="211" t="s">
        <v>505</v>
      </c>
      <c r="B9619" s="216" t="str">
        <f ca="1">_xlfn.CONCAT(B9596,A9619)</f>
        <v>F038038-V</v>
      </c>
      <c r="C9619" s="17" t="s">
        <v>17</v>
      </c>
      <c r="D9619" s="192" t="s">
        <v>17</v>
      </c>
      <c r="E9619" s="18"/>
      <c r="F9619" s="22" t="s">
        <v>18</v>
      </c>
      <c r="G9619" s="23">
        <f>SUM(G9598:G9618)</f>
        <v>420300</v>
      </c>
    </row>
    <row r="9620" spans="1:7" ht="15.75" thickBot="1">
      <c r="A9620" s="211" t="s">
        <v>506</v>
      </c>
      <c r="B9620" s="216" t="str">
        <f ca="1">_xlfn.CONCAT(B9596,A9620)</f>
        <v>F038038-W</v>
      </c>
      <c r="C9620" s="10" t="s">
        <v>19</v>
      </c>
      <c r="D9620" s="190"/>
      <c r="E9620" s="11"/>
      <c r="F9620" s="12"/>
      <c r="G9620" s="13"/>
    </row>
    <row r="9621" spans="1:7" ht="14.25" thickBot="1">
      <c r="A9621" s="211" t="s">
        <v>507</v>
      </c>
      <c r="B9621" s="216" t="str">
        <f ca="1">_xlfn.CONCAT(B9596,A9621)</f>
        <v>F038038-X</v>
      </c>
      <c r="C9621" s="14" t="s">
        <v>1</v>
      </c>
      <c r="D9621" s="15"/>
      <c r="E9621" s="15" t="s">
        <v>20</v>
      </c>
      <c r="F9621" s="16" t="s">
        <v>21</v>
      </c>
      <c r="G9621" s="15" t="s">
        <v>5</v>
      </c>
    </row>
    <row r="9622" spans="1:7">
      <c r="A9622" s="211" t="s">
        <v>508</v>
      </c>
      <c r="B9622" s="216" t="str">
        <f ca="1">_xlfn.CONCAT(B9596,A9622)</f>
        <v>F038038-Y</v>
      </c>
      <c r="C9622" s="24" t="s">
        <v>22</v>
      </c>
      <c r="D9622" s="184"/>
      <c r="E9622" s="25">
        <f>_xlfn.XLOOKUP(C9622,'H-MO'!B$7:B$30,'H-MO'!D$7:D$30,,0,1)</f>
        <v>2436.5624999999995</v>
      </c>
      <c r="F9622" s="19">
        <v>2</v>
      </c>
      <c r="G9622" s="33">
        <f t="shared" ref="G9622:G9627" si="275">+E9622*F9622</f>
        <v>4873.1249999999991</v>
      </c>
    </row>
    <row r="9623" spans="1:7">
      <c r="A9623" s="211" t="s">
        <v>509</v>
      </c>
      <c r="B9623" s="216" t="str">
        <f ca="1">_xlfn.CONCAT(B9596,A9623)</f>
        <v>F038038-Z</v>
      </c>
      <c r="C9623" s="24" t="s">
        <v>23</v>
      </c>
      <c r="D9623" s="184"/>
      <c r="E9623" s="25">
        <f>_xlfn.XLOOKUP(C9623,'H-MO'!B$7:B$30,'H-MO'!D$7:D$30,,0,1)</f>
        <v>1461.9374999999998</v>
      </c>
      <c r="F9623" s="19">
        <v>2</v>
      </c>
      <c r="G9623" s="33">
        <f t="shared" si="275"/>
        <v>2923.8749999999995</v>
      </c>
    </row>
    <row r="9624" spans="1:7">
      <c r="A9624" s="211" t="s">
        <v>510</v>
      </c>
      <c r="B9624" s="216" t="str">
        <f ca="1">_xlfn.CONCAT(B9596,A9624)</f>
        <v>F038038-aa</v>
      </c>
      <c r="C9624" s="24" t="s">
        <v>24</v>
      </c>
      <c r="D9624" s="185"/>
      <c r="E9624" s="25">
        <f>_xlfn.XLOOKUP(C9624,'H-MO'!B$7:B$30,'H-MO'!D$7:D$30,,0,1)</f>
        <v>29238.749999999996</v>
      </c>
      <c r="F9624" s="28">
        <v>0.3</v>
      </c>
      <c r="G9624" s="33">
        <f t="shared" si="275"/>
        <v>8771.6249999999982</v>
      </c>
    </row>
    <row r="9625" spans="1:7">
      <c r="A9625" s="211" t="s">
        <v>511</v>
      </c>
      <c r="B9625" s="216" t="str">
        <f ca="1">_xlfn.CONCAT(B9596,A9625)</f>
        <v>F038038-ab</v>
      </c>
      <c r="C9625" s="24" t="s">
        <v>25</v>
      </c>
      <c r="D9625" s="185"/>
      <c r="E9625" s="25">
        <f>_xlfn.XLOOKUP(C9625,'H-MO'!B$7:B$30,'H-MO'!D$7:D$30,,0,1)</f>
        <v>2761.4374999999995</v>
      </c>
      <c r="F9625" s="28">
        <v>6</v>
      </c>
      <c r="G9625" s="33">
        <f t="shared" si="275"/>
        <v>16568.624999999996</v>
      </c>
    </row>
    <row r="9626" spans="1:7">
      <c r="A9626" s="211" t="s">
        <v>512</v>
      </c>
      <c r="B9626" s="216" t="str">
        <f ca="1">_xlfn.CONCAT(B9596,A9626)</f>
        <v>F038038-ac</v>
      </c>
      <c r="C9626" s="24"/>
      <c r="D9626" s="185"/>
      <c r="E9626" s="29"/>
      <c r="F9626" s="28"/>
      <c r="G9626" s="33">
        <f t="shared" si="275"/>
        <v>0</v>
      </c>
    </row>
    <row r="9627" spans="1:7" ht="14.25" thickBot="1">
      <c r="A9627" s="211" t="s">
        <v>513</v>
      </c>
      <c r="B9627" s="216" t="str">
        <f ca="1">_xlfn.CONCAT(B9596,A9627)</f>
        <v>F038038-ad</v>
      </c>
      <c r="C9627" s="24"/>
      <c r="D9627" s="185"/>
      <c r="E9627" s="29"/>
      <c r="F9627" s="28"/>
      <c r="G9627" s="33">
        <f t="shared" si="275"/>
        <v>0</v>
      </c>
    </row>
    <row r="9628" spans="1:7" ht="14.25" thickBot="1">
      <c r="A9628" s="211" t="s">
        <v>514</v>
      </c>
      <c r="B9628" s="216" t="str">
        <f ca="1">_xlfn.CONCAT(B9596,A9628)</f>
        <v>F038038-ae</v>
      </c>
      <c r="C9628" s="17"/>
      <c r="D9628" s="192"/>
      <c r="E9628" s="18"/>
      <c r="F9628" s="22" t="s">
        <v>26</v>
      </c>
      <c r="G9628" s="23">
        <f>SUM(G9622:G9627)</f>
        <v>33137.249999999993</v>
      </c>
    </row>
    <row r="9629" spans="1:7" ht="15.75" thickBot="1">
      <c r="A9629" s="211" t="s">
        <v>515</v>
      </c>
      <c r="B9629" s="216" t="str">
        <f ca="1">_xlfn.CONCAT(B9596,A9629)</f>
        <v>F038038-af</v>
      </c>
      <c r="C9629" s="10" t="s">
        <v>27</v>
      </c>
      <c r="D9629" s="190"/>
      <c r="E9629" s="11"/>
      <c r="F9629" s="12"/>
      <c r="G9629" s="13"/>
    </row>
    <row r="9630" spans="1:7" ht="14.25" thickBot="1">
      <c r="A9630" s="211" t="s">
        <v>516</v>
      </c>
      <c r="B9630" s="216" t="str">
        <f ca="1">_xlfn.CONCAT(B9596,A9630)</f>
        <v>F038038-ag</v>
      </c>
      <c r="C9630" s="14" t="s">
        <v>1</v>
      </c>
      <c r="D9630" s="15" t="s">
        <v>28</v>
      </c>
      <c r="E9630" s="15" t="s">
        <v>20</v>
      </c>
      <c r="F9630" s="16" t="s">
        <v>21</v>
      </c>
      <c r="G9630" s="15" t="s">
        <v>5</v>
      </c>
    </row>
    <row r="9631" spans="1:7">
      <c r="A9631" s="211" t="s">
        <v>517</v>
      </c>
      <c r="B9631" s="216" t="str">
        <f ca="1">_xlfn.CONCAT(B9596,A9631)</f>
        <v>F038038-ah</v>
      </c>
      <c r="C9631" s="30" t="s">
        <v>29</v>
      </c>
      <c r="D9631" s="186">
        <f>'H-MO'!$N$77</f>
        <v>725918.52892505517</v>
      </c>
      <c r="E9631" s="31">
        <f>+D9631/8</f>
        <v>90739.816115631897</v>
      </c>
      <c r="F9631" s="32">
        <v>1.2</v>
      </c>
      <c r="G9631" s="33">
        <f>+E9631*F9631</f>
        <v>108887.77933875828</v>
      </c>
    </row>
    <row r="9632" spans="1:7">
      <c r="A9632" s="211" t="s">
        <v>518</v>
      </c>
      <c r="B9632" s="216" t="str">
        <f ca="1">_xlfn.CONCAT(B9596,A9632)</f>
        <v>F038038-ai</v>
      </c>
      <c r="C9632" s="34" t="s">
        <v>30</v>
      </c>
      <c r="D9632" s="187">
        <f>'H-MO'!$N$86</f>
        <v>685561.39085756091</v>
      </c>
      <c r="E9632" s="29">
        <f>+D9632/8</f>
        <v>85695.173857195114</v>
      </c>
      <c r="F9632" s="28">
        <v>0</v>
      </c>
      <c r="G9632" s="33">
        <f>+E9632*F9632</f>
        <v>0</v>
      </c>
    </row>
    <row r="9633" spans="1:8" ht="14.25" thickBot="1">
      <c r="A9633" s="211" t="s">
        <v>519</v>
      </c>
      <c r="B9633" s="216" t="str">
        <f ca="1">_xlfn.CONCAT(B9596,A9633)</f>
        <v>F038038-aj</v>
      </c>
      <c r="C9633" s="34"/>
      <c r="D9633" s="187"/>
      <c r="E9633" s="29"/>
      <c r="F9633" s="28"/>
      <c r="G9633" s="33">
        <f>+E9633*F9633</f>
        <v>0</v>
      </c>
    </row>
    <row r="9634" spans="1:8" ht="14.25" thickBot="1">
      <c r="A9634" s="211" t="s">
        <v>520</v>
      </c>
      <c r="B9634" s="216" t="str">
        <f ca="1">_xlfn.CONCAT(B9596,A9634)</f>
        <v>F038038-ak</v>
      </c>
      <c r="C9634" s="34"/>
      <c r="D9634" s="185"/>
      <c r="E9634" s="26"/>
      <c r="F9634" s="36" t="s">
        <v>31</v>
      </c>
      <c r="G9634" s="23">
        <f>SUM(G9631:G9633)</f>
        <v>108887.77933875828</v>
      </c>
    </row>
    <row r="9635" spans="1:8" ht="14.25" thickBot="1">
      <c r="A9635" s="211" t="s">
        <v>521</v>
      </c>
      <c r="B9635" s="216" t="str">
        <f ca="1">_xlfn.CONCAT(B9596,A9635)</f>
        <v>F038038-al</v>
      </c>
      <c r="C9635" s="37"/>
      <c r="E9635" s="38"/>
      <c r="F9635" s="22"/>
      <c r="G9635" s="39"/>
    </row>
    <row r="9636" spans="1:8" ht="16.5" thickBot="1">
      <c r="A9636" s="211" t="s">
        <v>522</v>
      </c>
      <c r="B9636" s="216" t="str">
        <f ca="1">_xlfn.CONCAT(B9596,A9636)</f>
        <v>F038038-am</v>
      </c>
      <c r="C9636" s="40"/>
      <c r="D9636" s="193"/>
      <c r="E9636" s="41"/>
      <c r="F9636" s="42"/>
      <c r="G9636" s="43">
        <f>+G9619+G9628+G9634</f>
        <v>562325.02933875832</v>
      </c>
    </row>
    <row r="9637" spans="1:8" ht="21.75" thickBot="1">
      <c r="B9637" s="212" t="s">
        <v>550</v>
      </c>
      <c r="C9637" s="2"/>
      <c r="D9637" s="183"/>
      <c r="F9637" s="4"/>
      <c r="G9637" s="5"/>
    </row>
    <row r="9638" spans="1:8" ht="18.75">
      <c r="A9638" s="213"/>
      <c r="B9638" s="214">
        <v>219</v>
      </c>
      <c r="C9638" s="242" t="str">
        <f ca="1">_xlfn.XLOOKUP(B9638,Cantidades!$A$10:$A$314,Cantidades!$C$10:$C$314,,0,1)</f>
        <v>Suministro e instalación de terminal preformado tipo intemperie de MT para cable 350 mcm</v>
      </c>
      <c r="D9638" s="243"/>
      <c r="E9638" s="243"/>
      <c r="F9638" s="243"/>
      <c r="G9638" s="244"/>
    </row>
    <row r="9639" spans="1:8" ht="19.5" thickBot="1">
      <c r="A9639" s="215"/>
      <c r="B9639" s="216" t="s">
        <v>550</v>
      </c>
      <c r="C9639" s="177"/>
      <c r="D9639" s="189"/>
      <c r="E9639" s="178"/>
      <c r="F9639" s="179" t="s">
        <v>636</v>
      </c>
      <c r="G9639" s="209" t="str">
        <f ca="1">B9640</f>
        <v>28880F8B-</v>
      </c>
    </row>
    <row r="9640" spans="1:8" ht="15.75" thickBot="1">
      <c r="B9640" s="212" t="str">
        <f ca="1">_xlfn.XLOOKUP(C9638,Cantidades!$C$1:$C$314,Cantidades!$B$1:$B$314,"",0,1)</f>
        <v>28880F8B-</v>
      </c>
      <c r="C9640" s="10" t="s">
        <v>0</v>
      </c>
      <c r="D9640" s="190"/>
      <c r="E9640" s="11"/>
      <c r="F9640" s="12"/>
      <c r="G9640" s="13"/>
    </row>
    <row r="9641" spans="1:8" ht="14.25" thickBot="1">
      <c r="A9641" s="215"/>
      <c r="B9641" s="216" t="s">
        <v>550</v>
      </c>
      <c r="C9641" s="14" t="s">
        <v>1</v>
      </c>
      <c r="D9641" s="15" t="s">
        <v>2</v>
      </c>
      <c r="E9641" s="15" t="s">
        <v>3</v>
      </c>
      <c r="F9641" s="16" t="s">
        <v>4</v>
      </c>
      <c r="G9641" s="15" t="s">
        <v>5</v>
      </c>
    </row>
    <row r="9642" spans="1:8" ht="15">
      <c r="A9642" s="211" t="s">
        <v>484</v>
      </c>
      <c r="B9642" s="216" t="str">
        <f ca="1">_xlfn.CONCAT(B9640,A9642)</f>
        <v>28880F8B-A</v>
      </c>
      <c r="C9642" s="17" t="str">
        <f>_xlfn.XLOOKUP(H9642,'Materiales unitario'!$A$1:$A$2500,'Materiales unitario'!B$1:B$2500,,0,1)</f>
        <v>Terminales Premoldeadas Para 35KV Uso Exterior 350-500 MCM</v>
      </c>
      <c r="D9642" s="184" t="str">
        <f>_xlfn.XLOOKUP(H9642,'Materiales unitario'!A$1:A$2500,'Materiales unitario'!C$1:C$2500,,0,1)</f>
        <v>un</v>
      </c>
      <c r="E9642" s="197">
        <f>_xlfn.XLOOKUP(H9642,'Materiales unitario'!$A$1:$A$2500,'Materiales unitario'!D$1:D$2500,,0,1)</f>
        <v>523670</v>
      </c>
      <c r="F9642" s="19">
        <v>1</v>
      </c>
      <c r="G9642" s="20">
        <f>+E9642*F9642</f>
        <v>523670</v>
      </c>
      <c r="H9642" s="217" t="s">
        <v>1593</v>
      </c>
    </row>
    <row r="9643" spans="1:8" ht="15">
      <c r="A9643" s="211" t="s">
        <v>485</v>
      </c>
      <c r="B9643" s="216" t="str">
        <f ca="1">_xlfn.CONCAT(B9640,A9643)</f>
        <v>28880F8B-B</v>
      </c>
      <c r="C9643" s="17"/>
      <c r="D9643" s="184"/>
      <c r="E9643" s="197"/>
      <c r="F9643" s="19"/>
      <c r="G9643" s="20"/>
      <c r="H9643" s="217"/>
    </row>
    <row r="9644" spans="1:8" ht="15">
      <c r="A9644" s="211" t="s">
        <v>486</v>
      </c>
      <c r="B9644" s="216" t="str">
        <f ca="1">_xlfn.CONCAT(B9640,A9644)</f>
        <v>28880F8B-C</v>
      </c>
      <c r="C9644" s="17"/>
      <c r="D9644" s="184"/>
      <c r="E9644" s="197"/>
      <c r="F9644" s="19"/>
      <c r="G9644" s="20"/>
      <c r="H9644" s="217"/>
    </row>
    <row r="9645" spans="1:8" ht="15">
      <c r="A9645" s="211" t="s">
        <v>487</v>
      </c>
      <c r="B9645" s="216" t="str">
        <f ca="1">_xlfn.CONCAT(B9640,A9645)</f>
        <v>28880F8B-D</v>
      </c>
      <c r="C9645" s="17"/>
      <c r="D9645" s="184"/>
      <c r="E9645" s="197"/>
      <c r="F9645" s="19"/>
      <c r="G9645" s="20"/>
      <c r="H9645" s="217"/>
    </row>
    <row r="9646" spans="1:8" ht="15">
      <c r="A9646" s="211" t="s">
        <v>488</v>
      </c>
      <c r="B9646" s="216" t="str">
        <f ca="1">_xlfn.CONCAT(B9640,A9646)</f>
        <v>28880F8B-E</v>
      </c>
      <c r="C9646" s="17"/>
      <c r="D9646" s="184"/>
      <c r="E9646" s="197"/>
      <c r="F9646" s="19"/>
      <c r="G9646" s="20"/>
      <c r="H9646" s="217"/>
    </row>
    <row r="9647" spans="1:8" ht="15">
      <c r="A9647" s="211" t="s">
        <v>489</v>
      </c>
      <c r="B9647" s="216" t="str">
        <f ca="1">_xlfn.CONCAT(B9640,A9647)</f>
        <v>28880F8B-F</v>
      </c>
      <c r="C9647" s="17"/>
      <c r="D9647" s="184"/>
      <c r="E9647" s="197"/>
      <c r="F9647" s="19"/>
      <c r="G9647" s="20"/>
      <c r="H9647" s="217"/>
    </row>
    <row r="9648" spans="1:8" ht="15">
      <c r="A9648" s="211" t="s">
        <v>490</v>
      </c>
      <c r="B9648" s="216" t="str">
        <f ca="1">_xlfn.CONCAT(B9640,A9648)</f>
        <v>28880F8B-G</v>
      </c>
      <c r="C9648" s="17"/>
      <c r="D9648" s="184"/>
      <c r="E9648" s="197"/>
      <c r="F9648" s="19"/>
      <c r="G9648" s="20"/>
      <c r="H9648" s="217"/>
    </row>
    <row r="9649" spans="1:8" ht="15">
      <c r="A9649" s="211" t="s">
        <v>491</v>
      </c>
      <c r="B9649" s="216" t="str">
        <f ca="1">_xlfn.CONCAT(B9640,A9649)</f>
        <v>28880F8B-H</v>
      </c>
      <c r="C9649" s="17"/>
      <c r="D9649" s="184"/>
      <c r="E9649" s="197"/>
      <c r="F9649" s="19"/>
      <c r="G9649" s="20"/>
      <c r="H9649" s="217"/>
    </row>
    <row r="9650" spans="1:8" ht="15">
      <c r="A9650" s="211" t="s">
        <v>492</v>
      </c>
      <c r="B9650" s="216" t="str">
        <f ca="1">_xlfn.CONCAT(B9640,A9650)</f>
        <v>28880F8B-I</v>
      </c>
      <c r="C9650" s="17"/>
      <c r="D9650" s="184"/>
      <c r="E9650" s="197"/>
      <c r="F9650" s="19"/>
      <c r="G9650" s="20"/>
      <c r="H9650" s="217"/>
    </row>
    <row r="9651" spans="1:8" ht="15">
      <c r="A9651" s="211" t="s">
        <v>493</v>
      </c>
      <c r="B9651" s="216" t="str">
        <f ca="1">_xlfn.CONCAT(B9640,A9651)</f>
        <v>28880F8B-J</v>
      </c>
      <c r="C9651" s="17"/>
      <c r="D9651" s="184"/>
      <c r="E9651" s="197"/>
      <c r="F9651" s="19"/>
      <c r="G9651" s="20"/>
      <c r="H9651" s="217"/>
    </row>
    <row r="9652" spans="1:8">
      <c r="A9652" s="211" t="s">
        <v>494</v>
      </c>
      <c r="B9652" s="216" t="str">
        <f ca="1">_xlfn.CONCAT(B9640,A9652)</f>
        <v>28880F8B-K</v>
      </c>
      <c r="C9652" s="17"/>
      <c r="D9652" s="184"/>
      <c r="E9652" s="197"/>
      <c r="F9652" s="19"/>
      <c r="G9652" s="20"/>
    </row>
    <row r="9653" spans="1:8">
      <c r="A9653" s="211" t="s">
        <v>495</v>
      </c>
      <c r="B9653" s="216" t="str">
        <f ca="1">_xlfn.CONCAT(B9640,A9653)</f>
        <v>28880F8B-L</v>
      </c>
      <c r="C9653" s="17"/>
      <c r="D9653" s="184"/>
      <c r="E9653" s="197"/>
      <c r="F9653" s="19"/>
      <c r="G9653" s="20"/>
    </row>
    <row r="9654" spans="1:8">
      <c r="A9654" s="211" t="s">
        <v>496</v>
      </c>
      <c r="B9654" s="216" t="str">
        <f ca="1">_xlfn.CONCAT(B9640,A9654)</f>
        <v>28880F8B-M</v>
      </c>
      <c r="C9654" s="17"/>
      <c r="D9654" s="184"/>
      <c r="E9654" s="197"/>
      <c r="F9654" s="19"/>
      <c r="G9654" s="20"/>
    </row>
    <row r="9655" spans="1:8">
      <c r="A9655" s="211" t="s">
        <v>497</v>
      </c>
      <c r="B9655" s="216" t="str">
        <f ca="1">_xlfn.CONCAT(B9640,A9655)</f>
        <v>28880F8B-N</v>
      </c>
      <c r="C9655" s="17"/>
      <c r="D9655" s="184"/>
      <c r="E9655" s="197"/>
      <c r="F9655" s="19"/>
      <c r="G9655" s="20"/>
    </row>
    <row r="9656" spans="1:8">
      <c r="A9656" s="211" t="s">
        <v>498</v>
      </c>
      <c r="B9656" s="216" t="str">
        <f ca="1">_xlfn.CONCAT(B9640,A9656)</f>
        <v>28880F8B-O</v>
      </c>
      <c r="C9656" s="17"/>
      <c r="D9656" s="184"/>
      <c r="E9656" s="197"/>
      <c r="F9656" s="19"/>
      <c r="G9656" s="20"/>
    </row>
    <row r="9657" spans="1:8">
      <c r="A9657" s="211" t="s">
        <v>499</v>
      </c>
      <c r="B9657" s="216" t="str">
        <f ca="1">_xlfn.CONCAT(B9640,A9657)</f>
        <v>28880F8B-P</v>
      </c>
      <c r="C9657" s="17"/>
      <c r="D9657" s="184"/>
      <c r="E9657" s="197"/>
      <c r="F9657" s="19"/>
      <c r="G9657" s="20"/>
    </row>
    <row r="9658" spans="1:8">
      <c r="A9658" s="211" t="s">
        <v>500</v>
      </c>
      <c r="B9658" s="216" t="str">
        <f ca="1">_xlfn.CONCAT(B9640,A9658)</f>
        <v>28880F8B-Q</v>
      </c>
      <c r="C9658" s="17"/>
      <c r="D9658" s="184"/>
      <c r="E9658" s="197"/>
      <c r="F9658" s="19"/>
      <c r="G9658" s="20"/>
    </row>
    <row r="9659" spans="1:8">
      <c r="A9659" s="211" t="s">
        <v>501</v>
      </c>
      <c r="B9659" s="216" t="str">
        <f ca="1">_xlfn.CONCAT(B9640,A9659)</f>
        <v>28880F8B-R</v>
      </c>
      <c r="C9659" s="17"/>
      <c r="D9659" s="184"/>
      <c r="E9659" s="197"/>
      <c r="F9659" s="19"/>
      <c r="G9659" s="20"/>
    </row>
    <row r="9660" spans="1:8">
      <c r="A9660" s="211" t="s">
        <v>502</v>
      </c>
      <c r="B9660" s="216" t="str">
        <f ca="1">_xlfn.CONCAT(B9640,A9660)</f>
        <v>28880F8B-S</v>
      </c>
      <c r="C9660" s="17"/>
      <c r="D9660" s="184"/>
      <c r="E9660" s="197"/>
      <c r="F9660" s="19"/>
      <c r="G9660" s="20"/>
    </row>
    <row r="9661" spans="1:8">
      <c r="A9661" s="211" t="s">
        <v>503</v>
      </c>
      <c r="B9661" s="216" t="str">
        <f ca="1">_xlfn.CONCAT(B9640,A9661)</f>
        <v>28880F8B-T</v>
      </c>
      <c r="C9661" s="17"/>
      <c r="D9661" s="184"/>
      <c r="E9661" s="197"/>
      <c r="F9661" s="19"/>
      <c r="G9661" s="20"/>
    </row>
    <row r="9662" spans="1:8" ht="14.25" thickBot="1">
      <c r="A9662" s="211" t="s">
        <v>504</v>
      </c>
      <c r="B9662" s="216" t="str">
        <f ca="1">_xlfn.CONCAT(B9640,A9662)</f>
        <v>28880F8B-U</v>
      </c>
      <c r="C9662" s="17"/>
      <c r="D9662" s="184"/>
      <c r="E9662" s="197"/>
      <c r="F9662" s="19"/>
      <c r="G9662" s="20"/>
    </row>
    <row r="9663" spans="1:8" ht="14.25" thickBot="1">
      <c r="A9663" s="211" t="s">
        <v>505</v>
      </c>
      <c r="B9663" s="216" t="str">
        <f ca="1">_xlfn.CONCAT(B9640,A9663)</f>
        <v>28880F8B-V</v>
      </c>
      <c r="C9663" s="17" t="s">
        <v>17</v>
      </c>
      <c r="D9663" s="192" t="s">
        <v>17</v>
      </c>
      <c r="E9663" s="18"/>
      <c r="F9663" s="22" t="s">
        <v>18</v>
      </c>
      <c r="G9663" s="23">
        <f>SUM(G9642:G9662)</f>
        <v>523670</v>
      </c>
    </row>
    <row r="9664" spans="1:8" ht="15.75" thickBot="1">
      <c r="A9664" s="211" t="s">
        <v>506</v>
      </c>
      <c r="B9664" s="216" t="str">
        <f ca="1">_xlfn.CONCAT(B9640,A9664)</f>
        <v>28880F8B-W</v>
      </c>
      <c r="C9664" s="10" t="s">
        <v>19</v>
      </c>
      <c r="D9664" s="190"/>
      <c r="E9664" s="11"/>
      <c r="F9664" s="12"/>
      <c r="G9664" s="13"/>
    </row>
    <row r="9665" spans="1:7" ht="14.25" thickBot="1">
      <c r="A9665" s="211" t="s">
        <v>507</v>
      </c>
      <c r="B9665" s="216" t="str">
        <f ca="1">_xlfn.CONCAT(B9640,A9665)</f>
        <v>28880F8B-X</v>
      </c>
      <c r="C9665" s="14" t="s">
        <v>1</v>
      </c>
      <c r="D9665" s="15"/>
      <c r="E9665" s="15" t="s">
        <v>20</v>
      </c>
      <c r="F9665" s="16" t="s">
        <v>21</v>
      </c>
      <c r="G9665" s="15" t="s">
        <v>5</v>
      </c>
    </row>
    <row r="9666" spans="1:7">
      <c r="A9666" s="211" t="s">
        <v>508</v>
      </c>
      <c r="B9666" s="216" t="str">
        <f ca="1">_xlfn.CONCAT(B9640,A9666)</f>
        <v>28880F8B-Y</v>
      </c>
      <c r="C9666" s="24" t="s">
        <v>22</v>
      </c>
      <c r="D9666" s="184"/>
      <c r="E9666" s="25">
        <f>_xlfn.XLOOKUP(C9666,'H-MO'!B$7:B$30,'H-MO'!D$7:D$30,,0,1)</f>
        <v>2436.5624999999995</v>
      </c>
      <c r="F9666" s="19">
        <v>5</v>
      </c>
      <c r="G9666" s="33">
        <f t="shared" ref="G9666:G9671" si="276">+E9666*F9666</f>
        <v>12182.812499999998</v>
      </c>
    </row>
    <row r="9667" spans="1:7">
      <c r="A9667" s="211" t="s">
        <v>509</v>
      </c>
      <c r="B9667" s="216" t="str">
        <f ca="1">_xlfn.CONCAT(B9640,A9667)</f>
        <v>28880F8B-Z</v>
      </c>
      <c r="C9667" s="24" t="s">
        <v>23</v>
      </c>
      <c r="D9667" s="184"/>
      <c r="E9667" s="25">
        <f>_xlfn.XLOOKUP(C9667,'H-MO'!B$7:B$30,'H-MO'!D$7:D$30,,0,1)</f>
        <v>1461.9374999999998</v>
      </c>
      <c r="F9667" s="19">
        <v>1</v>
      </c>
      <c r="G9667" s="33">
        <f t="shared" si="276"/>
        <v>1461.9374999999998</v>
      </c>
    </row>
    <row r="9668" spans="1:7">
      <c r="A9668" s="211" t="s">
        <v>510</v>
      </c>
      <c r="B9668" s="216" t="str">
        <f ca="1">_xlfn.CONCAT(B9640,A9668)</f>
        <v>28880F8B-aa</v>
      </c>
      <c r="C9668" s="24" t="s">
        <v>24</v>
      </c>
      <c r="D9668" s="185"/>
      <c r="E9668" s="25">
        <f>_xlfn.XLOOKUP(C9668,'H-MO'!B$7:B$30,'H-MO'!D$7:D$30,,0,1)</f>
        <v>29238.749999999996</v>
      </c>
      <c r="F9668" s="28">
        <v>0.2</v>
      </c>
      <c r="G9668" s="33">
        <f t="shared" si="276"/>
        <v>5847.75</v>
      </c>
    </row>
    <row r="9669" spans="1:7">
      <c r="A9669" s="211" t="s">
        <v>511</v>
      </c>
      <c r="B9669" s="216" t="str">
        <f ca="1">_xlfn.CONCAT(B9640,A9669)</f>
        <v>28880F8B-ab</v>
      </c>
      <c r="C9669" s="24" t="s">
        <v>25</v>
      </c>
      <c r="D9669" s="185"/>
      <c r="E9669" s="25">
        <f>_xlfn.XLOOKUP(C9669,'H-MO'!B$7:B$30,'H-MO'!D$7:D$30,,0,1)</f>
        <v>2761.4374999999995</v>
      </c>
      <c r="F9669" s="28">
        <v>0.5</v>
      </c>
      <c r="G9669" s="33">
        <f t="shared" si="276"/>
        <v>1380.7187499999998</v>
      </c>
    </row>
    <row r="9670" spans="1:7">
      <c r="A9670" s="211" t="s">
        <v>512</v>
      </c>
      <c r="B9670" s="216" t="str">
        <f ca="1">_xlfn.CONCAT(B9640,A9670)</f>
        <v>28880F8B-ac</v>
      </c>
      <c r="C9670" s="24"/>
      <c r="D9670" s="185"/>
      <c r="E9670" s="29"/>
      <c r="F9670" s="28"/>
      <c r="G9670" s="33">
        <f t="shared" si="276"/>
        <v>0</v>
      </c>
    </row>
    <row r="9671" spans="1:7" ht="14.25" thickBot="1">
      <c r="A9671" s="211" t="s">
        <v>513</v>
      </c>
      <c r="B9671" s="216" t="str">
        <f ca="1">_xlfn.CONCAT(B9640,A9671)</f>
        <v>28880F8B-ad</v>
      </c>
      <c r="C9671" s="24"/>
      <c r="D9671" s="185"/>
      <c r="E9671" s="29"/>
      <c r="F9671" s="28"/>
      <c r="G9671" s="33">
        <f t="shared" si="276"/>
        <v>0</v>
      </c>
    </row>
    <row r="9672" spans="1:7" ht="14.25" thickBot="1">
      <c r="A9672" s="211" t="s">
        <v>514</v>
      </c>
      <c r="B9672" s="216" t="str">
        <f ca="1">_xlfn.CONCAT(B9640,A9672)</f>
        <v>28880F8B-ae</v>
      </c>
      <c r="C9672" s="17"/>
      <c r="D9672" s="192"/>
      <c r="E9672" s="18"/>
      <c r="F9672" s="22" t="s">
        <v>26</v>
      </c>
      <c r="G9672" s="23">
        <f>SUM(G9666:G9671)</f>
        <v>20873.21875</v>
      </c>
    </row>
    <row r="9673" spans="1:7" ht="15.75" thickBot="1">
      <c r="A9673" s="211" t="s">
        <v>515</v>
      </c>
      <c r="B9673" s="216" t="str">
        <f ca="1">_xlfn.CONCAT(B9640,A9673)</f>
        <v>28880F8B-af</v>
      </c>
      <c r="C9673" s="10" t="s">
        <v>27</v>
      </c>
      <c r="D9673" s="190"/>
      <c r="E9673" s="11"/>
      <c r="F9673" s="12"/>
      <c r="G9673" s="13"/>
    </row>
    <row r="9674" spans="1:7" ht="14.25" thickBot="1">
      <c r="A9674" s="211" t="s">
        <v>516</v>
      </c>
      <c r="B9674" s="216" t="str">
        <f ca="1">_xlfn.CONCAT(B9640,A9674)</f>
        <v>28880F8B-ag</v>
      </c>
      <c r="C9674" s="14" t="s">
        <v>1</v>
      </c>
      <c r="D9674" s="15" t="s">
        <v>28</v>
      </c>
      <c r="E9674" s="15" t="s">
        <v>20</v>
      </c>
      <c r="F9674" s="16" t="s">
        <v>21</v>
      </c>
      <c r="G9674" s="15" t="s">
        <v>5</v>
      </c>
    </row>
    <row r="9675" spans="1:7">
      <c r="A9675" s="211" t="s">
        <v>517</v>
      </c>
      <c r="B9675" s="216" t="str">
        <f ca="1">_xlfn.CONCAT(B9640,A9675)</f>
        <v>28880F8B-ah</v>
      </c>
      <c r="C9675" s="30" t="s">
        <v>29</v>
      </c>
      <c r="D9675" s="186">
        <f>'H-MO'!$N$77</f>
        <v>725918.52892505517</v>
      </c>
      <c r="E9675" s="31">
        <f>+D9675/8</f>
        <v>90739.816115631897</v>
      </c>
      <c r="F9675" s="32">
        <v>2.4300000000000002</v>
      </c>
      <c r="G9675" s="33">
        <f>+E9675*F9675</f>
        <v>220497.75316098554</v>
      </c>
    </row>
    <row r="9676" spans="1:7">
      <c r="A9676" s="211" t="s">
        <v>518</v>
      </c>
      <c r="B9676" s="216" t="str">
        <f ca="1">_xlfn.CONCAT(B9640,A9676)</f>
        <v>28880F8B-ai</v>
      </c>
      <c r="C9676" s="34" t="s">
        <v>30</v>
      </c>
      <c r="D9676" s="187">
        <f>'H-MO'!$N$86</f>
        <v>685561.39085756091</v>
      </c>
      <c r="E9676" s="29">
        <f>+D9676/8</f>
        <v>85695.173857195114</v>
      </c>
      <c r="F9676" s="28">
        <v>0</v>
      </c>
      <c r="G9676" s="33">
        <f>+E9676*F9676</f>
        <v>0</v>
      </c>
    </row>
    <row r="9677" spans="1:7" ht="14.25" thickBot="1">
      <c r="A9677" s="211" t="s">
        <v>519</v>
      </c>
      <c r="B9677" s="216" t="str">
        <f ca="1">_xlfn.CONCAT(B9640,A9677)</f>
        <v>28880F8B-aj</v>
      </c>
      <c r="C9677" s="34"/>
      <c r="D9677" s="187"/>
      <c r="E9677" s="29"/>
      <c r="F9677" s="28"/>
      <c r="G9677" s="33">
        <f>+E9677*F9677</f>
        <v>0</v>
      </c>
    </row>
    <row r="9678" spans="1:7" ht="14.25" thickBot="1">
      <c r="A9678" s="211" t="s">
        <v>520</v>
      </c>
      <c r="B9678" s="216" t="str">
        <f ca="1">_xlfn.CONCAT(B9640,A9678)</f>
        <v>28880F8B-ak</v>
      </c>
      <c r="C9678" s="34"/>
      <c r="D9678" s="185"/>
      <c r="E9678" s="26"/>
      <c r="F9678" s="36" t="s">
        <v>31</v>
      </c>
      <c r="G9678" s="23">
        <f>SUM(G9675:G9677)</f>
        <v>220497.75316098554</v>
      </c>
    </row>
    <row r="9679" spans="1:7" ht="14.25" thickBot="1">
      <c r="A9679" s="211" t="s">
        <v>521</v>
      </c>
      <c r="B9679" s="216" t="str">
        <f ca="1">_xlfn.CONCAT(B9640,A9679)</f>
        <v>28880F8B-al</v>
      </c>
      <c r="C9679" s="37"/>
      <c r="E9679" s="38"/>
      <c r="F9679" s="22"/>
      <c r="G9679" s="39"/>
    </row>
    <row r="9680" spans="1:7" ht="16.5" thickBot="1">
      <c r="A9680" s="211" t="s">
        <v>522</v>
      </c>
      <c r="B9680" s="216" t="str">
        <f ca="1">_xlfn.CONCAT(B9640,A9680)</f>
        <v>28880F8B-am</v>
      </c>
      <c r="C9680" s="40"/>
      <c r="D9680" s="193"/>
      <c r="E9680" s="41"/>
      <c r="F9680" s="42"/>
      <c r="G9680" s="43">
        <f>+G9663+G9672+G9678</f>
        <v>765040.97191098554</v>
      </c>
    </row>
    <row r="9681" spans="1:8" ht="21.75" thickBot="1">
      <c r="B9681" s="212" t="s">
        <v>550</v>
      </c>
      <c r="C9681" s="2"/>
      <c r="D9681" s="183"/>
      <c r="F9681" s="4"/>
      <c r="G9681" s="5"/>
    </row>
    <row r="9682" spans="1:8" ht="18.75">
      <c r="A9682" s="213"/>
      <c r="B9682" s="214">
        <v>220</v>
      </c>
      <c r="C9682" s="242" t="str">
        <f ca="1">_xlfn.XLOOKUP(B9682,Cantidades!$A$10:$A$314,Cantidades!$C$10:$C$314,,0,1)</f>
        <v>Suministro e instalación de terminal preformado tipo interior de MT para cable 350 mcm</v>
      </c>
      <c r="D9682" s="243"/>
      <c r="E9682" s="243"/>
      <c r="F9682" s="243"/>
      <c r="G9682" s="244"/>
    </row>
    <row r="9683" spans="1:8" ht="19.5" thickBot="1">
      <c r="A9683" s="215"/>
      <c r="B9683" s="216" t="s">
        <v>550</v>
      </c>
      <c r="C9683" s="177"/>
      <c r="D9683" s="189"/>
      <c r="E9683" s="178"/>
      <c r="F9683" s="179" t="s">
        <v>636</v>
      </c>
      <c r="G9683" s="209" t="str">
        <f ca="1">B9684</f>
        <v>1FF24086-</v>
      </c>
    </row>
    <row r="9684" spans="1:8" ht="15.75" thickBot="1">
      <c r="B9684" s="212" t="str">
        <f ca="1">_xlfn.XLOOKUP(C9682,Cantidades!$C$1:$C$314,Cantidades!$B$1:$B$314,"",0,1)</f>
        <v>1FF24086-</v>
      </c>
      <c r="C9684" s="10" t="s">
        <v>0</v>
      </c>
      <c r="D9684" s="190"/>
      <c r="E9684" s="11"/>
      <c r="F9684" s="12"/>
      <c r="G9684" s="13"/>
    </row>
    <row r="9685" spans="1:8" ht="14.25" thickBot="1">
      <c r="A9685" s="215"/>
      <c r="B9685" s="216" t="s">
        <v>550</v>
      </c>
      <c r="C9685" s="14" t="s">
        <v>1</v>
      </c>
      <c r="D9685" s="15" t="s">
        <v>2</v>
      </c>
      <c r="E9685" s="15" t="s">
        <v>3</v>
      </c>
      <c r="F9685" s="16" t="s">
        <v>4</v>
      </c>
      <c r="G9685" s="15" t="s">
        <v>5</v>
      </c>
    </row>
    <row r="9686" spans="1:8" ht="15">
      <c r="A9686" s="211" t="s">
        <v>484</v>
      </c>
      <c r="B9686" s="216" t="str">
        <f ca="1">_xlfn.CONCAT(B9684,A9686)</f>
        <v>1FF24086-A</v>
      </c>
      <c r="C9686" s="17" t="str">
        <f>_xlfn.XLOOKUP(H9686,'Materiales unitario'!$A$1:$A$2500,'Materiales unitario'!B$1:B$2500,,0,1)</f>
        <v>Terminales Premoldeadas Para 35KV Uso Interior 350-500 MCM</v>
      </c>
      <c r="D9686" s="184" t="str">
        <f>_xlfn.XLOOKUP(H9686,'Materiales unitario'!A$1:A$2500,'Materiales unitario'!C$1:C$2500,,0,1)</f>
        <v>un</v>
      </c>
      <c r="E9686" s="197">
        <f>_xlfn.XLOOKUP(H9686,'Materiales unitario'!$A$1:$A$2500,'Materiales unitario'!D$1:D$2500,,0,1)</f>
        <v>411700</v>
      </c>
      <c r="F9686" s="19">
        <v>1</v>
      </c>
      <c r="G9686" s="20">
        <f>+E9686*F9686</f>
        <v>411700</v>
      </c>
      <c r="H9686" s="217" t="s">
        <v>1590</v>
      </c>
    </row>
    <row r="9687" spans="1:8" ht="15">
      <c r="A9687" s="211" t="s">
        <v>485</v>
      </c>
      <c r="B9687" s="216" t="str">
        <f ca="1">_xlfn.CONCAT(B9684,A9687)</f>
        <v>1FF24086-B</v>
      </c>
      <c r="C9687" s="17"/>
      <c r="D9687" s="184"/>
      <c r="E9687" s="197"/>
      <c r="F9687" s="19"/>
      <c r="G9687" s="20"/>
      <c r="H9687" s="217"/>
    </row>
    <row r="9688" spans="1:8" ht="15">
      <c r="A9688" s="211" t="s">
        <v>486</v>
      </c>
      <c r="B9688" s="216" t="str">
        <f ca="1">_xlfn.CONCAT(B9684,A9688)</f>
        <v>1FF24086-C</v>
      </c>
      <c r="C9688" s="17"/>
      <c r="D9688" s="184"/>
      <c r="E9688" s="197"/>
      <c r="F9688" s="19"/>
      <c r="G9688" s="20"/>
      <c r="H9688" s="217"/>
    </row>
    <row r="9689" spans="1:8" ht="15">
      <c r="A9689" s="211" t="s">
        <v>487</v>
      </c>
      <c r="B9689" s="216" t="str">
        <f ca="1">_xlfn.CONCAT(B9684,A9689)</f>
        <v>1FF24086-D</v>
      </c>
      <c r="C9689" s="17"/>
      <c r="D9689" s="184"/>
      <c r="E9689" s="197"/>
      <c r="F9689" s="19"/>
      <c r="G9689" s="20"/>
      <c r="H9689" s="217"/>
    </row>
    <row r="9690" spans="1:8" ht="15">
      <c r="A9690" s="211" t="s">
        <v>488</v>
      </c>
      <c r="B9690" s="216" t="str">
        <f ca="1">_xlfn.CONCAT(B9684,A9690)</f>
        <v>1FF24086-E</v>
      </c>
      <c r="C9690" s="17"/>
      <c r="D9690" s="184"/>
      <c r="E9690" s="197"/>
      <c r="F9690" s="19"/>
      <c r="G9690" s="20"/>
      <c r="H9690" s="217"/>
    </row>
    <row r="9691" spans="1:8" ht="15">
      <c r="A9691" s="211" t="s">
        <v>489</v>
      </c>
      <c r="B9691" s="216" t="str">
        <f ca="1">_xlfn.CONCAT(B9684,A9691)</f>
        <v>1FF24086-F</v>
      </c>
      <c r="C9691" s="17"/>
      <c r="D9691" s="184"/>
      <c r="E9691" s="197"/>
      <c r="F9691" s="19"/>
      <c r="G9691" s="20"/>
      <c r="H9691" s="217"/>
    </row>
    <row r="9692" spans="1:8" ht="15">
      <c r="A9692" s="211" t="s">
        <v>490</v>
      </c>
      <c r="B9692" s="216" t="str">
        <f ca="1">_xlfn.CONCAT(B9684,A9692)</f>
        <v>1FF24086-G</v>
      </c>
      <c r="C9692" s="17"/>
      <c r="D9692" s="184"/>
      <c r="E9692" s="197"/>
      <c r="F9692" s="19"/>
      <c r="G9692" s="20"/>
      <c r="H9692" s="217"/>
    </row>
    <row r="9693" spans="1:8" ht="15">
      <c r="A9693" s="211" t="s">
        <v>491</v>
      </c>
      <c r="B9693" s="216" t="str">
        <f ca="1">_xlfn.CONCAT(B9684,A9693)</f>
        <v>1FF24086-H</v>
      </c>
      <c r="C9693" s="17"/>
      <c r="D9693" s="184"/>
      <c r="E9693" s="197"/>
      <c r="F9693" s="19"/>
      <c r="G9693" s="20"/>
      <c r="H9693" s="217"/>
    </row>
    <row r="9694" spans="1:8" ht="15">
      <c r="A9694" s="211" t="s">
        <v>492</v>
      </c>
      <c r="B9694" s="216" t="str">
        <f ca="1">_xlfn.CONCAT(B9684,A9694)</f>
        <v>1FF24086-I</v>
      </c>
      <c r="C9694" s="17"/>
      <c r="D9694" s="184"/>
      <c r="E9694" s="197"/>
      <c r="F9694" s="19"/>
      <c r="G9694" s="20"/>
      <c r="H9694" s="217"/>
    </row>
    <row r="9695" spans="1:8" ht="15">
      <c r="A9695" s="211" t="s">
        <v>493</v>
      </c>
      <c r="B9695" s="216" t="str">
        <f ca="1">_xlfn.CONCAT(B9684,A9695)</f>
        <v>1FF24086-J</v>
      </c>
      <c r="C9695" s="17"/>
      <c r="D9695" s="184"/>
      <c r="E9695" s="197"/>
      <c r="F9695" s="19"/>
      <c r="G9695" s="20"/>
      <c r="H9695" s="217"/>
    </row>
    <row r="9696" spans="1:8">
      <c r="A9696" s="211" t="s">
        <v>494</v>
      </c>
      <c r="B9696" s="216" t="str">
        <f ca="1">_xlfn.CONCAT(B9684,A9696)</f>
        <v>1FF24086-K</v>
      </c>
      <c r="C9696" s="17"/>
      <c r="D9696" s="184"/>
      <c r="E9696" s="197"/>
      <c r="F9696" s="19"/>
      <c r="G9696" s="20"/>
    </row>
    <row r="9697" spans="1:7">
      <c r="A9697" s="211" t="s">
        <v>495</v>
      </c>
      <c r="B9697" s="216" t="str">
        <f ca="1">_xlfn.CONCAT(B9684,A9697)</f>
        <v>1FF24086-L</v>
      </c>
      <c r="C9697" s="17"/>
      <c r="D9697" s="184"/>
      <c r="E9697" s="197"/>
      <c r="F9697" s="19"/>
      <c r="G9697" s="20"/>
    </row>
    <row r="9698" spans="1:7">
      <c r="A9698" s="211" t="s">
        <v>496</v>
      </c>
      <c r="B9698" s="216" t="str">
        <f ca="1">_xlfn.CONCAT(B9684,A9698)</f>
        <v>1FF24086-M</v>
      </c>
      <c r="C9698" s="17"/>
      <c r="D9698" s="184"/>
      <c r="E9698" s="197"/>
      <c r="F9698" s="19"/>
      <c r="G9698" s="20"/>
    </row>
    <row r="9699" spans="1:7">
      <c r="A9699" s="211" t="s">
        <v>497</v>
      </c>
      <c r="B9699" s="216" t="str">
        <f ca="1">_xlfn.CONCAT(B9684,A9699)</f>
        <v>1FF24086-N</v>
      </c>
      <c r="C9699" s="17"/>
      <c r="D9699" s="184"/>
      <c r="E9699" s="197"/>
      <c r="F9699" s="19"/>
      <c r="G9699" s="20"/>
    </row>
    <row r="9700" spans="1:7">
      <c r="A9700" s="211" t="s">
        <v>498</v>
      </c>
      <c r="B9700" s="216" t="str">
        <f ca="1">_xlfn.CONCAT(B9684,A9700)</f>
        <v>1FF24086-O</v>
      </c>
      <c r="C9700" s="17"/>
      <c r="D9700" s="184"/>
      <c r="E9700" s="197"/>
      <c r="F9700" s="19"/>
      <c r="G9700" s="20"/>
    </row>
    <row r="9701" spans="1:7">
      <c r="A9701" s="211" t="s">
        <v>499</v>
      </c>
      <c r="B9701" s="216" t="str">
        <f ca="1">_xlfn.CONCAT(B9684,A9701)</f>
        <v>1FF24086-P</v>
      </c>
      <c r="C9701" s="17"/>
      <c r="D9701" s="184"/>
      <c r="E9701" s="197"/>
      <c r="F9701" s="19"/>
      <c r="G9701" s="20"/>
    </row>
    <row r="9702" spans="1:7">
      <c r="A9702" s="211" t="s">
        <v>500</v>
      </c>
      <c r="B9702" s="216" t="str">
        <f ca="1">_xlfn.CONCAT(B9684,A9702)</f>
        <v>1FF24086-Q</v>
      </c>
      <c r="C9702" s="17"/>
      <c r="D9702" s="184"/>
      <c r="E9702" s="197"/>
      <c r="F9702" s="19"/>
      <c r="G9702" s="20"/>
    </row>
    <row r="9703" spans="1:7">
      <c r="A9703" s="211" t="s">
        <v>501</v>
      </c>
      <c r="B9703" s="216" t="str">
        <f ca="1">_xlfn.CONCAT(B9684,A9703)</f>
        <v>1FF24086-R</v>
      </c>
      <c r="C9703" s="17"/>
      <c r="D9703" s="184"/>
      <c r="E9703" s="197"/>
      <c r="F9703" s="19"/>
      <c r="G9703" s="20"/>
    </row>
    <row r="9704" spans="1:7">
      <c r="A9704" s="211" t="s">
        <v>502</v>
      </c>
      <c r="B9704" s="216" t="str">
        <f ca="1">_xlfn.CONCAT(B9684,A9704)</f>
        <v>1FF24086-S</v>
      </c>
      <c r="C9704" s="17"/>
      <c r="D9704" s="184"/>
      <c r="E9704" s="197"/>
      <c r="F9704" s="19"/>
      <c r="G9704" s="20"/>
    </row>
    <row r="9705" spans="1:7">
      <c r="A9705" s="211" t="s">
        <v>503</v>
      </c>
      <c r="B9705" s="216" t="str">
        <f ca="1">_xlfn.CONCAT(B9684,A9705)</f>
        <v>1FF24086-T</v>
      </c>
      <c r="C9705" s="17"/>
      <c r="D9705" s="184"/>
      <c r="E9705" s="197"/>
      <c r="F9705" s="19"/>
      <c r="G9705" s="20"/>
    </row>
    <row r="9706" spans="1:7" ht="14.25" thickBot="1">
      <c r="A9706" s="211" t="s">
        <v>504</v>
      </c>
      <c r="B9706" s="216" t="str">
        <f ca="1">_xlfn.CONCAT(B9684,A9706)</f>
        <v>1FF24086-U</v>
      </c>
      <c r="C9706" s="17"/>
      <c r="D9706" s="184"/>
      <c r="E9706" s="197"/>
      <c r="F9706" s="19"/>
      <c r="G9706" s="20"/>
    </row>
    <row r="9707" spans="1:7" ht="14.25" thickBot="1">
      <c r="A9707" s="211" t="s">
        <v>505</v>
      </c>
      <c r="B9707" s="216" t="str">
        <f ca="1">_xlfn.CONCAT(B9684,A9707)</f>
        <v>1FF24086-V</v>
      </c>
      <c r="C9707" s="17" t="s">
        <v>17</v>
      </c>
      <c r="D9707" s="192" t="s">
        <v>17</v>
      </c>
      <c r="E9707" s="18"/>
      <c r="F9707" s="22" t="s">
        <v>18</v>
      </c>
      <c r="G9707" s="23">
        <f>SUM(G9686:G9706)</f>
        <v>411700</v>
      </c>
    </row>
    <row r="9708" spans="1:7" ht="15.75" thickBot="1">
      <c r="A9708" s="211" t="s">
        <v>506</v>
      </c>
      <c r="B9708" s="216" t="str">
        <f ca="1">_xlfn.CONCAT(B9684,A9708)</f>
        <v>1FF24086-W</v>
      </c>
      <c r="C9708" s="10" t="s">
        <v>19</v>
      </c>
      <c r="D9708" s="190"/>
      <c r="E9708" s="11"/>
      <c r="F9708" s="12"/>
      <c r="G9708" s="13"/>
    </row>
    <row r="9709" spans="1:7" ht="14.25" thickBot="1">
      <c r="A9709" s="211" t="s">
        <v>507</v>
      </c>
      <c r="B9709" s="216" t="str">
        <f ca="1">_xlfn.CONCAT(B9684,A9709)</f>
        <v>1FF24086-X</v>
      </c>
      <c r="C9709" s="14" t="s">
        <v>1</v>
      </c>
      <c r="D9709" s="15"/>
      <c r="E9709" s="15" t="s">
        <v>20</v>
      </c>
      <c r="F9709" s="16" t="s">
        <v>21</v>
      </c>
      <c r="G9709" s="15" t="s">
        <v>5</v>
      </c>
    </row>
    <row r="9710" spans="1:7">
      <c r="A9710" s="211" t="s">
        <v>508</v>
      </c>
      <c r="B9710" s="216" t="str">
        <f ca="1">_xlfn.CONCAT(B9684,A9710)</f>
        <v>1FF24086-Y</v>
      </c>
      <c r="C9710" s="24" t="s">
        <v>22</v>
      </c>
      <c r="D9710" s="184"/>
      <c r="E9710" s="25">
        <f>_xlfn.XLOOKUP(C9710,'H-MO'!B$7:B$30,'H-MO'!D$7:D$30,,0,1)</f>
        <v>2436.5624999999995</v>
      </c>
      <c r="F9710" s="19">
        <v>5</v>
      </c>
      <c r="G9710" s="33">
        <f t="shared" ref="G9710:G9715" si="277">+E9710*F9710</f>
        <v>12182.812499999998</v>
      </c>
    </row>
    <row r="9711" spans="1:7">
      <c r="A9711" s="211" t="s">
        <v>509</v>
      </c>
      <c r="B9711" s="216" t="str">
        <f ca="1">_xlfn.CONCAT(B9684,A9711)</f>
        <v>1FF24086-Z</v>
      </c>
      <c r="C9711" s="24" t="s">
        <v>23</v>
      </c>
      <c r="D9711" s="184"/>
      <c r="E9711" s="25">
        <f>_xlfn.XLOOKUP(C9711,'H-MO'!B$7:B$30,'H-MO'!D$7:D$30,,0,1)</f>
        <v>1461.9374999999998</v>
      </c>
      <c r="F9711" s="19">
        <v>1</v>
      </c>
      <c r="G9711" s="33">
        <f t="shared" si="277"/>
        <v>1461.9374999999998</v>
      </c>
    </row>
    <row r="9712" spans="1:7">
      <c r="A9712" s="211" t="s">
        <v>510</v>
      </c>
      <c r="B9712" s="216" t="str">
        <f ca="1">_xlfn.CONCAT(B9684,A9712)</f>
        <v>1FF24086-aa</v>
      </c>
      <c r="C9712" s="24" t="s">
        <v>24</v>
      </c>
      <c r="D9712" s="185"/>
      <c r="E9712" s="25">
        <f>_xlfn.XLOOKUP(C9712,'H-MO'!B$7:B$30,'H-MO'!D$7:D$30,,0,1)</f>
        <v>29238.749999999996</v>
      </c>
      <c r="F9712" s="28">
        <v>0.2</v>
      </c>
      <c r="G9712" s="33">
        <f t="shared" si="277"/>
        <v>5847.75</v>
      </c>
    </row>
    <row r="9713" spans="1:7">
      <c r="A9713" s="211" t="s">
        <v>511</v>
      </c>
      <c r="B9713" s="216" t="str">
        <f ca="1">_xlfn.CONCAT(B9684,A9713)</f>
        <v>1FF24086-ab</v>
      </c>
      <c r="C9713" s="24" t="s">
        <v>25</v>
      </c>
      <c r="D9713" s="185"/>
      <c r="E9713" s="25">
        <f>_xlfn.XLOOKUP(C9713,'H-MO'!B$7:B$30,'H-MO'!D$7:D$30,,0,1)</f>
        <v>2761.4374999999995</v>
      </c>
      <c r="F9713" s="28">
        <v>0.5</v>
      </c>
      <c r="G9713" s="33">
        <f t="shared" si="277"/>
        <v>1380.7187499999998</v>
      </c>
    </row>
    <row r="9714" spans="1:7">
      <c r="A9714" s="211" t="s">
        <v>512</v>
      </c>
      <c r="B9714" s="216" t="str">
        <f ca="1">_xlfn.CONCAT(B9684,A9714)</f>
        <v>1FF24086-ac</v>
      </c>
      <c r="C9714" s="24"/>
      <c r="D9714" s="185"/>
      <c r="E9714" s="29"/>
      <c r="F9714" s="28"/>
      <c r="G9714" s="33">
        <f t="shared" si="277"/>
        <v>0</v>
      </c>
    </row>
    <row r="9715" spans="1:7" ht="14.25" thickBot="1">
      <c r="A9715" s="211" t="s">
        <v>513</v>
      </c>
      <c r="B9715" s="216" t="str">
        <f ca="1">_xlfn.CONCAT(B9684,A9715)</f>
        <v>1FF24086-ad</v>
      </c>
      <c r="C9715" s="24"/>
      <c r="D9715" s="185"/>
      <c r="E9715" s="29"/>
      <c r="F9715" s="28"/>
      <c r="G9715" s="33">
        <f t="shared" si="277"/>
        <v>0</v>
      </c>
    </row>
    <row r="9716" spans="1:7" ht="14.25" thickBot="1">
      <c r="A9716" s="211" t="s">
        <v>514</v>
      </c>
      <c r="B9716" s="216" t="str">
        <f ca="1">_xlfn.CONCAT(B9684,A9716)</f>
        <v>1FF24086-ae</v>
      </c>
      <c r="C9716" s="17"/>
      <c r="D9716" s="192"/>
      <c r="E9716" s="18"/>
      <c r="F9716" s="22" t="s">
        <v>26</v>
      </c>
      <c r="G9716" s="23">
        <f>SUM(G9710:G9715)</f>
        <v>20873.21875</v>
      </c>
    </row>
    <row r="9717" spans="1:7" ht="15.75" thickBot="1">
      <c r="A9717" s="211" t="s">
        <v>515</v>
      </c>
      <c r="B9717" s="216" t="str">
        <f ca="1">_xlfn.CONCAT(B9684,A9717)</f>
        <v>1FF24086-af</v>
      </c>
      <c r="C9717" s="10" t="s">
        <v>27</v>
      </c>
      <c r="D9717" s="190"/>
      <c r="E9717" s="11"/>
      <c r="F9717" s="12"/>
      <c r="G9717" s="13"/>
    </row>
    <row r="9718" spans="1:7" ht="14.25" thickBot="1">
      <c r="A9718" s="211" t="s">
        <v>516</v>
      </c>
      <c r="B9718" s="216" t="str">
        <f ca="1">_xlfn.CONCAT(B9684,A9718)</f>
        <v>1FF24086-ag</v>
      </c>
      <c r="C9718" s="14" t="s">
        <v>1</v>
      </c>
      <c r="D9718" s="15" t="s">
        <v>28</v>
      </c>
      <c r="E9718" s="15" t="s">
        <v>20</v>
      </c>
      <c r="F9718" s="16" t="s">
        <v>21</v>
      </c>
      <c r="G9718" s="15" t="s">
        <v>5</v>
      </c>
    </row>
    <row r="9719" spans="1:7">
      <c r="A9719" s="211" t="s">
        <v>517</v>
      </c>
      <c r="B9719" s="216" t="str">
        <f ca="1">_xlfn.CONCAT(B9684,A9719)</f>
        <v>1FF24086-ah</v>
      </c>
      <c r="C9719" s="30" t="s">
        <v>29</v>
      </c>
      <c r="D9719" s="186">
        <f>'H-MO'!$N$77</f>
        <v>725918.52892505517</v>
      </c>
      <c r="E9719" s="31">
        <f>+D9719/8</f>
        <v>90739.816115631897</v>
      </c>
      <c r="F9719" s="32">
        <v>2.4300000000000002</v>
      </c>
      <c r="G9719" s="33">
        <f>+E9719*F9719</f>
        <v>220497.75316098554</v>
      </c>
    </row>
    <row r="9720" spans="1:7">
      <c r="A9720" s="211" t="s">
        <v>518</v>
      </c>
      <c r="B9720" s="216" t="str">
        <f ca="1">_xlfn.CONCAT(B9684,A9720)</f>
        <v>1FF24086-ai</v>
      </c>
      <c r="C9720" s="34" t="s">
        <v>30</v>
      </c>
      <c r="D9720" s="187">
        <f>'H-MO'!$N$86</f>
        <v>685561.39085756091</v>
      </c>
      <c r="E9720" s="29">
        <f>+D9720/8</f>
        <v>85695.173857195114</v>
      </c>
      <c r="F9720" s="28">
        <v>0</v>
      </c>
      <c r="G9720" s="33">
        <f>+E9720*F9720</f>
        <v>0</v>
      </c>
    </row>
    <row r="9721" spans="1:7" ht="14.25" thickBot="1">
      <c r="A9721" s="211" t="s">
        <v>519</v>
      </c>
      <c r="B9721" s="216" t="str">
        <f ca="1">_xlfn.CONCAT(B9684,A9721)</f>
        <v>1FF24086-aj</v>
      </c>
      <c r="C9721" s="34"/>
      <c r="D9721" s="187"/>
      <c r="E9721" s="29"/>
      <c r="F9721" s="28"/>
      <c r="G9721" s="33">
        <f>+E9721*F9721</f>
        <v>0</v>
      </c>
    </row>
    <row r="9722" spans="1:7" ht="14.25" thickBot="1">
      <c r="A9722" s="211" t="s">
        <v>520</v>
      </c>
      <c r="B9722" s="216" t="str">
        <f ca="1">_xlfn.CONCAT(B9684,A9722)</f>
        <v>1FF24086-ak</v>
      </c>
      <c r="C9722" s="34"/>
      <c r="D9722" s="185"/>
      <c r="E9722" s="26"/>
      <c r="F9722" s="36" t="s">
        <v>31</v>
      </c>
      <c r="G9722" s="23">
        <f>SUM(G9719:G9721)</f>
        <v>220497.75316098554</v>
      </c>
    </row>
    <row r="9723" spans="1:7" ht="14.25" thickBot="1">
      <c r="A9723" s="211" t="s">
        <v>521</v>
      </c>
      <c r="B9723" s="216" t="str">
        <f ca="1">_xlfn.CONCAT(B9684,A9723)</f>
        <v>1FF24086-al</v>
      </c>
      <c r="C9723" s="37"/>
      <c r="E9723" s="38"/>
      <c r="F9723" s="22"/>
      <c r="G9723" s="39"/>
    </row>
    <row r="9724" spans="1:7" ht="16.5" thickBot="1">
      <c r="A9724" s="211" t="s">
        <v>522</v>
      </c>
      <c r="B9724" s="216" t="str">
        <f ca="1">_xlfn.CONCAT(B9684,A9724)</f>
        <v>1FF24086-am</v>
      </c>
      <c r="C9724" s="40"/>
      <c r="D9724" s="193"/>
      <c r="E9724" s="41"/>
      <c r="F9724" s="42"/>
      <c r="G9724" s="43">
        <f>+G9707+G9716+G9722</f>
        <v>653070.97191098554</v>
      </c>
    </row>
    <row r="9725" spans="1:7" ht="21.75" thickBot="1">
      <c r="B9725" s="212" t="s">
        <v>550</v>
      </c>
      <c r="C9725" s="2"/>
      <c r="D9725" s="183"/>
      <c r="F9725" s="4"/>
      <c r="G9725" s="5"/>
    </row>
    <row r="9726" spans="1:7" ht="18.75">
      <c r="A9726" s="213"/>
      <c r="B9726" s="214">
        <v>221</v>
      </c>
      <c r="C9726" s="242" t="str">
        <f ca="1">_xlfn.XLOOKUP(B9726,Cantidades!$A$10:$A$314,Cantidades!$C$10:$C$314,,0,1)</f>
        <v>Sumninistro e instalación de transformador 500 kVA, 11400/220 V tipo seco clase H. Incluye transporte al lugar del proyecto.</v>
      </c>
      <c r="D9726" s="243"/>
      <c r="E9726" s="243"/>
      <c r="F9726" s="243"/>
      <c r="G9726" s="244"/>
    </row>
    <row r="9727" spans="1:7" ht="19.5" thickBot="1">
      <c r="A9727" s="215"/>
      <c r="B9727" s="216" t="s">
        <v>550</v>
      </c>
      <c r="C9727" s="177"/>
      <c r="D9727" s="189"/>
      <c r="E9727" s="178"/>
      <c r="F9727" s="179" t="s">
        <v>636</v>
      </c>
      <c r="G9727" s="209" t="str">
        <f ca="1">B9728</f>
        <v>37757FC6-</v>
      </c>
    </row>
    <row r="9728" spans="1:7" ht="15.75" thickBot="1">
      <c r="B9728" s="212" t="str">
        <f ca="1">_xlfn.XLOOKUP(C9726,Cantidades!$C$1:$C$314,Cantidades!$B$1:$B$314,"",0,1)</f>
        <v>37757FC6-</v>
      </c>
      <c r="C9728" s="10" t="s">
        <v>0</v>
      </c>
      <c r="D9728" s="190"/>
      <c r="E9728" s="11"/>
      <c r="F9728" s="12"/>
      <c r="G9728" s="13"/>
    </row>
    <row r="9729" spans="1:8" ht="14.25" thickBot="1">
      <c r="A9729" s="215"/>
      <c r="B9729" s="216" t="s">
        <v>550</v>
      </c>
      <c r="C9729" s="14" t="s">
        <v>1</v>
      </c>
      <c r="D9729" s="15" t="s">
        <v>2</v>
      </c>
      <c r="E9729" s="15" t="s">
        <v>3</v>
      </c>
      <c r="F9729" s="16" t="s">
        <v>4</v>
      </c>
      <c r="G9729" s="15" t="s">
        <v>5</v>
      </c>
    </row>
    <row r="9730" spans="1:8">
      <c r="A9730" s="211" t="s">
        <v>484</v>
      </c>
      <c r="B9730" s="216" t="str">
        <f ca="1">_xlfn.CONCAT(B9728,A9730)</f>
        <v>37757FC6-A</v>
      </c>
      <c r="C9730" s="17" t="str">
        <f>_xlfn.XLOOKUP(H9730,'Materiales unitario'!$A$1:$A$2500,'Materiales unitario'!B$1:B$2500,,0,1)</f>
        <v>Transformador 3ø 15KV - 500KVA   seco clase H 13200/11400-208V</v>
      </c>
      <c r="D9730" s="184" t="str">
        <f>_xlfn.XLOOKUP(H9730,'Materiales unitario'!A$1:A$2500,'Materiales unitario'!C$1:C$2500,,0,1)</f>
        <v>un</v>
      </c>
      <c r="E9730" s="197">
        <f>_xlfn.XLOOKUP(H9730,'Materiales unitario'!$A$1:$A$2500,'Materiales unitario'!D$1:D$2500,,0,1)</f>
        <v>124960400</v>
      </c>
      <c r="F9730" s="19">
        <v>1</v>
      </c>
      <c r="G9730" s="20">
        <f>+E9730*F9730</f>
        <v>124960400</v>
      </c>
      <c r="H9730" s="211" t="s">
        <v>1601</v>
      </c>
    </row>
    <row r="9731" spans="1:8">
      <c r="A9731" s="211" t="s">
        <v>485</v>
      </c>
      <c r="B9731" s="216" t="str">
        <f ca="1">_xlfn.CONCAT(B9728,A9731)</f>
        <v>37757FC6-B</v>
      </c>
      <c r="C9731" s="17" t="str">
        <f>_xlfn.XLOOKUP(H9731,'Materiales unitario'!$A$1:$A$2500,'Materiales unitario'!B$1:B$2500,,0,1)</f>
        <v>Transporte al sitio de la obra</v>
      </c>
      <c r="D9731" s="184" t="str">
        <f>_xlfn.XLOOKUP(H9731,'Materiales unitario'!A$1:A$2500,'Materiales unitario'!C$1:C$2500,,0,1)</f>
        <v>un</v>
      </c>
      <c r="E9731" s="197">
        <f>_xlfn.XLOOKUP(H9731,'Materiales unitario'!$A$1:$A$2500,'Materiales unitario'!D$1:D$2500,,0,1)</f>
        <v>172200</v>
      </c>
      <c r="F9731" s="19">
        <v>8</v>
      </c>
      <c r="G9731" s="20">
        <f>+E9731*F9731</f>
        <v>1377600</v>
      </c>
      <c r="H9731" s="211" t="s">
        <v>384</v>
      </c>
    </row>
    <row r="9732" spans="1:8">
      <c r="A9732" s="211" t="s">
        <v>486</v>
      </c>
      <c r="B9732" s="216" t="str">
        <f ca="1">_xlfn.CONCAT(B9728,A9732)</f>
        <v>37757FC6-C</v>
      </c>
      <c r="C9732" s="17"/>
      <c r="D9732" s="184"/>
      <c r="E9732" s="197"/>
      <c r="F9732" s="19"/>
      <c r="G9732" s="20"/>
    </row>
    <row r="9733" spans="1:8">
      <c r="A9733" s="211" t="s">
        <v>487</v>
      </c>
      <c r="B9733" s="216" t="str">
        <f ca="1">_xlfn.CONCAT(B9728,A9733)</f>
        <v>37757FC6-D</v>
      </c>
      <c r="C9733" s="17"/>
      <c r="D9733" s="184"/>
      <c r="E9733" s="197"/>
      <c r="F9733" s="19"/>
      <c r="G9733" s="20"/>
    </row>
    <row r="9734" spans="1:8">
      <c r="A9734" s="211" t="s">
        <v>488</v>
      </c>
      <c r="B9734" s="216" t="str">
        <f ca="1">_xlfn.CONCAT(B9728,A9734)</f>
        <v>37757FC6-E</v>
      </c>
      <c r="C9734" s="17"/>
      <c r="D9734" s="184"/>
      <c r="E9734" s="197"/>
      <c r="F9734" s="19"/>
      <c r="G9734" s="20"/>
    </row>
    <row r="9735" spans="1:8">
      <c r="A9735" s="211" t="s">
        <v>489</v>
      </c>
      <c r="B9735" s="216" t="str">
        <f ca="1">_xlfn.CONCAT(B9728,A9735)</f>
        <v>37757FC6-F</v>
      </c>
      <c r="C9735" s="17"/>
      <c r="D9735" s="184"/>
      <c r="E9735" s="197"/>
      <c r="F9735" s="19"/>
      <c r="G9735" s="20"/>
    </row>
    <row r="9736" spans="1:8">
      <c r="A9736" s="211" t="s">
        <v>490</v>
      </c>
      <c r="B9736" s="216" t="str">
        <f ca="1">_xlfn.CONCAT(B9728,A9736)</f>
        <v>37757FC6-G</v>
      </c>
      <c r="C9736" s="17"/>
      <c r="D9736" s="184"/>
      <c r="E9736" s="197"/>
      <c r="F9736" s="19"/>
      <c r="G9736" s="20"/>
    </row>
    <row r="9737" spans="1:8">
      <c r="A9737" s="211" t="s">
        <v>491</v>
      </c>
      <c r="B9737" s="216" t="str">
        <f ca="1">_xlfn.CONCAT(B9728,A9737)</f>
        <v>37757FC6-H</v>
      </c>
      <c r="C9737" s="17"/>
      <c r="D9737" s="184"/>
      <c r="E9737" s="197"/>
      <c r="F9737" s="19"/>
      <c r="G9737" s="20"/>
    </row>
    <row r="9738" spans="1:8">
      <c r="A9738" s="211" t="s">
        <v>492</v>
      </c>
      <c r="B9738" s="216" t="str">
        <f ca="1">_xlfn.CONCAT(B9728,A9738)</f>
        <v>37757FC6-I</v>
      </c>
      <c r="C9738" s="17"/>
      <c r="D9738" s="184"/>
      <c r="E9738" s="197"/>
      <c r="F9738" s="19"/>
      <c r="G9738" s="20"/>
    </row>
    <row r="9739" spans="1:8">
      <c r="A9739" s="211" t="s">
        <v>493</v>
      </c>
      <c r="B9739" s="216" t="str">
        <f ca="1">_xlfn.CONCAT(B9728,A9739)</f>
        <v>37757FC6-J</v>
      </c>
      <c r="C9739" s="17"/>
      <c r="D9739" s="184"/>
      <c r="E9739" s="197"/>
      <c r="F9739" s="19"/>
      <c r="G9739" s="20"/>
    </row>
    <row r="9740" spans="1:8">
      <c r="A9740" s="211" t="s">
        <v>494</v>
      </c>
      <c r="B9740" s="216" t="str">
        <f ca="1">_xlfn.CONCAT(B9728,A9740)</f>
        <v>37757FC6-K</v>
      </c>
      <c r="C9740" s="17"/>
      <c r="D9740" s="184"/>
      <c r="E9740" s="197"/>
      <c r="F9740" s="19"/>
      <c r="G9740" s="20"/>
    </row>
    <row r="9741" spans="1:8">
      <c r="A9741" s="211" t="s">
        <v>495</v>
      </c>
      <c r="B9741" s="216" t="str">
        <f ca="1">_xlfn.CONCAT(B9728,A9741)</f>
        <v>37757FC6-L</v>
      </c>
      <c r="C9741" s="17"/>
      <c r="D9741" s="184"/>
      <c r="E9741" s="197"/>
      <c r="F9741" s="19"/>
      <c r="G9741" s="20"/>
    </row>
    <row r="9742" spans="1:8">
      <c r="A9742" s="211" t="s">
        <v>496</v>
      </c>
      <c r="B9742" s="216" t="str">
        <f ca="1">_xlfn.CONCAT(B9728,A9742)</f>
        <v>37757FC6-M</v>
      </c>
      <c r="C9742" s="17"/>
      <c r="D9742" s="184"/>
      <c r="E9742" s="197"/>
      <c r="F9742" s="19"/>
      <c r="G9742" s="20"/>
    </row>
    <row r="9743" spans="1:8">
      <c r="A9743" s="211" t="s">
        <v>497</v>
      </c>
      <c r="B9743" s="216" t="str">
        <f ca="1">_xlfn.CONCAT(B9728,A9743)</f>
        <v>37757FC6-N</v>
      </c>
      <c r="C9743" s="17"/>
      <c r="D9743" s="184"/>
      <c r="E9743" s="197"/>
      <c r="F9743" s="19"/>
      <c r="G9743" s="20"/>
    </row>
    <row r="9744" spans="1:8">
      <c r="A9744" s="211" t="s">
        <v>498</v>
      </c>
      <c r="B9744" s="216" t="str">
        <f ca="1">_xlfn.CONCAT(B9728,A9744)</f>
        <v>37757FC6-O</v>
      </c>
      <c r="C9744" s="17"/>
      <c r="D9744" s="184"/>
      <c r="E9744" s="197"/>
      <c r="F9744" s="19"/>
      <c r="G9744" s="20"/>
    </row>
    <row r="9745" spans="1:7">
      <c r="A9745" s="211" t="s">
        <v>499</v>
      </c>
      <c r="B9745" s="216" t="str">
        <f ca="1">_xlfn.CONCAT(B9728,A9745)</f>
        <v>37757FC6-P</v>
      </c>
      <c r="C9745" s="17"/>
      <c r="D9745" s="184"/>
      <c r="E9745" s="197"/>
      <c r="F9745" s="19"/>
      <c r="G9745" s="20"/>
    </row>
    <row r="9746" spans="1:7">
      <c r="A9746" s="211" t="s">
        <v>500</v>
      </c>
      <c r="B9746" s="216" t="str">
        <f ca="1">_xlfn.CONCAT(B9728,A9746)</f>
        <v>37757FC6-Q</v>
      </c>
      <c r="C9746" s="17"/>
      <c r="D9746" s="184"/>
      <c r="E9746" s="197"/>
      <c r="F9746" s="19"/>
      <c r="G9746" s="20"/>
    </row>
    <row r="9747" spans="1:7">
      <c r="A9747" s="211" t="s">
        <v>501</v>
      </c>
      <c r="B9747" s="216" t="str">
        <f ca="1">_xlfn.CONCAT(B9728,A9747)</f>
        <v>37757FC6-R</v>
      </c>
      <c r="C9747" s="17"/>
      <c r="D9747" s="184"/>
      <c r="E9747" s="197"/>
      <c r="F9747" s="19"/>
      <c r="G9747" s="20"/>
    </row>
    <row r="9748" spans="1:7">
      <c r="A9748" s="211" t="s">
        <v>502</v>
      </c>
      <c r="B9748" s="216" t="str">
        <f ca="1">_xlfn.CONCAT(B9728,A9748)</f>
        <v>37757FC6-S</v>
      </c>
      <c r="C9748" s="17"/>
      <c r="D9748" s="184"/>
      <c r="E9748" s="197"/>
      <c r="F9748" s="19"/>
      <c r="G9748" s="20"/>
    </row>
    <row r="9749" spans="1:7">
      <c r="A9749" s="211" t="s">
        <v>503</v>
      </c>
      <c r="B9749" s="216" t="str">
        <f ca="1">_xlfn.CONCAT(B9728,A9749)</f>
        <v>37757FC6-T</v>
      </c>
      <c r="C9749" s="17"/>
      <c r="D9749" s="184"/>
      <c r="E9749" s="197"/>
      <c r="F9749" s="19"/>
      <c r="G9749" s="20"/>
    </row>
    <row r="9750" spans="1:7" ht="14.25" thickBot="1">
      <c r="A9750" s="211" t="s">
        <v>504</v>
      </c>
      <c r="B9750" s="216" t="str">
        <f ca="1">_xlfn.CONCAT(B9728,A9750)</f>
        <v>37757FC6-U</v>
      </c>
      <c r="C9750" s="17"/>
      <c r="D9750" s="184"/>
      <c r="E9750" s="197"/>
      <c r="F9750" s="19"/>
      <c r="G9750" s="20"/>
    </row>
    <row r="9751" spans="1:7" ht="14.25" thickBot="1">
      <c r="A9751" s="211" t="s">
        <v>505</v>
      </c>
      <c r="B9751" s="216" t="str">
        <f ca="1">_xlfn.CONCAT(B9728,A9751)</f>
        <v>37757FC6-V</v>
      </c>
      <c r="C9751" s="17" t="s">
        <v>17</v>
      </c>
      <c r="D9751" s="192" t="s">
        <v>17</v>
      </c>
      <c r="E9751" s="18"/>
      <c r="F9751" s="22" t="s">
        <v>18</v>
      </c>
      <c r="G9751" s="23">
        <f>SUM(G9730:G9750)</f>
        <v>126338000</v>
      </c>
    </row>
    <row r="9752" spans="1:7" ht="15.75" thickBot="1">
      <c r="A9752" s="211" t="s">
        <v>506</v>
      </c>
      <c r="B9752" s="216" t="str">
        <f ca="1">_xlfn.CONCAT(B9728,A9752)</f>
        <v>37757FC6-W</v>
      </c>
      <c r="C9752" s="10" t="s">
        <v>19</v>
      </c>
      <c r="D9752" s="190"/>
      <c r="E9752" s="11"/>
      <c r="F9752" s="12"/>
      <c r="G9752" s="13"/>
    </row>
    <row r="9753" spans="1:7" ht="14.25" thickBot="1">
      <c r="A9753" s="211" t="s">
        <v>507</v>
      </c>
      <c r="B9753" s="216" t="str">
        <f ca="1">_xlfn.CONCAT(B9728,A9753)</f>
        <v>37757FC6-X</v>
      </c>
      <c r="C9753" s="14" t="s">
        <v>1</v>
      </c>
      <c r="D9753" s="15"/>
      <c r="E9753" s="15" t="s">
        <v>20</v>
      </c>
      <c r="F9753" s="16" t="s">
        <v>21</v>
      </c>
      <c r="G9753" s="15" t="s">
        <v>5</v>
      </c>
    </row>
    <row r="9754" spans="1:7">
      <c r="A9754" s="211" t="s">
        <v>508</v>
      </c>
      <c r="B9754" s="216" t="str">
        <f ca="1">_xlfn.CONCAT(B9728,A9754)</f>
        <v>37757FC6-Y</v>
      </c>
      <c r="C9754" s="24" t="s">
        <v>22</v>
      </c>
      <c r="D9754" s="184"/>
      <c r="E9754" s="25">
        <f>_xlfn.XLOOKUP(C9754,'H-MO'!B$7:B$30,'H-MO'!D$7:D$30,,0,1)</f>
        <v>2436.5624999999995</v>
      </c>
      <c r="F9754" s="19">
        <v>40</v>
      </c>
      <c r="G9754" s="33">
        <f t="shared" ref="G9754:G9759" si="278">+E9754*F9754</f>
        <v>97462.499999999985</v>
      </c>
    </row>
    <row r="9755" spans="1:7">
      <c r="A9755" s="211" t="s">
        <v>509</v>
      </c>
      <c r="B9755" s="216" t="str">
        <f ca="1">_xlfn.CONCAT(B9728,A9755)</f>
        <v>37757FC6-Z</v>
      </c>
      <c r="C9755" s="24" t="s">
        <v>23</v>
      </c>
      <c r="D9755" s="184"/>
      <c r="E9755" s="25">
        <f>_xlfn.XLOOKUP(C9755,'H-MO'!B$7:B$30,'H-MO'!D$7:D$30,,0,1)</f>
        <v>1461.9374999999998</v>
      </c>
      <c r="F9755" s="19">
        <v>8</v>
      </c>
      <c r="G9755" s="33">
        <f t="shared" si="278"/>
        <v>11695.499999999998</v>
      </c>
    </row>
    <row r="9756" spans="1:7">
      <c r="A9756" s="211" t="s">
        <v>510</v>
      </c>
      <c r="B9756" s="216" t="str">
        <f ca="1">_xlfn.CONCAT(B9728,A9756)</f>
        <v>37757FC6-aa</v>
      </c>
      <c r="C9756" s="24" t="s">
        <v>24</v>
      </c>
      <c r="D9756" s="185"/>
      <c r="E9756" s="25">
        <f>_xlfn.XLOOKUP(C9756,'H-MO'!B$7:B$30,'H-MO'!D$7:D$30,,0,1)</f>
        <v>29238.749999999996</v>
      </c>
      <c r="F9756" s="28">
        <v>35</v>
      </c>
      <c r="G9756" s="33">
        <f t="shared" si="278"/>
        <v>1023356.2499999999</v>
      </c>
    </row>
    <row r="9757" spans="1:7">
      <c r="A9757" s="211" t="s">
        <v>511</v>
      </c>
      <c r="B9757" s="216" t="str">
        <f ca="1">_xlfn.CONCAT(B9728,A9757)</f>
        <v>37757FC6-ab</v>
      </c>
      <c r="C9757" s="24" t="s">
        <v>25</v>
      </c>
      <c r="D9757" s="185"/>
      <c r="E9757" s="25">
        <f>_xlfn.XLOOKUP(C9757,'H-MO'!B$7:B$30,'H-MO'!D$7:D$30,,0,1)</f>
        <v>2761.4374999999995</v>
      </c>
      <c r="F9757" s="28">
        <v>30</v>
      </c>
      <c r="G9757" s="33">
        <f t="shared" si="278"/>
        <v>82843.124999999985</v>
      </c>
    </row>
    <row r="9758" spans="1:7">
      <c r="A9758" s="211" t="s">
        <v>512</v>
      </c>
      <c r="B9758" s="216" t="str">
        <f ca="1">_xlfn.CONCAT(B9728,A9758)</f>
        <v>37757FC6-ac</v>
      </c>
      <c r="C9758" s="24"/>
      <c r="D9758" s="185"/>
      <c r="E9758" s="29"/>
      <c r="F9758" s="28"/>
      <c r="G9758" s="33">
        <f t="shared" si="278"/>
        <v>0</v>
      </c>
    </row>
    <row r="9759" spans="1:7" ht="14.25" thickBot="1">
      <c r="A9759" s="211" t="s">
        <v>513</v>
      </c>
      <c r="B9759" s="216" t="str">
        <f ca="1">_xlfn.CONCAT(B9728,A9759)</f>
        <v>37757FC6-ad</v>
      </c>
      <c r="C9759" s="24"/>
      <c r="D9759" s="185"/>
      <c r="E9759" s="29"/>
      <c r="F9759" s="28"/>
      <c r="G9759" s="33">
        <f t="shared" si="278"/>
        <v>0</v>
      </c>
    </row>
    <row r="9760" spans="1:7" ht="14.25" thickBot="1">
      <c r="A9760" s="211" t="s">
        <v>514</v>
      </c>
      <c r="B9760" s="216" t="str">
        <f ca="1">_xlfn.CONCAT(B9728,A9760)</f>
        <v>37757FC6-ae</v>
      </c>
      <c r="C9760" s="17"/>
      <c r="D9760" s="192"/>
      <c r="E9760" s="18"/>
      <c r="F9760" s="22" t="s">
        <v>26</v>
      </c>
      <c r="G9760" s="23">
        <f>SUM(G9754:G9759)</f>
        <v>1215357.3749999998</v>
      </c>
    </row>
    <row r="9761" spans="1:8" ht="15.75" thickBot="1">
      <c r="A9761" s="211" t="s">
        <v>515</v>
      </c>
      <c r="B9761" s="216" t="str">
        <f ca="1">_xlfn.CONCAT(B9728,A9761)</f>
        <v>37757FC6-af</v>
      </c>
      <c r="C9761" s="10" t="s">
        <v>27</v>
      </c>
      <c r="D9761" s="190"/>
      <c r="E9761" s="11"/>
      <c r="F9761" s="12"/>
      <c r="G9761" s="13"/>
    </row>
    <row r="9762" spans="1:8" ht="14.25" thickBot="1">
      <c r="A9762" s="211" t="s">
        <v>516</v>
      </c>
      <c r="B9762" s="216" t="str">
        <f ca="1">_xlfn.CONCAT(B9728,A9762)</f>
        <v>37757FC6-ag</v>
      </c>
      <c r="C9762" s="14" t="s">
        <v>1</v>
      </c>
      <c r="D9762" s="15" t="s">
        <v>28</v>
      </c>
      <c r="E9762" s="15" t="s">
        <v>20</v>
      </c>
      <c r="F9762" s="16" t="s">
        <v>21</v>
      </c>
      <c r="G9762" s="15" t="s">
        <v>5</v>
      </c>
    </row>
    <row r="9763" spans="1:8">
      <c r="A9763" s="211" t="s">
        <v>517</v>
      </c>
      <c r="B9763" s="216" t="str">
        <f ca="1">_xlfn.CONCAT(B9728,A9763)</f>
        <v>37757FC6-ah</v>
      </c>
      <c r="C9763" s="30" t="s">
        <v>29</v>
      </c>
      <c r="D9763" s="186">
        <f>'H-MO'!$N$77</f>
        <v>725918.52892505517</v>
      </c>
      <c r="E9763" s="31">
        <f>+D9763/8</f>
        <v>90739.816115631897</v>
      </c>
      <c r="F9763" s="32">
        <v>40</v>
      </c>
      <c r="G9763" s="33">
        <f>+E9763*F9763</f>
        <v>3629592.6446252759</v>
      </c>
    </row>
    <row r="9764" spans="1:8">
      <c r="A9764" s="211" t="s">
        <v>518</v>
      </c>
      <c r="B9764" s="216" t="str">
        <f ca="1">_xlfn.CONCAT(B9728,A9764)</f>
        <v>37757FC6-ai</v>
      </c>
      <c r="C9764" s="34" t="s">
        <v>30</v>
      </c>
      <c r="D9764" s="187">
        <f>'H-MO'!$N$86</f>
        <v>685561.39085756091</v>
      </c>
      <c r="E9764" s="29">
        <f>+D9764/8</f>
        <v>85695.173857195114</v>
      </c>
      <c r="F9764" s="28">
        <v>0</v>
      </c>
      <c r="G9764" s="33">
        <f>+E9764*F9764</f>
        <v>0</v>
      </c>
    </row>
    <row r="9765" spans="1:8" ht="14.25" thickBot="1">
      <c r="A9765" s="211" t="s">
        <v>519</v>
      </c>
      <c r="B9765" s="216" t="str">
        <f ca="1">_xlfn.CONCAT(B9728,A9765)</f>
        <v>37757FC6-aj</v>
      </c>
      <c r="C9765" s="34"/>
      <c r="D9765" s="187"/>
      <c r="E9765" s="29"/>
      <c r="F9765" s="28"/>
      <c r="G9765" s="33">
        <f>+E9765*F9765</f>
        <v>0</v>
      </c>
    </row>
    <row r="9766" spans="1:8" ht="14.25" thickBot="1">
      <c r="A9766" s="211" t="s">
        <v>520</v>
      </c>
      <c r="B9766" s="216" t="str">
        <f ca="1">_xlfn.CONCAT(B9728,A9766)</f>
        <v>37757FC6-ak</v>
      </c>
      <c r="C9766" s="34"/>
      <c r="D9766" s="185"/>
      <c r="E9766" s="26"/>
      <c r="F9766" s="36" t="s">
        <v>31</v>
      </c>
      <c r="G9766" s="23">
        <f>SUM(G9763:G9765)</f>
        <v>3629592.6446252759</v>
      </c>
    </row>
    <row r="9767" spans="1:8" ht="14.25" thickBot="1">
      <c r="A9767" s="211" t="s">
        <v>521</v>
      </c>
      <c r="B9767" s="216" t="str">
        <f ca="1">_xlfn.CONCAT(B9728,A9767)</f>
        <v>37757FC6-al</v>
      </c>
      <c r="C9767" s="37"/>
      <c r="E9767" s="38"/>
      <c r="F9767" s="22"/>
      <c r="G9767" s="39"/>
    </row>
    <row r="9768" spans="1:8" ht="16.5" thickBot="1">
      <c r="A9768" s="211" t="s">
        <v>522</v>
      </c>
      <c r="B9768" s="216" t="str">
        <f ca="1">_xlfn.CONCAT(B9728,A9768)</f>
        <v>37757FC6-am</v>
      </c>
      <c r="C9768" s="40"/>
      <c r="D9768" s="193"/>
      <c r="E9768" s="41"/>
      <c r="F9768" s="42"/>
      <c r="G9768" s="43">
        <f>+G9751+G9760+G9766</f>
        <v>131182950.01962528</v>
      </c>
    </row>
    <row r="9769" spans="1:8" ht="21.75" thickBot="1">
      <c r="B9769" s="212" t="s">
        <v>550</v>
      </c>
      <c r="C9769" s="2"/>
      <c r="D9769" s="183"/>
      <c r="F9769" s="4"/>
      <c r="G9769" s="5"/>
    </row>
    <row r="9770" spans="1:8" ht="18.75">
      <c r="A9770" s="213"/>
      <c r="B9770" s="214">
        <v>222</v>
      </c>
      <c r="C9770" s="242" t="str">
        <f ca="1">_xlfn.XLOOKUP(B9770,Cantidades!$A$10:$A$314,Cantidades!$C$10:$C$314,,0,1)</f>
        <v>Suministro e instalación de celda con seccionador de línea 630A, 24 kV. Incluye transporte allugar del proyecto</v>
      </c>
      <c r="D9770" s="243"/>
      <c r="E9770" s="243"/>
      <c r="F9770" s="243"/>
      <c r="G9770" s="244"/>
    </row>
    <row r="9771" spans="1:8" ht="19.5" thickBot="1">
      <c r="A9771" s="215"/>
      <c r="B9771" s="216" t="s">
        <v>550</v>
      </c>
      <c r="C9771" s="177"/>
      <c r="D9771" s="189"/>
      <c r="E9771" s="178"/>
      <c r="F9771" s="179" t="s">
        <v>636</v>
      </c>
      <c r="G9771" s="209" t="str">
        <f ca="1">B9772</f>
        <v>245F33B0-</v>
      </c>
    </row>
    <row r="9772" spans="1:8" ht="15.75" thickBot="1">
      <c r="B9772" s="212" t="str">
        <f ca="1">_xlfn.XLOOKUP(C9770,Cantidades!$C$1:$C$314,Cantidades!$B$1:$B$314,"",0,1)</f>
        <v>245F33B0-</v>
      </c>
      <c r="C9772" s="10" t="s">
        <v>0</v>
      </c>
      <c r="D9772" s="190"/>
      <c r="E9772" s="11"/>
      <c r="F9772" s="12"/>
      <c r="G9772" s="13"/>
    </row>
    <row r="9773" spans="1:8" ht="14.25" thickBot="1">
      <c r="A9773" s="215"/>
      <c r="B9773" s="216" t="s">
        <v>550</v>
      </c>
      <c r="C9773" s="14" t="s">
        <v>1</v>
      </c>
      <c r="D9773" s="15" t="s">
        <v>2</v>
      </c>
      <c r="E9773" s="15" t="s">
        <v>3</v>
      </c>
      <c r="F9773" s="16" t="s">
        <v>4</v>
      </c>
      <c r="G9773" s="15" t="s">
        <v>5</v>
      </c>
    </row>
    <row r="9774" spans="1:8">
      <c r="A9774" s="211" t="s">
        <v>484</v>
      </c>
      <c r="B9774" s="216" t="str">
        <f ca="1">_xlfn.CONCAT(B9772,A9774)</f>
        <v>245F33B0-A</v>
      </c>
      <c r="C9774" s="17" t="str">
        <f>_xlfn.XLOOKUP(H9774,'Materiales unitario'!$A$1:$A$2500,'Materiales unitario'!B$1:B$2500,,0,1)</f>
        <v>Celda de entrada, salida y proteccion + fusibles 25A - Triplex</v>
      </c>
      <c r="D9774" s="184" t="str">
        <f>_xlfn.XLOOKUP(H9774,'Materiales unitario'!A$1:A$2500,'Materiales unitario'!C$1:C$2500,,0,1)</f>
        <v>un</v>
      </c>
      <c r="E9774" s="197">
        <f>_xlfn.XLOOKUP(H9774,'Materiales unitario'!$A$1:$A$2500,'Materiales unitario'!D$1:D$2500,,0,1)</f>
        <v>16544789</v>
      </c>
      <c r="F9774" s="19">
        <v>1</v>
      </c>
      <c r="G9774" s="20">
        <f>+E9774*F9774</f>
        <v>16544789</v>
      </c>
      <c r="H9774" s="211" t="s">
        <v>1603</v>
      </c>
    </row>
    <row r="9775" spans="1:8">
      <c r="A9775" s="211" t="s">
        <v>485</v>
      </c>
      <c r="B9775" s="216" t="str">
        <f ca="1">_xlfn.CONCAT(B9772,A9775)</f>
        <v>245F33B0-B</v>
      </c>
      <c r="C9775" s="17" t="str">
        <f>_xlfn.XLOOKUP(H9775,'Materiales unitario'!$A$1:$A$2500,'Materiales unitario'!B$1:B$2500,,0,1)</f>
        <v>Transporte al sitio de la obra</v>
      </c>
      <c r="D9775" s="184" t="str">
        <f>_xlfn.XLOOKUP(H9775,'Materiales unitario'!A$1:A$2500,'Materiales unitario'!C$1:C$2500,,0,1)</f>
        <v>un</v>
      </c>
      <c r="E9775" s="197">
        <f>_xlfn.XLOOKUP(H9775,'Materiales unitario'!$A$1:$A$2500,'Materiales unitario'!D$1:D$2500,,0,1)</f>
        <v>172200</v>
      </c>
      <c r="F9775" s="19">
        <v>8</v>
      </c>
      <c r="G9775" s="20">
        <f>+E9775*F9775</f>
        <v>1377600</v>
      </c>
      <c r="H9775" s="211" t="s">
        <v>384</v>
      </c>
    </row>
    <row r="9776" spans="1:8">
      <c r="A9776" s="211" t="s">
        <v>486</v>
      </c>
      <c r="B9776" s="216" t="str">
        <f ca="1">_xlfn.CONCAT(B9772,A9776)</f>
        <v>245F33B0-C</v>
      </c>
      <c r="C9776" s="17"/>
      <c r="D9776" s="184"/>
      <c r="E9776" s="197"/>
      <c r="F9776" s="19"/>
      <c r="G9776" s="20"/>
    </row>
    <row r="9777" spans="1:7">
      <c r="A9777" s="211" t="s">
        <v>487</v>
      </c>
      <c r="B9777" s="216" t="str">
        <f ca="1">_xlfn.CONCAT(B9772,A9777)</f>
        <v>245F33B0-D</v>
      </c>
      <c r="C9777" s="17"/>
      <c r="D9777" s="184"/>
      <c r="E9777" s="197"/>
      <c r="F9777" s="19"/>
      <c r="G9777" s="20"/>
    </row>
    <row r="9778" spans="1:7">
      <c r="A9778" s="211" t="s">
        <v>488</v>
      </c>
      <c r="B9778" s="216" t="str">
        <f ca="1">_xlfn.CONCAT(B9772,A9778)</f>
        <v>245F33B0-E</v>
      </c>
      <c r="C9778" s="17"/>
      <c r="D9778" s="184"/>
      <c r="E9778" s="197"/>
      <c r="F9778" s="19"/>
      <c r="G9778" s="20"/>
    </row>
    <row r="9779" spans="1:7">
      <c r="A9779" s="211" t="s">
        <v>489</v>
      </c>
      <c r="B9779" s="216" t="str">
        <f ca="1">_xlfn.CONCAT(B9772,A9779)</f>
        <v>245F33B0-F</v>
      </c>
      <c r="C9779" s="17"/>
      <c r="D9779" s="184"/>
      <c r="E9779" s="197"/>
      <c r="F9779" s="19"/>
      <c r="G9779" s="20"/>
    </row>
    <row r="9780" spans="1:7">
      <c r="A9780" s="211" t="s">
        <v>490</v>
      </c>
      <c r="B9780" s="216" t="str">
        <f ca="1">_xlfn.CONCAT(B9772,A9780)</f>
        <v>245F33B0-G</v>
      </c>
      <c r="C9780" s="17"/>
      <c r="D9780" s="184"/>
      <c r="E9780" s="197"/>
      <c r="F9780" s="19"/>
      <c r="G9780" s="20"/>
    </row>
    <row r="9781" spans="1:7">
      <c r="A9781" s="211" t="s">
        <v>491</v>
      </c>
      <c r="B9781" s="216" t="str">
        <f ca="1">_xlfn.CONCAT(B9772,A9781)</f>
        <v>245F33B0-H</v>
      </c>
      <c r="C9781" s="17"/>
      <c r="D9781" s="184"/>
      <c r="E9781" s="197"/>
      <c r="F9781" s="19"/>
      <c r="G9781" s="20"/>
    </row>
    <row r="9782" spans="1:7">
      <c r="A9782" s="211" t="s">
        <v>492</v>
      </c>
      <c r="B9782" s="216" t="str">
        <f ca="1">_xlfn.CONCAT(B9772,A9782)</f>
        <v>245F33B0-I</v>
      </c>
      <c r="C9782" s="17"/>
      <c r="D9782" s="184"/>
      <c r="E9782" s="197"/>
      <c r="F9782" s="19"/>
      <c r="G9782" s="20"/>
    </row>
    <row r="9783" spans="1:7">
      <c r="A9783" s="211" t="s">
        <v>493</v>
      </c>
      <c r="B9783" s="216" t="str">
        <f ca="1">_xlfn.CONCAT(B9772,A9783)</f>
        <v>245F33B0-J</v>
      </c>
      <c r="C9783" s="17"/>
      <c r="D9783" s="184"/>
      <c r="E9783" s="197"/>
      <c r="F9783" s="19"/>
      <c r="G9783" s="20"/>
    </row>
    <row r="9784" spans="1:7">
      <c r="A9784" s="211" t="s">
        <v>494</v>
      </c>
      <c r="B9784" s="216" t="str">
        <f ca="1">_xlfn.CONCAT(B9772,A9784)</f>
        <v>245F33B0-K</v>
      </c>
      <c r="C9784" s="17"/>
      <c r="D9784" s="184"/>
      <c r="E9784" s="197"/>
      <c r="F9784" s="19"/>
      <c r="G9784" s="20"/>
    </row>
    <row r="9785" spans="1:7">
      <c r="A9785" s="211" t="s">
        <v>495</v>
      </c>
      <c r="B9785" s="216" t="str">
        <f ca="1">_xlfn.CONCAT(B9772,A9785)</f>
        <v>245F33B0-L</v>
      </c>
      <c r="C9785" s="17"/>
      <c r="D9785" s="184"/>
      <c r="E9785" s="197"/>
      <c r="F9785" s="19"/>
      <c r="G9785" s="20"/>
    </row>
    <row r="9786" spans="1:7">
      <c r="A9786" s="211" t="s">
        <v>496</v>
      </c>
      <c r="B9786" s="216" t="str">
        <f ca="1">_xlfn.CONCAT(B9772,A9786)</f>
        <v>245F33B0-M</v>
      </c>
      <c r="C9786" s="17"/>
      <c r="D9786" s="184"/>
      <c r="E9786" s="197"/>
      <c r="F9786" s="19"/>
      <c r="G9786" s="20"/>
    </row>
    <row r="9787" spans="1:7">
      <c r="A9787" s="211" t="s">
        <v>497</v>
      </c>
      <c r="B9787" s="216" t="str">
        <f ca="1">_xlfn.CONCAT(B9772,A9787)</f>
        <v>245F33B0-N</v>
      </c>
      <c r="C9787" s="17"/>
      <c r="D9787" s="184"/>
      <c r="E9787" s="197"/>
      <c r="F9787" s="19"/>
      <c r="G9787" s="20"/>
    </row>
    <row r="9788" spans="1:7">
      <c r="A9788" s="211" t="s">
        <v>498</v>
      </c>
      <c r="B9788" s="216" t="str">
        <f ca="1">_xlfn.CONCAT(B9772,A9788)</f>
        <v>245F33B0-O</v>
      </c>
      <c r="C9788" s="17"/>
      <c r="D9788" s="184"/>
      <c r="E9788" s="197"/>
      <c r="F9788" s="19"/>
      <c r="G9788" s="20"/>
    </row>
    <row r="9789" spans="1:7">
      <c r="A9789" s="211" t="s">
        <v>499</v>
      </c>
      <c r="B9789" s="216" t="str">
        <f ca="1">_xlfn.CONCAT(B9772,A9789)</f>
        <v>245F33B0-P</v>
      </c>
      <c r="C9789" s="17"/>
      <c r="D9789" s="184"/>
      <c r="E9789" s="197"/>
      <c r="F9789" s="19"/>
      <c r="G9789" s="20"/>
    </row>
    <row r="9790" spans="1:7">
      <c r="A9790" s="211" t="s">
        <v>500</v>
      </c>
      <c r="B9790" s="216" t="str">
        <f ca="1">_xlfn.CONCAT(B9772,A9790)</f>
        <v>245F33B0-Q</v>
      </c>
      <c r="C9790" s="17"/>
      <c r="D9790" s="184"/>
      <c r="E9790" s="197"/>
      <c r="F9790" s="19"/>
      <c r="G9790" s="20"/>
    </row>
    <row r="9791" spans="1:7">
      <c r="A9791" s="211" t="s">
        <v>501</v>
      </c>
      <c r="B9791" s="216" t="str">
        <f ca="1">_xlfn.CONCAT(B9772,A9791)</f>
        <v>245F33B0-R</v>
      </c>
      <c r="C9791" s="17"/>
      <c r="D9791" s="184"/>
      <c r="E9791" s="197"/>
      <c r="F9791" s="19"/>
      <c r="G9791" s="20"/>
    </row>
    <row r="9792" spans="1:7">
      <c r="A9792" s="211" t="s">
        <v>502</v>
      </c>
      <c r="B9792" s="216" t="str">
        <f ca="1">_xlfn.CONCAT(B9772,A9792)</f>
        <v>245F33B0-S</v>
      </c>
      <c r="C9792" s="17"/>
      <c r="D9792" s="184"/>
      <c r="E9792" s="197"/>
      <c r="F9792" s="19"/>
      <c r="G9792" s="20"/>
    </row>
    <row r="9793" spans="1:7">
      <c r="A9793" s="211" t="s">
        <v>503</v>
      </c>
      <c r="B9793" s="216" t="str">
        <f ca="1">_xlfn.CONCAT(B9772,A9793)</f>
        <v>245F33B0-T</v>
      </c>
      <c r="C9793" s="17"/>
      <c r="D9793" s="184"/>
      <c r="E9793" s="197"/>
      <c r="F9793" s="19"/>
      <c r="G9793" s="20"/>
    </row>
    <row r="9794" spans="1:7" ht="14.25" thickBot="1">
      <c r="A9794" s="211" t="s">
        <v>504</v>
      </c>
      <c r="B9794" s="216" t="str">
        <f ca="1">_xlfn.CONCAT(B9772,A9794)</f>
        <v>245F33B0-U</v>
      </c>
      <c r="C9794" s="17"/>
      <c r="D9794" s="184"/>
      <c r="E9794" s="197"/>
      <c r="F9794" s="19"/>
      <c r="G9794" s="20"/>
    </row>
    <row r="9795" spans="1:7" ht="14.25" thickBot="1">
      <c r="A9795" s="211" t="s">
        <v>505</v>
      </c>
      <c r="B9795" s="216" t="str">
        <f ca="1">_xlfn.CONCAT(B9772,A9795)</f>
        <v>245F33B0-V</v>
      </c>
      <c r="C9795" s="17" t="s">
        <v>17</v>
      </c>
      <c r="D9795" s="192" t="s">
        <v>17</v>
      </c>
      <c r="E9795" s="18"/>
      <c r="F9795" s="22" t="s">
        <v>18</v>
      </c>
      <c r="G9795" s="23">
        <f>SUM(G9774:G9794)</f>
        <v>17922389</v>
      </c>
    </row>
    <row r="9796" spans="1:7" ht="15.75" thickBot="1">
      <c r="A9796" s="211" t="s">
        <v>506</v>
      </c>
      <c r="B9796" s="216" t="str">
        <f ca="1">_xlfn.CONCAT(B9772,A9796)</f>
        <v>245F33B0-W</v>
      </c>
      <c r="C9796" s="10" t="s">
        <v>19</v>
      </c>
      <c r="D9796" s="190"/>
      <c r="E9796" s="11"/>
      <c r="F9796" s="12"/>
      <c r="G9796" s="13"/>
    </row>
    <row r="9797" spans="1:7" ht="14.25" thickBot="1">
      <c r="A9797" s="211" t="s">
        <v>507</v>
      </c>
      <c r="B9797" s="216" t="str">
        <f ca="1">_xlfn.CONCAT(B9772,A9797)</f>
        <v>245F33B0-X</v>
      </c>
      <c r="C9797" s="14" t="s">
        <v>1</v>
      </c>
      <c r="D9797" s="15"/>
      <c r="E9797" s="15" t="s">
        <v>20</v>
      </c>
      <c r="F9797" s="16" t="s">
        <v>21</v>
      </c>
      <c r="G9797" s="15" t="s">
        <v>5</v>
      </c>
    </row>
    <row r="9798" spans="1:7">
      <c r="A9798" s="211" t="s">
        <v>508</v>
      </c>
      <c r="B9798" s="216" t="str">
        <f ca="1">_xlfn.CONCAT(B9772,A9798)</f>
        <v>245F33B0-Y</v>
      </c>
      <c r="C9798" s="24" t="s">
        <v>22</v>
      </c>
      <c r="D9798" s="184"/>
      <c r="E9798" s="25">
        <f>_xlfn.XLOOKUP(C9798,'H-MO'!B$7:B$30,'H-MO'!D$7:D$30,,0,1)</f>
        <v>2436.5624999999995</v>
      </c>
      <c r="F9798" s="19">
        <v>40</v>
      </c>
      <c r="G9798" s="33">
        <f t="shared" ref="G9798:G9803" si="279">+E9798*F9798</f>
        <v>97462.499999999985</v>
      </c>
    </row>
    <row r="9799" spans="1:7">
      <c r="A9799" s="211" t="s">
        <v>509</v>
      </c>
      <c r="B9799" s="216" t="str">
        <f ca="1">_xlfn.CONCAT(B9772,A9799)</f>
        <v>245F33B0-Z</v>
      </c>
      <c r="C9799" s="24" t="s">
        <v>23</v>
      </c>
      <c r="D9799" s="184"/>
      <c r="E9799" s="25">
        <f>_xlfn.XLOOKUP(C9799,'H-MO'!B$7:B$30,'H-MO'!D$7:D$30,,0,1)</f>
        <v>1461.9374999999998</v>
      </c>
      <c r="F9799" s="19">
        <v>8</v>
      </c>
      <c r="G9799" s="33">
        <f t="shared" si="279"/>
        <v>11695.499999999998</v>
      </c>
    </row>
    <row r="9800" spans="1:7">
      <c r="A9800" s="211" t="s">
        <v>510</v>
      </c>
      <c r="B9800" s="216" t="str">
        <f ca="1">_xlfn.CONCAT(B9772,A9800)</f>
        <v>245F33B0-aa</v>
      </c>
      <c r="C9800" s="24" t="s">
        <v>24</v>
      </c>
      <c r="D9800" s="185"/>
      <c r="E9800" s="25">
        <f>_xlfn.XLOOKUP(C9800,'H-MO'!B$7:B$30,'H-MO'!D$7:D$30,,0,1)</f>
        <v>29238.749999999996</v>
      </c>
      <c r="F9800" s="28">
        <v>35</v>
      </c>
      <c r="G9800" s="33">
        <f t="shared" si="279"/>
        <v>1023356.2499999999</v>
      </c>
    </row>
    <row r="9801" spans="1:7">
      <c r="A9801" s="211" t="s">
        <v>511</v>
      </c>
      <c r="B9801" s="216" t="str">
        <f ca="1">_xlfn.CONCAT(B9772,A9801)</f>
        <v>245F33B0-ab</v>
      </c>
      <c r="C9801" s="24" t="s">
        <v>25</v>
      </c>
      <c r="D9801" s="185"/>
      <c r="E9801" s="25">
        <f>_xlfn.XLOOKUP(C9801,'H-MO'!B$7:B$30,'H-MO'!D$7:D$30,,0,1)</f>
        <v>2761.4374999999995</v>
      </c>
      <c r="F9801" s="28">
        <v>30</v>
      </c>
      <c r="G9801" s="33">
        <f t="shared" si="279"/>
        <v>82843.124999999985</v>
      </c>
    </row>
    <row r="9802" spans="1:7">
      <c r="A9802" s="211" t="s">
        <v>512</v>
      </c>
      <c r="B9802" s="216" t="str">
        <f ca="1">_xlfn.CONCAT(B9772,A9802)</f>
        <v>245F33B0-ac</v>
      </c>
      <c r="C9802" s="24"/>
      <c r="D9802" s="185"/>
      <c r="E9802" s="29"/>
      <c r="F9802" s="28"/>
      <c r="G9802" s="33">
        <f t="shared" si="279"/>
        <v>0</v>
      </c>
    </row>
    <row r="9803" spans="1:7" ht="14.25" thickBot="1">
      <c r="A9803" s="211" t="s">
        <v>513</v>
      </c>
      <c r="B9803" s="216" t="str">
        <f ca="1">_xlfn.CONCAT(B9772,A9803)</f>
        <v>245F33B0-ad</v>
      </c>
      <c r="C9803" s="24"/>
      <c r="D9803" s="185"/>
      <c r="E9803" s="29"/>
      <c r="F9803" s="28"/>
      <c r="G9803" s="33">
        <f t="shared" si="279"/>
        <v>0</v>
      </c>
    </row>
    <row r="9804" spans="1:7" ht="14.25" thickBot="1">
      <c r="A9804" s="211" t="s">
        <v>514</v>
      </c>
      <c r="B9804" s="216" t="str">
        <f ca="1">_xlfn.CONCAT(B9772,A9804)</f>
        <v>245F33B0-ae</v>
      </c>
      <c r="C9804" s="17"/>
      <c r="D9804" s="192"/>
      <c r="E9804" s="18"/>
      <c r="F9804" s="22" t="s">
        <v>26</v>
      </c>
      <c r="G9804" s="23">
        <f>SUM(G9798:G9803)</f>
        <v>1215357.3749999998</v>
      </c>
    </row>
    <row r="9805" spans="1:7" ht="15.75" thickBot="1">
      <c r="A9805" s="211" t="s">
        <v>515</v>
      </c>
      <c r="B9805" s="216" t="str">
        <f ca="1">_xlfn.CONCAT(B9772,A9805)</f>
        <v>245F33B0-af</v>
      </c>
      <c r="C9805" s="10" t="s">
        <v>27</v>
      </c>
      <c r="D9805" s="190"/>
      <c r="E9805" s="11"/>
      <c r="F9805" s="12"/>
      <c r="G9805" s="13"/>
    </row>
    <row r="9806" spans="1:7" ht="14.25" thickBot="1">
      <c r="A9806" s="211" t="s">
        <v>516</v>
      </c>
      <c r="B9806" s="216" t="str">
        <f ca="1">_xlfn.CONCAT(B9772,A9806)</f>
        <v>245F33B0-ag</v>
      </c>
      <c r="C9806" s="14" t="s">
        <v>1</v>
      </c>
      <c r="D9806" s="15" t="s">
        <v>28</v>
      </c>
      <c r="E9806" s="15" t="s">
        <v>20</v>
      </c>
      <c r="F9806" s="16" t="s">
        <v>21</v>
      </c>
      <c r="G9806" s="15" t="s">
        <v>5</v>
      </c>
    </row>
    <row r="9807" spans="1:7">
      <c r="A9807" s="211" t="s">
        <v>517</v>
      </c>
      <c r="B9807" s="216" t="str">
        <f ca="1">_xlfn.CONCAT(B9772,A9807)</f>
        <v>245F33B0-ah</v>
      </c>
      <c r="C9807" s="30" t="s">
        <v>29</v>
      </c>
      <c r="D9807" s="186">
        <f>'H-MO'!$N$77</f>
        <v>725918.52892505517</v>
      </c>
      <c r="E9807" s="31">
        <f>+D9807/8</f>
        <v>90739.816115631897</v>
      </c>
      <c r="F9807" s="32">
        <v>25</v>
      </c>
      <c r="G9807" s="33">
        <f>+E9807*F9807</f>
        <v>2268495.4028907972</v>
      </c>
    </row>
    <row r="9808" spans="1:7">
      <c r="A9808" s="211" t="s">
        <v>518</v>
      </c>
      <c r="B9808" s="216" t="str">
        <f ca="1">_xlfn.CONCAT(B9772,A9808)</f>
        <v>245F33B0-ai</v>
      </c>
      <c r="C9808" s="34" t="s">
        <v>30</v>
      </c>
      <c r="D9808" s="187">
        <f>'H-MO'!$N$86</f>
        <v>685561.39085756091</v>
      </c>
      <c r="E9808" s="29">
        <f>+D9808/8</f>
        <v>85695.173857195114</v>
      </c>
      <c r="F9808" s="28">
        <v>0</v>
      </c>
      <c r="G9808" s="33">
        <f>+E9808*F9808</f>
        <v>0</v>
      </c>
    </row>
    <row r="9809" spans="1:8" ht="14.25" thickBot="1">
      <c r="A9809" s="211" t="s">
        <v>519</v>
      </c>
      <c r="B9809" s="216" t="str">
        <f ca="1">_xlfn.CONCAT(B9772,A9809)</f>
        <v>245F33B0-aj</v>
      </c>
      <c r="C9809" s="34"/>
      <c r="D9809" s="187"/>
      <c r="E9809" s="29"/>
      <c r="F9809" s="28"/>
      <c r="G9809" s="33">
        <f>+E9809*F9809</f>
        <v>0</v>
      </c>
    </row>
    <row r="9810" spans="1:8" ht="14.25" thickBot="1">
      <c r="A9810" s="211" t="s">
        <v>520</v>
      </c>
      <c r="B9810" s="216" t="str">
        <f ca="1">_xlfn.CONCAT(B9772,A9810)</f>
        <v>245F33B0-ak</v>
      </c>
      <c r="C9810" s="34"/>
      <c r="D9810" s="185"/>
      <c r="E9810" s="26"/>
      <c r="F9810" s="36" t="s">
        <v>31</v>
      </c>
      <c r="G9810" s="23">
        <f>SUM(G9807:G9809)</f>
        <v>2268495.4028907972</v>
      </c>
    </row>
    <row r="9811" spans="1:8" ht="14.25" thickBot="1">
      <c r="A9811" s="211" t="s">
        <v>521</v>
      </c>
      <c r="B9811" s="216" t="str">
        <f ca="1">_xlfn.CONCAT(B9772,A9811)</f>
        <v>245F33B0-al</v>
      </c>
      <c r="C9811" s="37"/>
      <c r="E9811" s="38"/>
      <c r="F9811" s="22"/>
      <c r="G9811" s="39"/>
    </row>
    <row r="9812" spans="1:8" ht="16.5" thickBot="1">
      <c r="A9812" s="211" t="s">
        <v>522</v>
      </c>
      <c r="B9812" s="216" t="str">
        <f ca="1">_xlfn.CONCAT(B9772,A9812)</f>
        <v>245F33B0-am</v>
      </c>
      <c r="C9812" s="40"/>
      <c r="D9812" s="193"/>
      <c r="E9812" s="41"/>
      <c r="F9812" s="42"/>
      <c r="G9812" s="43">
        <f>+G9795+G9804+G9810</f>
        <v>21406241.777890798</v>
      </c>
    </row>
    <row r="9813" spans="1:8" ht="21.75" thickBot="1">
      <c r="B9813" s="212" t="s">
        <v>550</v>
      </c>
      <c r="C9813" s="2"/>
      <c r="D9813" s="183"/>
      <c r="F9813" s="4"/>
      <c r="G9813" s="5"/>
    </row>
    <row r="9814" spans="1:8" ht="18.75">
      <c r="A9814" s="213"/>
      <c r="B9814" s="214">
        <v>223</v>
      </c>
      <c r="C9814" s="242" t="str">
        <f ca="1">_xlfn.XLOOKUP(B9814,Cantidades!$A$10:$A$314,Cantidades!$C$10:$C$314,,0,1)</f>
        <v>Suministro e instalación de celda de medida compacta, 24 kV. Incluye 3 transformadores de corriente, 3 transformadores de potencial, cable 12x12 de cobre norma ENEL, bornera de pruebas, medidor electrónico según norma ENEL Y transporte al lugar del proyecto</v>
      </c>
      <c r="D9814" s="243"/>
      <c r="E9814" s="243"/>
      <c r="F9814" s="243"/>
      <c r="G9814" s="244"/>
    </row>
    <row r="9815" spans="1:8" ht="19.5" thickBot="1">
      <c r="A9815" s="215"/>
      <c r="B9815" s="216" t="s">
        <v>550</v>
      </c>
      <c r="C9815" s="177"/>
      <c r="D9815" s="189"/>
      <c r="E9815" s="178"/>
      <c r="F9815" s="179" t="s">
        <v>636</v>
      </c>
      <c r="G9815" s="209" t="str">
        <f ca="1">B9816</f>
        <v>965224D-</v>
      </c>
    </row>
    <row r="9816" spans="1:8" ht="15.75" thickBot="1">
      <c r="B9816" s="212" t="str">
        <f ca="1">_xlfn.XLOOKUP(C9814,Cantidades!$C$1:$C$314,Cantidades!$B$1:$B$314,"",0,1)</f>
        <v>965224D-</v>
      </c>
      <c r="C9816" s="10" t="s">
        <v>0</v>
      </c>
      <c r="D9816" s="190"/>
      <c r="E9816" s="11"/>
      <c r="F9816" s="12"/>
      <c r="G9816" s="13"/>
    </row>
    <row r="9817" spans="1:8" ht="14.25" thickBot="1">
      <c r="A9817" s="215"/>
      <c r="B9817" s="216" t="s">
        <v>550</v>
      </c>
      <c r="C9817" s="14" t="s">
        <v>1</v>
      </c>
      <c r="D9817" s="15" t="s">
        <v>2</v>
      </c>
      <c r="E9817" s="15" t="s">
        <v>3</v>
      </c>
      <c r="F9817" s="16" t="s">
        <v>4</v>
      </c>
      <c r="G9817" s="15" t="s">
        <v>5</v>
      </c>
    </row>
    <row r="9818" spans="1:8">
      <c r="A9818" s="211" t="s">
        <v>484</v>
      </c>
      <c r="B9818" s="216" t="str">
        <f ca="1">_xlfn.CONCAT(B9816,A9818)</f>
        <v>965224D-A</v>
      </c>
      <c r="C9818" s="17" t="str">
        <f>_xlfn.XLOOKUP(H9818,'Materiales unitario'!$A$1:$A$2500,'Materiales unitario'!B$1:B$2500,,0,1)</f>
        <v>Accesorios de anclaje y fijacion.</v>
      </c>
      <c r="D9818" s="184" t="str">
        <f>_xlfn.XLOOKUP(H9818,'Materiales unitario'!A$1:A$2500,'Materiales unitario'!C$1:C$2500,,0,1)</f>
        <v>un</v>
      </c>
      <c r="E9818" s="197">
        <f>_xlfn.XLOOKUP(H9818,'Materiales unitario'!$A$1:$A$2500,'Materiales unitario'!D$1:D$2500,,0,1)</f>
        <v>10000</v>
      </c>
      <c r="F9818" s="19">
        <v>8</v>
      </c>
      <c r="G9818" s="20">
        <f>+E9818*F9818</f>
        <v>80000</v>
      </c>
      <c r="H9818" s="211" t="s">
        <v>222</v>
      </c>
    </row>
    <row r="9819" spans="1:8">
      <c r="A9819" s="211" t="s">
        <v>485</v>
      </c>
      <c r="B9819" s="216" t="str">
        <f ca="1">_xlfn.CONCAT(B9816,A9819)</f>
        <v>965224D-B</v>
      </c>
      <c r="C9819" s="17" t="str">
        <f>_xlfn.XLOOKUP(H9819,'Materiales unitario'!$A$1:$A$2500,'Materiales unitario'!B$1:B$2500,,0,1)</f>
        <v>Celda de medida en media tension AE 324 y 325.</v>
      </c>
      <c r="D9819" s="184" t="str">
        <f>_xlfn.XLOOKUP(H9819,'Materiales unitario'!A$1:A$2500,'Materiales unitario'!C$1:C$2500,,0,1)</f>
        <v>un</v>
      </c>
      <c r="E9819" s="197">
        <f>_xlfn.XLOOKUP(H9819,'Materiales unitario'!$A$1:$A$2500,'Materiales unitario'!D$1:D$2500,,0,1)</f>
        <v>7465899</v>
      </c>
      <c r="F9819" s="19">
        <v>1</v>
      </c>
      <c r="G9819" s="20">
        <f>+E9819*F9819</f>
        <v>7465899</v>
      </c>
      <c r="H9819" s="211" t="s">
        <v>1614</v>
      </c>
    </row>
    <row r="9820" spans="1:8">
      <c r="A9820" s="211" t="s">
        <v>486</v>
      </c>
      <c r="B9820" s="216" t="str">
        <f ca="1">_xlfn.CONCAT(B9816,A9820)</f>
        <v>965224D-C</v>
      </c>
      <c r="C9820" s="17" t="str">
        <f>_xlfn.XLOOKUP(H9820,'Materiales unitario'!$A$1:$A$2500,'Materiales unitario'!B$1:B$2500,,0,1)</f>
        <v>Bandeja para montaje de medidor</v>
      </c>
      <c r="D9820" s="184" t="str">
        <f>_xlfn.XLOOKUP(H9820,'Materiales unitario'!A$1:A$2500,'Materiales unitario'!C$1:C$2500,,0,1)</f>
        <v>un</v>
      </c>
      <c r="E9820" s="197">
        <f>_xlfn.XLOOKUP(H9820,'Materiales unitario'!$A$1:$A$2500,'Materiales unitario'!D$1:D$2500,,0,1)</f>
        <v>86954</v>
      </c>
      <c r="F9820" s="19">
        <v>1</v>
      </c>
      <c r="G9820" s="20">
        <f t="shared" ref="G9820:G9823" si="280">+E9820*F9820</f>
        <v>86954</v>
      </c>
      <c r="H9820" s="211" t="s">
        <v>1615</v>
      </c>
    </row>
    <row r="9821" spans="1:8">
      <c r="A9821" s="211" t="s">
        <v>487</v>
      </c>
      <c r="B9821" s="216" t="str">
        <f ca="1">_xlfn.CONCAT(B9816,A9821)</f>
        <v>965224D-D</v>
      </c>
      <c r="C9821" s="17" t="str">
        <f>_xlfn.XLOOKUP(H9821,'Materiales unitario'!$A$1:$A$2500,'Materiales unitario'!B$1:B$2500,,0,1)</f>
        <v>(TC) Trafo de Int. MT Relación de transformador 15/5 Amp.</v>
      </c>
      <c r="D9821" s="184" t="str">
        <f>_xlfn.XLOOKUP(H9821,'Materiales unitario'!A$1:A$2500,'Materiales unitario'!C$1:C$2500,,0,1)</f>
        <v>un</v>
      </c>
      <c r="E9821" s="197">
        <f>_xlfn.XLOOKUP(H9821,'Materiales unitario'!$A$1:$A$2500,'Materiales unitario'!D$1:D$2500,,0,1)</f>
        <v>2469815</v>
      </c>
      <c r="F9821" s="19">
        <v>3</v>
      </c>
      <c r="G9821" s="20">
        <f t="shared" si="280"/>
        <v>7409445</v>
      </c>
      <c r="H9821" s="211" t="s">
        <v>1619</v>
      </c>
    </row>
    <row r="9822" spans="1:8">
      <c r="A9822" s="211" t="s">
        <v>488</v>
      </c>
      <c r="B9822" s="216" t="str">
        <f ca="1">_xlfn.CONCAT(B9816,A9822)</f>
        <v>965224D-E</v>
      </c>
      <c r="C9822" s="17" t="str">
        <f>_xlfn.XLOOKUP(H9822,'Materiales unitario'!$A$1:$A$2500,'Materiales unitario'!B$1:B$2500,,0,1)</f>
        <v xml:space="preserve">(TP) Trafo de tension TP 11.400, TS 120V, Cl 0.5 </v>
      </c>
      <c r="D9822" s="184" t="str">
        <f>_xlfn.XLOOKUP(H9822,'Materiales unitario'!A$1:A$2500,'Materiales unitario'!C$1:C$2500,,0,1)</f>
        <v>un</v>
      </c>
      <c r="E9822" s="197">
        <f>_xlfn.XLOOKUP(H9822,'Materiales unitario'!$A$1:$A$2500,'Materiales unitario'!D$1:D$2500,,0,1)</f>
        <v>3275944</v>
      </c>
      <c r="F9822" s="19">
        <v>3</v>
      </c>
      <c r="G9822" s="20">
        <f t="shared" si="280"/>
        <v>9827832</v>
      </c>
      <c r="H9822" s="211" t="s">
        <v>1620</v>
      </c>
    </row>
    <row r="9823" spans="1:8">
      <c r="A9823" s="211" t="s">
        <v>489</v>
      </c>
      <c r="B9823" s="216" t="str">
        <f ca="1">_xlfn.CONCAT(B9816,A9823)</f>
        <v>965224D-F</v>
      </c>
      <c r="C9823" s="17" t="str">
        <f>_xlfn.XLOOKUP(H9823,'Materiales unitario'!$A$1:$A$2500,'Materiales unitario'!B$1:B$2500,,0,1)</f>
        <v>Cable de cobre tipo control TC 4X12 600V</v>
      </c>
      <c r="D9823" s="184" t="str">
        <f>_xlfn.XLOOKUP(H9823,'Materiales unitario'!A$1:A$2500,'Materiales unitario'!C$1:C$2500,,0,1)</f>
        <v>ml</v>
      </c>
      <c r="E9823" s="197">
        <f>_xlfn.XLOOKUP(H9823,'Materiales unitario'!$A$1:$A$2500,'Materiales unitario'!D$1:D$2500,,0,1)</f>
        <v>24635</v>
      </c>
      <c r="F9823" s="19">
        <v>3</v>
      </c>
      <c r="G9823" s="20">
        <f t="shared" si="280"/>
        <v>73905</v>
      </c>
      <c r="H9823" s="211" t="s">
        <v>1621</v>
      </c>
    </row>
    <row r="9824" spans="1:8">
      <c r="A9824" s="211" t="s">
        <v>490</v>
      </c>
      <c r="B9824" s="216" t="str">
        <f ca="1">_xlfn.CONCAT(B9816,A9824)</f>
        <v>965224D-G</v>
      </c>
      <c r="C9824" s="17"/>
      <c r="D9824" s="184"/>
      <c r="E9824" s="197"/>
      <c r="F9824" s="19"/>
      <c r="G9824" s="20"/>
    </row>
    <row r="9825" spans="1:7">
      <c r="A9825" s="211" t="s">
        <v>491</v>
      </c>
      <c r="B9825" s="216" t="str">
        <f ca="1">_xlfn.CONCAT(B9816,A9825)</f>
        <v>965224D-H</v>
      </c>
      <c r="C9825" s="17"/>
      <c r="D9825" s="184"/>
      <c r="E9825" s="197"/>
      <c r="F9825" s="19"/>
      <c r="G9825" s="20"/>
    </row>
    <row r="9826" spans="1:7">
      <c r="A9826" s="211" t="s">
        <v>492</v>
      </c>
      <c r="B9826" s="216" t="str">
        <f ca="1">_xlfn.CONCAT(B9816,A9826)</f>
        <v>965224D-I</v>
      </c>
      <c r="C9826" s="17"/>
      <c r="D9826" s="184"/>
      <c r="E9826" s="197"/>
      <c r="F9826" s="19"/>
      <c r="G9826" s="20"/>
    </row>
    <row r="9827" spans="1:7">
      <c r="A9827" s="211" t="s">
        <v>493</v>
      </c>
      <c r="B9827" s="216" t="str">
        <f ca="1">_xlfn.CONCAT(B9816,A9827)</f>
        <v>965224D-J</v>
      </c>
      <c r="C9827" s="17"/>
      <c r="D9827" s="184"/>
      <c r="E9827" s="197"/>
      <c r="F9827" s="19"/>
      <c r="G9827" s="20"/>
    </row>
    <row r="9828" spans="1:7">
      <c r="A9828" s="211" t="s">
        <v>494</v>
      </c>
      <c r="B9828" s="216" t="str">
        <f ca="1">_xlfn.CONCAT(B9816,A9828)</f>
        <v>965224D-K</v>
      </c>
      <c r="C9828" s="17"/>
      <c r="D9828" s="184"/>
      <c r="E9828" s="197"/>
      <c r="F9828" s="19"/>
      <c r="G9828" s="20"/>
    </row>
    <row r="9829" spans="1:7">
      <c r="A9829" s="211" t="s">
        <v>495</v>
      </c>
      <c r="B9829" s="216" t="str">
        <f ca="1">_xlfn.CONCAT(B9816,A9829)</f>
        <v>965224D-L</v>
      </c>
      <c r="C9829" s="17"/>
      <c r="D9829" s="184"/>
      <c r="E9829" s="197"/>
      <c r="F9829" s="19"/>
      <c r="G9829" s="20"/>
    </row>
    <row r="9830" spans="1:7">
      <c r="A9830" s="211" t="s">
        <v>496</v>
      </c>
      <c r="B9830" s="216" t="str">
        <f ca="1">_xlfn.CONCAT(B9816,A9830)</f>
        <v>965224D-M</v>
      </c>
      <c r="C9830" s="17"/>
      <c r="D9830" s="184"/>
      <c r="E9830" s="197"/>
      <c r="F9830" s="19"/>
      <c r="G9830" s="20"/>
    </row>
    <row r="9831" spans="1:7">
      <c r="A9831" s="211" t="s">
        <v>497</v>
      </c>
      <c r="B9831" s="216" t="str">
        <f ca="1">_xlfn.CONCAT(B9816,A9831)</f>
        <v>965224D-N</v>
      </c>
      <c r="C9831" s="17"/>
      <c r="D9831" s="184"/>
      <c r="E9831" s="197"/>
      <c r="F9831" s="19"/>
      <c r="G9831" s="20"/>
    </row>
    <row r="9832" spans="1:7">
      <c r="A9832" s="211" t="s">
        <v>498</v>
      </c>
      <c r="B9832" s="216" t="str">
        <f ca="1">_xlfn.CONCAT(B9816,A9832)</f>
        <v>965224D-O</v>
      </c>
      <c r="C9832" s="17"/>
      <c r="D9832" s="184"/>
      <c r="E9832" s="197"/>
      <c r="F9832" s="19"/>
      <c r="G9832" s="20"/>
    </row>
    <row r="9833" spans="1:7">
      <c r="A9833" s="211" t="s">
        <v>499</v>
      </c>
      <c r="B9833" s="216" t="str">
        <f ca="1">_xlfn.CONCAT(B9816,A9833)</f>
        <v>965224D-P</v>
      </c>
      <c r="C9833" s="17"/>
      <c r="D9833" s="184"/>
      <c r="E9833" s="197"/>
      <c r="F9833" s="19"/>
      <c r="G9833" s="20"/>
    </row>
    <row r="9834" spans="1:7">
      <c r="A9834" s="211" t="s">
        <v>500</v>
      </c>
      <c r="B9834" s="216" t="str">
        <f ca="1">_xlfn.CONCAT(B9816,A9834)</f>
        <v>965224D-Q</v>
      </c>
      <c r="C9834" s="17"/>
      <c r="D9834" s="184"/>
      <c r="E9834" s="197"/>
      <c r="F9834" s="19"/>
      <c r="G9834" s="20"/>
    </row>
    <row r="9835" spans="1:7">
      <c r="A9835" s="211" t="s">
        <v>501</v>
      </c>
      <c r="B9835" s="216" t="str">
        <f ca="1">_xlfn.CONCAT(B9816,A9835)</f>
        <v>965224D-R</v>
      </c>
      <c r="C9835" s="17"/>
      <c r="D9835" s="184"/>
      <c r="E9835" s="197"/>
      <c r="F9835" s="19"/>
      <c r="G9835" s="20"/>
    </row>
    <row r="9836" spans="1:7">
      <c r="A9836" s="211" t="s">
        <v>502</v>
      </c>
      <c r="B9836" s="216" t="str">
        <f ca="1">_xlfn.CONCAT(B9816,A9836)</f>
        <v>965224D-S</v>
      </c>
      <c r="C9836" s="17"/>
      <c r="D9836" s="184"/>
      <c r="E9836" s="197"/>
      <c r="F9836" s="19"/>
      <c r="G9836" s="20"/>
    </row>
    <row r="9837" spans="1:7">
      <c r="A9837" s="211" t="s">
        <v>503</v>
      </c>
      <c r="B9837" s="216" t="str">
        <f ca="1">_xlfn.CONCAT(B9816,A9837)</f>
        <v>965224D-T</v>
      </c>
      <c r="C9837" s="17"/>
      <c r="D9837" s="184"/>
      <c r="E9837" s="197"/>
      <c r="F9837" s="19"/>
      <c r="G9837" s="20"/>
    </row>
    <row r="9838" spans="1:7" ht="14.25" thickBot="1">
      <c r="A9838" s="211" t="s">
        <v>504</v>
      </c>
      <c r="B9838" s="216" t="str">
        <f ca="1">_xlfn.CONCAT(B9816,A9838)</f>
        <v>965224D-U</v>
      </c>
      <c r="C9838" s="17"/>
      <c r="D9838" s="184"/>
      <c r="E9838" s="197"/>
      <c r="F9838" s="19"/>
      <c r="G9838" s="20"/>
    </row>
    <row r="9839" spans="1:7" ht="14.25" thickBot="1">
      <c r="A9839" s="211" t="s">
        <v>505</v>
      </c>
      <c r="B9839" s="216" t="str">
        <f ca="1">_xlfn.CONCAT(B9816,A9839)</f>
        <v>965224D-V</v>
      </c>
      <c r="C9839" s="17" t="s">
        <v>17</v>
      </c>
      <c r="D9839" s="192" t="s">
        <v>17</v>
      </c>
      <c r="E9839" s="18"/>
      <c r="F9839" s="22" t="s">
        <v>18</v>
      </c>
      <c r="G9839" s="23">
        <f>SUM(G9818:G9838)</f>
        <v>24944035</v>
      </c>
    </row>
    <row r="9840" spans="1:7" ht="15.75" thickBot="1">
      <c r="A9840" s="211" t="s">
        <v>506</v>
      </c>
      <c r="B9840" s="216" t="str">
        <f ca="1">_xlfn.CONCAT(B9816,A9840)</f>
        <v>965224D-W</v>
      </c>
      <c r="C9840" s="10" t="s">
        <v>19</v>
      </c>
      <c r="D9840" s="190"/>
      <c r="E9840" s="11"/>
      <c r="F9840" s="12"/>
      <c r="G9840" s="13"/>
    </row>
    <row r="9841" spans="1:7" ht="14.25" thickBot="1">
      <c r="A9841" s="211" t="s">
        <v>507</v>
      </c>
      <c r="B9841" s="216" t="str">
        <f ca="1">_xlfn.CONCAT(B9816,A9841)</f>
        <v>965224D-X</v>
      </c>
      <c r="C9841" s="14" t="s">
        <v>1</v>
      </c>
      <c r="D9841" s="15"/>
      <c r="E9841" s="15" t="s">
        <v>20</v>
      </c>
      <c r="F9841" s="16" t="s">
        <v>21</v>
      </c>
      <c r="G9841" s="15" t="s">
        <v>5</v>
      </c>
    </row>
    <row r="9842" spans="1:7">
      <c r="A9842" s="211" t="s">
        <v>508</v>
      </c>
      <c r="B9842" s="216" t="str">
        <f ca="1">_xlfn.CONCAT(B9816,A9842)</f>
        <v>965224D-Y</v>
      </c>
      <c r="C9842" s="24" t="s">
        <v>22</v>
      </c>
      <c r="D9842" s="184"/>
      <c r="E9842" s="25">
        <f>_xlfn.XLOOKUP(C9842,'H-MO'!B$7:B$30,'H-MO'!D$7:D$30,,0,1)</f>
        <v>2436.5624999999995</v>
      </c>
      <c r="F9842" s="19">
        <v>7</v>
      </c>
      <c r="G9842" s="33">
        <f t="shared" ref="G9842:G9847" si="281">+E9842*F9842</f>
        <v>17055.937499999996</v>
      </c>
    </row>
    <row r="9843" spans="1:7">
      <c r="A9843" s="211" t="s">
        <v>509</v>
      </c>
      <c r="B9843" s="216" t="str">
        <f ca="1">_xlfn.CONCAT(B9816,A9843)</f>
        <v>965224D-Z</v>
      </c>
      <c r="C9843" s="24" t="s">
        <v>23</v>
      </c>
      <c r="D9843" s="184"/>
      <c r="E9843" s="25">
        <f>_xlfn.XLOOKUP(C9843,'H-MO'!B$7:B$30,'H-MO'!D$7:D$30,,0,1)</f>
        <v>1461.9374999999998</v>
      </c>
      <c r="F9843" s="19">
        <v>1</v>
      </c>
      <c r="G9843" s="33">
        <f t="shared" si="281"/>
        <v>1461.9374999999998</v>
      </c>
    </row>
    <row r="9844" spans="1:7">
      <c r="A9844" s="211" t="s">
        <v>510</v>
      </c>
      <c r="B9844" s="216" t="str">
        <f ca="1">_xlfn.CONCAT(B9816,A9844)</f>
        <v>965224D-aa</v>
      </c>
      <c r="C9844" s="24" t="s">
        <v>24</v>
      </c>
      <c r="D9844" s="185"/>
      <c r="E9844" s="25">
        <f>_xlfn.XLOOKUP(C9844,'H-MO'!B$7:B$30,'H-MO'!D$7:D$30,,0,1)</f>
        <v>29238.749999999996</v>
      </c>
      <c r="F9844" s="28">
        <v>5</v>
      </c>
      <c r="G9844" s="33">
        <f t="shared" si="281"/>
        <v>146193.74999999997</v>
      </c>
    </row>
    <row r="9845" spans="1:7">
      <c r="A9845" s="211" t="s">
        <v>511</v>
      </c>
      <c r="B9845" s="216" t="str">
        <f ca="1">_xlfn.CONCAT(B9816,A9845)</f>
        <v>965224D-ab</v>
      </c>
      <c r="C9845" s="24" t="s">
        <v>25</v>
      </c>
      <c r="D9845" s="185"/>
      <c r="E9845" s="25">
        <f>_xlfn.XLOOKUP(C9845,'H-MO'!B$7:B$30,'H-MO'!D$7:D$30,,0,1)</f>
        <v>2761.4374999999995</v>
      </c>
      <c r="F9845" s="28">
        <v>6</v>
      </c>
      <c r="G9845" s="33">
        <f t="shared" si="281"/>
        <v>16568.624999999996</v>
      </c>
    </row>
    <row r="9846" spans="1:7">
      <c r="A9846" s="211" t="s">
        <v>512</v>
      </c>
      <c r="B9846" s="216" t="str">
        <f ca="1">_xlfn.CONCAT(B9816,A9846)</f>
        <v>965224D-ac</v>
      </c>
      <c r="C9846" s="24"/>
      <c r="D9846" s="185"/>
      <c r="E9846" s="29"/>
      <c r="F9846" s="28"/>
      <c r="G9846" s="33">
        <f t="shared" si="281"/>
        <v>0</v>
      </c>
    </row>
    <row r="9847" spans="1:7" ht="14.25" thickBot="1">
      <c r="A9847" s="211" t="s">
        <v>513</v>
      </c>
      <c r="B9847" s="216" t="str">
        <f ca="1">_xlfn.CONCAT(B9816,A9847)</f>
        <v>965224D-ad</v>
      </c>
      <c r="C9847" s="24"/>
      <c r="D9847" s="185"/>
      <c r="E9847" s="29"/>
      <c r="F9847" s="28"/>
      <c r="G9847" s="33">
        <f t="shared" si="281"/>
        <v>0</v>
      </c>
    </row>
    <row r="9848" spans="1:7" ht="14.25" thickBot="1">
      <c r="A9848" s="211" t="s">
        <v>514</v>
      </c>
      <c r="B9848" s="216" t="str">
        <f ca="1">_xlfn.CONCAT(B9816,A9848)</f>
        <v>965224D-ae</v>
      </c>
      <c r="C9848" s="17"/>
      <c r="D9848" s="192"/>
      <c r="E9848" s="18"/>
      <c r="F9848" s="22" t="s">
        <v>26</v>
      </c>
      <c r="G9848" s="23">
        <f>SUM(G9842:G9847)</f>
        <v>181280.24999999997</v>
      </c>
    </row>
    <row r="9849" spans="1:7" ht="15.75" thickBot="1">
      <c r="A9849" s="211" t="s">
        <v>515</v>
      </c>
      <c r="B9849" s="216" t="str">
        <f ca="1">_xlfn.CONCAT(B9816,A9849)</f>
        <v>965224D-af</v>
      </c>
      <c r="C9849" s="10" t="s">
        <v>27</v>
      </c>
      <c r="D9849" s="190"/>
      <c r="E9849" s="11"/>
      <c r="F9849" s="12"/>
      <c r="G9849" s="13"/>
    </row>
    <row r="9850" spans="1:7" ht="14.25" thickBot="1">
      <c r="A9850" s="211" t="s">
        <v>516</v>
      </c>
      <c r="B9850" s="216" t="str">
        <f ca="1">_xlfn.CONCAT(B9816,A9850)</f>
        <v>965224D-ag</v>
      </c>
      <c r="C9850" s="14" t="s">
        <v>1</v>
      </c>
      <c r="D9850" s="15" t="s">
        <v>28</v>
      </c>
      <c r="E9850" s="15" t="s">
        <v>20</v>
      </c>
      <c r="F9850" s="16" t="s">
        <v>21</v>
      </c>
      <c r="G9850" s="15" t="s">
        <v>5</v>
      </c>
    </row>
    <row r="9851" spans="1:7">
      <c r="A9851" s="211" t="s">
        <v>517</v>
      </c>
      <c r="B9851" s="216" t="str">
        <f ca="1">_xlfn.CONCAT(B9816,A9851)</f>
        <v>965224D-ah</v>
      </c>
      <c r="C9851" s="30" t="s">
        <v>29</v>
      </c>
      <c r="D9851" s="186">
        <f>'H-MO'!$N$77</f>
        <v>725918.52892505517</v>
      </c>
      <c r="E9851" s="31">
        <f>+D9851/8</f>
        <v>90739.816115631897</v>
      </c>
      <c r="F9851" s="32">
        <v>30</v>
      </c>
      <c r="G9851" s="33">
        <f>+E9851*F9851</f>
        <v>2722194.4834689568</v>
      </c>
    </row>
    <row r="9852" spans="1:7">
      <c r="A9852" s="211" t="s">
        <v>518</v>
      </c>
      <c r="B9852" s="216" t="str">
        <f ca="1">_xlfn.CONCAT(B9816,A9852)</f>
        <v>965224D-ai</v>
      </c>
      <c r="C9852" s="34" t="s">
        <v>30</v>
      </c>
      <c r="D9852" s="187">
        <f>'H-MO'!$N$86</f>
        <v>685561.39085756091</v>
      </c>
      <c r="E9852" s="29">
        <f>+D9852/8</f>
        <v>85695.173857195114</v>
      </c>
      <c r="F9852" s="28">
        <v>0</v>
      </c>
      <c r="G9852" s="33">
        <f>+E9852*F9852</f>
        <v>0</v>
      </c>
    </row>
    <row r="9853" spans="1:7" ht="14.25" thickBot="1">
      <c r="A9853" s="211" t="s">
        <v>519</v>
      </c>
      <c r="B9853" s="216" t="str">
        <f ca="1">_xlfn.CONCAT(B9816,A9853)</f>
        <v>965224D-aj</v>
      </c>
      <c r="C9853" s="34"/>
      <c r="D9853" s="187"/>
      <c r="E9853" s="29"/>
      <c r="F9853" s="28"/>
      <c r="G9853" s="33">
        <f>+E9853*F9853</f>
        <v>0</v>
      </c>
    </row>
    <row r="9854" spans="1:7" ht="14.25" thickBot="1">
      <c r="A9854" s="211" t="s">
        <v>520</v>
      </c>
      <c r="B9854" s="216" t="str">
        <f ca="1">_xlfn.CONCAT(B9816,A9854)</f>
        <v>965224D-ak</v>
      </c>
      <c r="C9854" s="34"/>
      <c r="D9854" s="185"/>
      <c r="E9854" s="26"/>
      <c r="F9854" s="36" t="s">
        <v>31</v>
      </c>
      <c r="G9854" s="23">
        <f>SUM(G9851:G9853)</f>
        <v>2722194.4834689568</v>
      </c>
    </row>
    <row r="9855" spans="1:7" ht="14.25" thickBot="1">
      <c r="A9855" s="211" t="s">
        <v>521</v>
      </c>
      <c r="B9855" s="216" t="str">
        <f ca="1">_xlfn.CONCAT(B9816,A9855)</f>
        <v>965224D-al</v>
      </c>
      <c r="C9855" s="37"/>
      <c r="E9855" s="38"/>
      <c r="F9855" s="22"/>
      <c r="G9855" s="39"/>
    </row>
    <row r="9856" spans="1:7" ht="16.5" thickBot="1">
      <c r="A9856" s="211" t="s">
        <v>522</v>
      </c>
      <c r="B9856" s="216" t="str">
        <f ca="1">_xlfn.CONCAT(B9816,A9856)</f>
        <v>965224D-am</v>
      </c>
      <c r="C9856" s="40"/>
      <c r="D9856" s="193"/>
      <c r="E9856" s="41"/>
      <c r="F9856" s="42"/>
      <c r="G9856" s="43">
        <f>+G9839+G9848+G9854</f>
        <v>27847509.733468957</v>
      </c>
    </row>
    <row r="9857" spans="1:8" ht="21.75" thickBot="1">
      <c r="B9857" s="212" t="s">
        <v>550</v>
      </c>
      <c r="C9857" s="2"/>
      <c r="D9857" s="183"/>
      <c r="F9857" s="4"/>
      <c r="G9857" s="5"/>
    </row>
    <row r="9858" spans="1:8" ht="18.75">
      <c r="A9858" s="213"/>
      <c r="B9858" s="214">
        <v>224</v>
      </c>
      <c r="C9858" s="242" t="str">
        <f ca="1">_xlfn.XLOOKUP(B9858,Cantidades!$A$10:$A$314,Cantidades!$C$10:$C$314,,0,1)</f>
        <v>Suministro e instalación de fusible HH 50A, 24 kV</v>
      </c>
      <c r="D9858" s="243"/>
      <c r="E9858" s="243"/>
      <c r="F9858" s="243"/>
      <c r="G9858" s="244"/>
    </row>
    <row r="9859" spans="1:8" ht="19.5" thickBot="1">
      <c r="A9859" s="215"/>
      <c r="B9859" s="216" t="s">
        <v>550</v>
      </c>
      <c r="C9859" s="177"/>
      <c r="D9859" s="189"/>
      <c r="E9859" s="178"/>
      <c r="F9859" s="179" t="s">
        <v>636</v>
      </c>
      <c r="G9859" s="209" t="str">
        <f ca="1">B9860</f>
        <v>2BBAB097-</v>
      </c>
    </row>
    <row r="9860" spans="1:8" ht="15.75" thickBot="1">
      <c r="B9860" s="212" t="str">
        <f ca="1">_xlfn.XLOOKUP(C9858,Cantidades!$C$1:$C$314,Cantidades!$B$1:$B$314,"",0,1)</f>
        <v>2BBAB097-</v>
      </c>
      <c r="C9860" s="10" t="s">
        <v>0</v>
      </c>
      <c r="D9860" s="190"/>
      <c r="E9860" s="11"/>
      <c r="F9860" s="12"/>
      <c r="G9860" s="13"/>
    </row>
    <row r="9861" spans="1:8" ht="14.25" thickBot="1">
      <c r="A9861" s="215"/>
      <c r="B9861" s="216" t="s">
        <v>550</v>
      </c>
      <c r="C9861" s="14" t="s">
        <v>1</v>
      </c>
      <c r="D9861" s="15" t="s">
        <v>2</v>
      </c>
      <c r="E9861" s="15" t="s">
        <v>3</v>
      </c>
      <c r="F9861" s="16" t="s">
        <v>4</v>
      </c>
      <c r="G9861" s="15" t="s">
        <v>5</v>
      </c>
    </row>
    <row r="9862" spans="1:8">
      <c r="A9862" s="211" t="s">
        <v>484</v>
      </c>
      <c r="B9862" s="216" t="str">
        <f ca="1">_xlfn.CONCAT(B9860,A9862)</f>
        <v>2BBAB097-A</v>
      </c>
      <c r="C9862" s="17" t="str">
        <f>_xlfn.XLOOKUP(H9862,'Materiales unitario'!$A$1:$A$2500,'Materiales unitario'!B$1:B$2500,,0,1)</f>
        <v>Fusible HH 50A, 24 kV</v>
      </c>
      <c r="D9862" s="184" t="str">
        <f>_xlfn.XLOOKUP(H9862,'Materiales unitario'!A$1:A$2500,'Materiales unitario'!C$1:C$2500,,0,1)</f>
        <v>un</v>
      </c>
      <c r="E9862" s="197">
        <f>_xlfn.XLOOKUP(H9862,'Materiales unitario'!$A$1:$A$2500,'Materiales unitario'!D$1:D$2500,,0,1)</f>
        <v>255460</v>
      </c>
      <c r="F9862" s="19">
        <v>1</v>
      </c>
      <c r="G9862" s="20">
        <f>+E9862*F9862</f>
        <v>255460</v>
      </c>
      <c r="H9862" s="211" t="s">
        <v>1626</v>
      </c>
    </row>
    <row r="9863" spans="1:8">
      <c r="A9863" s="211" t="s">
        <v>485</v>
      </c>
      <c r="B9863" s="216" t="str">
        <f ca="1">_xlfn.CONCAT(B9860,A9863)</f>
        <v>2BBAB097-B</v>
      </c>
      <c r="C9863" s="17"/>
      <c r="D9863" s="184"/>
      <c r="E9863" s="197"/>
      <c r="F9863" s="19"/>
      <c r="G9863" s="20"/>
    </row>
    <row r="9864" spans="1:8">
      <c r="A9864" s="211" t="s">
        <v>486</v>
      </c>
      <c r="B9864" s="216" t="str">
        <f ca="1">_xlfn.CONCAT(B9860,A9864)</f>
        <v>2BBAB097-C</v>
      </c>
      <c r="C9864" s="17"/>
      <c r="D9864" s="184"/>
      <c r="E9864" s="197"/>
      <c r="F9864" s="19"/>
      <c r="G9864" s="20"/>
    </row>
    <row r="9865" spans="1:8">
      <c r="A9865" s="211" t="s">
        <v>487</v>
      </c>
      <c r="B9865" s="216" t="str">
        <f ca="1">_xlfn.CONCAT(B9860,A9865)</f>
        <v>2BBAB097-D</v>
      </c>
      <c r="C9865" s="17"/>
      <c r="D9865" s="184"/>
      <c r="E9865" s="197"/>
      <c r="F9865" s="19"/>
      <c r="G9865" s="20"/>
    </row>
    <row r="9866" spans="1:8">
      <c r="A9866" s="211" t="s">
        <v>488</v>
      </c>
      <c r="B9866" s="216" t="str">
        <f ca="1">_xlfn.CONCAT(B9860,A9866)</f>
        <v>2BBAB097-E</v>
      </c>
      <c r="C9866" s="17"/>
      <c r="D9866" s="184"/>
      <c r="E9866" s="197"/>
      <c r="F9866" s="19"/>
      <c r="G9866" s="20"/>
    </row>
    <row r="9867" spans="1:8">
      <c r="A9867" s="211" t="s">
        <v>489</v>
      </c>
      <c r="B9867" s="216" t="str">
        <f ca="1">_xlfn.CONCAT(B9860,A9867)</f>
        <v>2BBAB097-F</v>
      </c>
      <c r="C9867" s="17"/>
      <c r="D9867" s="184"/>
      <c r="E9867" s="197"/>
      <c r="F9867" s="19"/>
      <c r="G9867" s="20"/>
    </row>
    <row r="9868" spans="1:8">
      <c r="A9868" s="211" t="s">
        <v>490</v>
      </c>
      <c r="B9868" s="216" t="str">
        <f ca="1">_xlfn.CONCAT(B9860,A9868)</f>
        <v>2BBAB097-G</v>
      </c>
      <c r="C9868" s="17"/>
      <c r="D9868" s="184"/>
      <c r="E9868" s="197"/>
      <c r="F9868" s="19"/>
      <c r="G9868" s="20"/>
    </row>
    <row r="9869" spans="1:8">
      <c r="A9869" s="211" t="s">
        <v>491</v>
      </c>
      <c r="B9869" s="216" t="str">
        <f ca="1">_xlfn.CONCAT(B9860,A9869)</f>
        <v>2BBAB097-H</v>
      </c>
      <c r="C9869" s="17"/>
      <c r="D9869" s="184"/>
      <c r="E9869" s="197"/>
      <c r="F9869" s="19"/>
      <c r="G9869" s="20"/>
    </row>
    <row r="9870" spans="1:8">
      <c r="A9870" s="211" t="s">
        <v>492</v>
      </c>
      <c r="B9870" s="216" t="str">
        <f ca="1">_xlfn.CONCAT(B9860,A9870)</f>
        <v>2BBAB097-I</v>
      </c>
      <c r="C9870" s="17"/>
      <c r="D9870" s="184"/>
      <c r="E9870" s="197"/>
      <c r="F9870" s="19"/>
      <c r="G9870" s="20"/>
    </row>
    <row r="9871" spans="1:8">
      <c r="A9871" s="211" t="s">
        <v>493</v>
      </c>
      <c r="B9871" s="216" t="str">
        <f ca="1">_xlfn.CONCAT(B9860,A9871)</f>
        <v>2BBAB097-J</v>
      </c>
      <c r="C9871" s="17"/>
      <c r="D9871" s="184"/>
      <c r="E9871" s="197"/>
      <c r="F9871" s="19"/>
      <c r="G9871" s="20"/>
    </row>
    <row r="9872" spans="1:8">
      <c r="A9872" s="211" t="s">
        <v>494</v>
      </c>
      <c r="B9872" s="216" t="str">
        <f ca="1">_xlfn.CONCAT(B9860,A9872)</f>
        <v>2BBAB097-K</v>
      </c>
      <c r="C9872" s="17"/>
      <c r="D9872" s="184"/>
      <c r="E9872" s="197"/>
      <c r="F9872" s="19"/>
      <c r="G9872" s="20"/>
    </row>
    <row r="9873" spans="1:7">
      <c r="A9873" s="211" t="s">
        <v>495</v>
      </c>
      <c r="B9873" s="216" t="str">
        <f ca="1">_xlfn.CONCAT(B9860,A9873)</f>
        <v>2BBAB097-L</v>
      </c>
      <c r="C9873" s="17"/>
      <c r="D9873" s="184"/>
      <c r="E9873" s="197"/>
      <c r="F9873" s="19"/>
      <c r="G9873" s="20"/>
    </row>
    <row r="9874" spans="1:7">
      <c r="A9874" s="211" t="s">
        <v>496</v>
      </c>
      <c r="B9874" s="216" t="str">
        <f ca="1">_xlfn.CONCAT(B9860,A9874)</f>
        <v>2BBAB097-M</v>
      </c>
      <c r="C9874" s="17"/>
      <c r="D9874" s="184"/>
      <c r="E9874" s="197"/>
      <c r="F9874" s="19"/>
      <c r="G9874" s="20"/>
    </row>
    <row r="9875" spans="1:7">
      <c r="A9875" s="211" t="s">
        <v>497</v>
      </c>
      <c r="B9875" s="216" t="str">
        <f ca="1">_xlfn.CONCAT(B9860,A9875)</f>
        <v>2BBAB097-N</v>
      </c>
      <c r="C9875" s="17"/>
      <c r="D9875" s="184"/>
      <c r="E9875" s="197"/>
      <c r="F9875" s="19"/>
      <c r="G9875" s="20"/>
    </row>
    <row r="9876" spans="1:7">
      <c r="A9876" s="211" t="s">
        <v>498</v>
      </c>
      <c r="B9876" s="216" t="str">
        <f ca="1">_xlfn.CONCAT(B9860,A9876)</f>
        <v>2BBAB097-O</v>
      </c>
      <c r="C9876" s="17"/>
      <c r="D9876" s="184"/>
      <c r="E9876" s="197"/>
      <c r="F9876" s="19"/>
      <c r="G9876" s="20"/>
    </row>
    <row r="9877" spans="1:7">
      <c r="A9877" s="211" t="s">
        <v>499</v>
      </c>
      <c r="B9877" s="216" t="str">
        <f ca="1">_xlfn.CONCAT(B9860,A9877)</f>
        <v>2BBAB097-P</v>
      </c>
      <c r="C9877" s="17"/>
      <c r="D9877" s="184"/>
      <c r="E9877" s="197"/>
      <c r="F9877" s="19"/>
      <c r="G9877" s="20"/>
    </row>
    <row r="9878" spans="1:7">
      <c r="A9878" s="211" t="s">
        <v>500</v>
      </c>
      <c r="B9878" s="216" t="str">
        <f ca="1">_xlfn.CONCAT(B9860,A9878)</f>
        <v>2BBAB097-Q</v>
      </c>
      <c r="C9878" s="17"/>
      <c r="D9878" s="184"/>
      <c r="E9878" s="197"/>
      <c r="F9878" s="19"/>
      <c r="G9878" s="20"/>
    </row>
    <row r="9879" spans="1:7">
      <c r="A9879" s="211" t="s">
        <v>501</v>
      </c>
      <c r="B9879" s="216" t="str">
        <f ca="1">_xlfn.CONCAT(B9860,A9879)</f>
        <v>2BBAB097-R</v>
      </c>
      <c r="C9879" s="17"/>
      <c r="D9879" s="184"/>
      <c r="E9879" s="197"/>
      <c r="F9879" s="19"/>
      <c r="G9879" s="20"/>
    </row>
    <row r="9880" spans="1:7">
      <c r="A9880" s="211" t="s">
        <v>502</v>
      </c>
      <c r="B9880" s="216" t="str">
        <f ca="1">_xlfn.CONCAT(B9860,A9880)</f>
        <v>2BBAB097-S</v>
      </c>
      <c r="C9880" s="17"/>
      <c r="D9880" s="184"/>
      <c r="E9880" s="197"/>
      <c r="F9880" s="19"/>
      <c r="G9880" s="20"/>
    </row>
    <row r="9881" spans="1:7">
      <c r="A9881" s="211" t="s">
        <v>503</v>
      </c>
      <c r="B9881" s="216" t="str">
        <f ca="1">_xlfn.CONCAT(B9860,A9881)</f>
        <v>2BBAB097-T</v>
      </c>
      <c r="C9881" s="17"/>
      <c r="D9881" s="184"/>
      <c r="E9881" s="197"/>
      <c r="F9881" s="19"/>
      <c r="G9881" s="20"/>
    </row>
    <row r="9882" spans="1:7" ht="14.25" thickBot="1">
      <c r="A9882" s="211" t="s">
        <v>504</v>
      </c>
      <c r="B9882" s="216" t="str">
        <f ca="1">_xlfn.CONCAT(B9860,A9882)</f>
        <v>2BBAB097-U</v>
      </c>
      <c r="C9882" s="17"/>
      <c r="D9882" s="184"/>
      <c r="E9882" s="197"/>
      <c r="F9882" s="19"/>
      <c r="G9882" s="20"/>
    </row>
    <row r="9883" spans="1:7" ht="14.25" thickBot="1">
      <c r="A9883" s="211" t="s">
        <v>505</v>
      </c>
      <c r="B9883" s="216" t="str">
        <f ca="1">_xlfn.CONCAT(B9860,A9883)</f>
        <v>2BBAB097-V</v>
      </c>
      <c r="C9883" s="17" t="s">
        <v>17</v>
      </c>
      <c r="D9883" s="192" t="s">
        <v>17</v>
      </c>
      <c r="E9883" s="18"/>
      <c r="F9883" s="22" t="s">
        <v>18</v>
      </c>
      <c r="G9883" s="23">
        <f>SUM(G9862:G9882)</f>
        <v>255460</v>
      </c>
    </row>
    <row r="9884" spans="1:7" ht="15.75" thickBot="1">
      <c r="A9884" s="211" t="s">
        <v>506</v>
      </c>
      <c r="B9884" s="216" t="str">
        <f ca="1">_xlfn.CONCAT(B9860,A9884)</f>
        <v>2BBAB097-W</v>
      </c>
      <c r="C9884" s="10" t="s">
        <v>19</v>
      </c>
      <c r="D9884" s="190"/>
      <c r="E9884" s="11"/>
      <c r="F9884" s="12"/>
      <c r="G9884" s="13"/>
    </row>
    <row r="9885" spans="1:7" ht="14.25" thickBot="1">
      <c r="A9885" s="211" t="s">
        <v>507</v>
      </c>
      <c r="B9885" s="216" t="str">
        <f ca="1">_xlfn.CONCAT(B9860,A9885)</f>
        <v>2BBAB097-X</v>
      </c>
      <c r="C9885" s="14" t="s">
        <v>1</v>
      </c>
      <c r="D9885" s="15"/>
      <c r="E9885" s="15" t="s">
        <v>20</v>
      </c>
      <c r="F9885" s="16" t="s">
        <v>21</v>
      </c>
      <c r="G9885" s="15" t="s">
        <v>5</v>
      </c>
    </row>
    <row r="9886" spans="1:7">
      <c r="A9886" s="211" t="s">
        <v>508</v>
      </c>
      <c r="B9886" s="216" t="str">
        <f ca="1">_xlfn.CONCAT(B9860,A9886)</f>
        <v>2BBAB097-Y</v>
      </c>
      <c r="C9886" s="24" t="s">
        <v>22</v>
      </c>
      <c r="D9886" s="184"/>
      <c r="E9886" s="25">
        <f>_xlfn.XLOOKUP(C9886,'H-MO'!B$7:B$30,'H-MO'!D$7:D$30,,0,1)</f>
        <v>2436.5624999999995</v>
      </c>
      <c r="F9886" s="19">
        <v>1</v>
      </c>
      <c r="G9886" s="33">
        <f t="shared" ref="G9886:G9891" si="282">+E9886*F9886</f>
        <v>2436.5624999999995</v>
      </c>
    </row>
    <row r="9887" spans="1:7">
      <c r="A9887" s="211" t="s">
        <v>509</v>
      </c>
      <c r="B9887" s="216" t="str">
        <f ca="1">_xlfn.CONCAT(B9860,A9887)</f>
        <v>2BBAB097-Z</v>
      </c>
      <c r="C9887" s="24" t="s">
        <v>23</v>
      </c>
      <c r="D9887" s="184"/>
      <c r="E9887" s="25">
        <f>_xlfn.XLOOKUP(C9887,'H-MO'!B$7:B$30,'H-MO'!D$7:D$30,,0,1)</f>
        <v>1461.9374999999998</v>
      </c>
      <c r="F9887" s="19">
        <v>0.2</v>
      </c>
      <c r="G9887" s="33">
        <f t="shared" si="282"/>
        <v>292.38749999999999</v>
      </c>
    </row>
    <row r="9888" spans="1:7">
      <c r="A9888" s="211" t="s">
        <v>510</v>
      </c>
      <c r="B9888" s="216" t="str">
        <f ca="1">_xlfn.CONCAT(B9860,A9888)</f>
        <v>2BBAB097-aa</v>
      </c>
      <c r="C9888" s="24" t="s">
        <v>24</v>
      </c>
      <c r="D9888" s="185"/>
      <c r="E9888" s="25">
        <f>_xlfn.XLOOKUP(C9888,'H-MO'!B$7:B$30,'H-MO'!D$7:D$30,,0,1)</f>
        <v>29238.749999999996</v>
      </c>
      <c r="F9888" s="28">
        <v>1</v>
      </c>
      <c r="G9888" s="33">
        <f t="shared" si="282"/>
        <v>29238.749999999996</v>
      </c>
    </row>
    <row r="9889" spans="1:8">
      <c r="A9889" s="211" t="s">
        <v>511</v>
      </c>
      <c r="B9889" s="216" t="str">
        <f ca="1">_xlfn.CONCAT(B9860,A9889)</f>
        <v>2BBAB097-ab</v>
      </c>
      <c r="C9889" s="24" t="s">
        <v>25</v>
      </c>
      <c r="D9889" s="185"/>
      <c r="E9889" s="25">
        <f>_xlfn.XLOOKUP(C9889,'H-MO'!B$7:B$30,'H-MO'!D$7:D$30,,0,1)</f>
        <v>2761.4374999999995</v>
      </c>
      <c r="F9889" s="28">
        <v>0.2</v>
      </c>
      <c r="G9889" s="33">
        <f t="shared" si="282"/>
        <v>552.28749999999991</v>
      </c>
    </row>
    <row r="9890" spans="1:8">
      <c r="A9890" s="211" t="s">
        <v>512</v>
      </c>
      <c r="B9890" s="216" t="str">
        <f ca="1">_xlfn.CONCAT(B9860,A9890)</f>
        <v>2BBAB097-ac</v>
      </c>
      <c r="C9890" s="24"/>
      <c r="D9890" s="185"/>
      <c r="E9890" s="29"/>
      <c r="F9890" s="28"/>
      <c r="G9890" s="33">
        <f t="shared" si="282"/>
        <v>0</v>
      </c>
    </row>
    <row r="9891" spans="1:8" ht="14.25" thickBot="1">
      <c r="A9891" s="211" t="s">
        <v>513</v>
      </c>
      <c r="B9891" s="216" t="str">
        <f ca="1">_xlfn.CONCAT(B9860,A9891)</f>
        <v>2BBAB097-ad</v>
      </c>
      <c r="C9891" s="24"/>
      <c r="D9891" s="185"/>
      <c r="E9891" s="29"/>
      <c r="F9891" s="28"/>
      <c r="G9891" s="33">
        <f t="shared" si="282"/>
        <v>0</v>
      </c>
    </row>
    <row r="9892" spans="1:8" ht="14.25" thickBot="1">
      <c r="A9892" s="211" t="s">
        <v>514</v>
      </c>
      <c r="B9892" s="216" t="str">
        <f ca="1">_xlfn.CONCAT(B9860,A9892)</f>
        <v>2BBAB097-ae</v>
      </c>
      <c r="C9892" s="17"/>
      <c r="D9892" s="192"/>
      <c r="E9892" s="18"/>
      <c r="F9892" s="22" t="s">
        <v>26</v>
      </c>
      <c r="G9892" s="23">
        <f>SUM(G9886:G9891)</f>
        <v>32519.987499999996</v>
      </c>
    </row>
    <row r="9893" spans="1:8" ht="15.75" thickBot="1">
      <c r="A9893" s="211" t="s">
        <v>515</v>
      </c>
      <c r="B9893" s="216" t="str">
        <f ca="1">_xlfn.CONCAT(B9860,A9893)</f>
        <v>2BBAB097-af</v>
      </c>
      <c r="C9893" s="10" t="s">
        <v>27</v>
      </c>
      <c r="D9893" s="190"/>
      <c r="E9893" s="11"/>
      <c r="F9893" s="12"/>
      <c r="G9893" s="13"/>
    </row>
    <row r="9894" spans="1:8" ht="14.25" thickBot="1">
      <c r="A9894" s="211" t="s">
        <v>516</v>
      </c>
      <c r="B9894" s="216" t="str">
        <f ca="1">_xlfn.CONCAT(B9860,A9894)</f>
        <v>2BBAB097-ag</v>
      </c>
      <c r="C9894" s="14" t="s">
        <v>1</v>
      </c>
      <c r="D9894" s="15" t="s">
        <v>28</v>
      </c>
      <c r="E9894" s="15" t="s">
        <v>20</v>
      </c>
      <c r="F9894" s="16" t="s">
        <v>21</v>
      </c>
      <c r="G9894" s="15" t="s">
        <v>5</v>
      </c>
    </row>
    <row r="9895" spans="1:8">
      <c r="A9895" s="211" t="s">
        <v>517</v>
      </c>
      <c r="B9895" s="216" t="str">
        <f ca="1">_xlfn.CONCAT(B9860,A9895)</f>
        <v>2BBAB097-ah</v>
      </c>
      <c r="C9895" s="30" t="s">
        <v>29</v>
      </c>
      <c r="D9895" s="186">
        <f>'H-MO'!$N$77</f>
        <v>725918.52892505517</v>
      </c>
      <c r="E9895" s="31">
        <f>+D9895/8</f>
        <v>90739.816115631897</v>
      </c>
      <c r="F9895" s="32">
        <v>0.2</v>
      </c>
      <c r="G9895" s="33">
        <f>+E9895*F9895</f>
        <v>18147.963223126379</v>
      </c>
    </row>
    <row r="9896" spans="1:8">
      <c r="A9896" s="211" t="s">
        <v>518</v>
      </c>
      <c r="B9896" s="216" t="str">
        <f ca="1">_xlfn.CONCAT(B9860,A9896)</f>
        <v>2BBAB097-ai</v>
      </c>
      <c r="C9896" s="34" t="s">
        <v>30</v>
      </c>
      <c r="D9896" s="187">
        <f>'H-MO'!$N$86</f>
        <v>685561.39085756091</v>
      </c>
      <c r="E9896" s="29">
        <f>+D9896/8</f>
        <v>85695.173857195114</v>
      </c>
      <c r="F9896" s="28">
        <v>0</v>
      </c>
      <c r="G9896" s="33">
        <f>+E9896*F9896</f>
        <v>0</v>
      </c>
    </row>
    <row r="9897" spans="1:8" ht="14.25" thickBot="1">
      <c r="A9897" s="211" t="s">
        <v>519</v>
      </c>
      <c r="B9897" s="216" t="str">
        <f ca="1">_xlfn.CONCAT(B9860,A9897)</f>
        <v>2BBAB097-aj</v>
      </c>
      <c r="C9897" s="34"/>
      <c r="D9897" s="187"/>
      <c r="E9897" s="29"/>
      <c r="F9897" s="28"/>
      <c r="G9897" s="33">
        <f>+E9897*F9897</f>
        <v>0</v>
      </c>
    </row>
    <row r="9898" spans="1:8" ht="14.25" thickBot="1">
      <c r="A9898" s="211" t="s">
        <v>520</v>
      </c>
      <c r="B9898" s="216" t="str">
        <f ca="1">_xlfn.CONCAT(B9860,A9898)</f>
        <v>2BBAB097-ak</v>
      </c>
      <c r="C9898" s="34"/>
      <c r="D9898" s="185"/>
      <c r="E9898" s="26"/>
      <c r="F9898" s="36" t="s">
        <v>31</v>
      </c>
      <c r="G9898" s="23">
        <f>SUM(G9895:G9897)</f>
        <v>18147.963223126379</v>
      </c>
    </row>
    <row r="9899" spans="1:8" ht="14.25" thickBot="1">
      <c r="A9899" s="211" t="s">
        <v>521</v>
      </c>
      <c r="B9899" s="216" t="str">
        <f ca="1">_xlfn.CONCAT(B9860,A9899)</f>
        <v>2BBAB097-al</v>
      </c>
      <c r="C9899" s="37"/>
      <c r="E9899" s="38"/>
      <c r="F9899" s="22"/>
      <c r="G9899" s="39"/>
    </row>
    <row r="9900" spans="1:8" ht="16.5" thickBot="1">
      <c r="A9900" s="211" t="s">
        <v>522</v>
      </c>
      <c r="B9900" s="216" t="str">
        <f ca="1">_xlfn.CONCAT(B9860,A9900)</f>
        <v>2BBAB097-am</v>
      </c>
      <c r="C9900" s="40"/>
      <c r="D9900" s="193"/>
      <c r="E9900" s="41"/>
      <c r="F9900" s="42"/>
      <c r="G9900" s="43">
        <f>+G9883+G9892+G9898</f>
        <v>306127.95072312636</v>
      </c>
    </row>
    <row r="9901" spans="1:8" ht="21.75" thickBot="1">
      <c r="B9901" s="212" t="s">
        <v>550</v>
      </c>
      <c r="C9901" s="2"/>
      <c r="D9901" s="183"/>
      <c r="F9901" s="4"/>
      <c r="G9901" s="5"/>
    </row>
    <row r="9902" spans="1:8" ht="18.75">
      <c r="A9902" s="213"/>
      <c r="B9902" s="214">
        <v>225</v>
      </c>
      <c r="C9902" s="242" t="str">
        <f ca="1">_xlfn.XLOOKUP(B9902,Cantidades!$A$10:$A$314,Cantidades!$C$10:$C$314,,0,1)</f>
        <v>Suministro e instalación de luminaria Bala Stil Led Cuadrada 18w. Incluye tapa salida de cordón, prensaestopa, cable 3#16 AWG de cobre y demás elementos para su correcta instalación y fincionamiento.</v>
      </c>
      <c r="D9902" s="243"/>
      <c r="E9902" s="243"/>
      <c r="F9902" s="243"/>
      <c r="G9902" s="244"/>
      <c r="H9902" s="213"/>
    </row>
    <row r="9903" spans="1:8" ht="19.5" thickBot="1">
      <c r="A9903" s="215"/>
      <c r="B9903" s="216" t="s">
        <v>550</v>
      </c>
      <c r="C9903" s="177"/>
      <c r="D9903" s="189"/>
      <c r="E9903" s="178"/>
      <c r="F9903" s="179" t="s">
        <v>636</v>
      </c>
      <c r="G9903" s="209" t="str">
        <f ca="1">B9904</f>
        <v>12D03ACC-</v>
      </c>
      <c r="H9903" s="215"/>
    </row>
    <row r="9904" spans="1:8" ht="15.75" thickBot="1">
      <c r="B9904" s="212" t="str">
        <f ca="1">_xlfn.XLOOKUP(C9902,Cantidades!$C$1:$C$314,Cantidades!$B$1:$B$314,"",0,1)</f>
        <v>12D03ACC-</v>
      </c>
      <c r="C9904" s="10" t="s">
        <v>0</v>
      </c>
      <c r="D9904" s="190"/>
      <c r="E9904" s="11"/>
      <c r="F9904" s="12"/>
      <c r="G9904" s="13"/>
    </row>
    <row r="9905" spans="1:8" ht="14.25" thickBot="1">
      <c r="A9905" s="215"/>
      <c r="B9905" s="216" t="s">
        <v>550</v>
      </c>
      <c r="C9905" s="14" t="s">
        <v>1</v>
      </c>
      <c r="D9905" s="15" t="s">
        <v>2</v>
      </c>
      <c r="E9905" s="15" t="s">
        <v>3</v>
      </c>
      <c r="F9905" s="16" t="s">
        <v>4</v>
      </c>
      <c r="G9905" s="15" t="s">
        <v>5</v>
      </c>
      <c r="H9905" s="215"/>
    </row>
    <row r="9906" spans="1:8" ht="15">
      <c r="A9906" s="211" t="s">
        <v>484</v>
      </c>
      <c r="B9906" s="216" t="str">
        <f ca="1">_xlfn.CONCAT(B9904,A9906)</f>
        <v>12D03ACC-A</v>
      </c>
      <c r="C9906" s="17" t="str">
        <f>_xlfn.XLOOKUP(H9906,'Materiales unitario'!$A$1:$A$2500,'Materiales unitario'!B$1:B$2500,,0,1)</f>
        <v>Bala Stil Led Cuadrada 18w</v>
      </c>
      <c r="D9906" s="184" t="str">
        <f>_xlfn.XLOOKUP(H9906,'Materiales unitario'!A$1:A$2500,'Materiales unitario'!C$1:C$2500,,0,1)</f>
        <v>un</v>
      </c>
      <c r="E9906" s="197">
        <f>_xlfn.XLOOKUP(H9906,'Materiales unitario'!$A$1:$A$2500,'Materiales unitario'!D$1:D$2500,,0,1)</f>
        <v>18400</v>
      </c>
      <c r="F9906" s="19">
        <v>1</v>
      </c>
      <c r="G9906" s="20">
        <f>+E9906*F9906</f>
        <v>18400</v>
      </c>
      <c r="H9906" s="217" t="s">
        <v>1631</v>
      </c>
    </row>
    <row r="9907" spans="1:8" ht="15">
      <c r="A9907" s="211" t="s">
        <v>485</v>
      </c>
      <c r="B9907" s="216" t="str">
        <f ca="1">_xlfn.CONCAT(B9904,A9907)</f>
        <v>12D03ACC-B</v>
      </c>
      <c r="C9907" s="17" t="str">
        <f>_xlfn.XLOOKUP(H9907,'Materiales unitario'!$A$1:$A$2500,'Materiales unitario'!B$1:B$2500,,0,1)</f>
        <v>Conector de resorte naranja "N" 22-16 AWG</v>
      </c>
      <c r="D9907" s="184" t="str">
        <f>_xlfn.XLOOKUP(H9907,'Materiales unitario'!A$1:A$2500,'Materiales unitario'!C$1:C$2500,,0,1)</f>
        <v>un</v>
      </c>
      <c r="E9907" s="197">
        <f>_xlfn.XLOOKUP(H9907,'Materiales unitario'!$A$1:$A$2500,'Materiales unitario'!D$1:D$2500,,0,1)</f>
        <v>150</v>
      </c>
      <c r="F9907" s="19">
        <v>2</v>
      </c>
      <c r="G9907" s="20">
        <f>+E9907*F9907</f>
        <v>300</v>
      </c>
      <c r="H9907" s="217" t="s">
        <v>682</v>
      </c>
    </row>
    <row r="9908" spans="1:8" ht="15">
      <c r="A9908" s="211" t="s">
        <v>486</v>
      </c>
      <c r="B9908" s="216" t="str">
        <f ca="1">_xlfn.CONCAT(B9904,A9908)</f>
        <v>12D03ACC-C</v>
      </c>
      <c r="C9908" s="17" t="str">
        <f>_xlfn.XLOOKUP(H9908,'Materiales unitario'!$A$1:$A$2500,'Materiales unitario'!B$1:B$2500,,0,1)</f>
        <v>Cable flexible encauchetado ST-C 3x16 AWG</v>
      </c>
      <c r="D9908" s="184" t="str">
        <f>_xlfn.XLOOKUP(H9908,'Materiales unitario'!A$1:A$2500,'Materiales unitario'!C$1:C$2500,,0,1)</f>
        <v>ml</v>
      </c>
      <c r="E9908" s="197">
        <f>_xlfn.XLOOKUP(H9908,'Materiales unitario'!$A$1:$A$2500,'Materiales unitario'!D$1:D$2500,,0,1)</f>
        <v>4730</v>
      </c>
      <c r="F9908" s="19">
        <v>3</v>
      </c>
      <c r="G9908" s="20">
        <f>+E9908*F9908</f>
        <v>14190</v>
      </c>
      <c r="H9908" s="217" t="s">
        <v>278</v>
      </c>
    </row>
    <row r="9909" spans="1:8" ht="15">
      <c r="A9909" s="211" t="s">
        <v>487</v>
      </c>
      <c r="B9909" s="216" t="str">
        <f ca="1">_xlfn.CONCAT(B9904,A9909)</f>
        <v>12D03ACC-D</v>
      </c>
      <c r="C9909" s="17" t="str">
        <f>_xlfn.XLOOKUP(H9909,'Materiales unitario'!$A$1:$A$2500,'Materiales unitario'!B$1:B$2500,,0,1)</f>
        <v>Marquillas para circuito</v>
      </c>
      <c r="D9909" s="184" t="str">
        <f>_xlfn.XLOOKUP(H9909,'Materiales unitario'!A$1:A$2500,'Materiales unitario'!C$1:C$2500,,0,1)</f>
        <v>un</v>
      </c>
      <c r="E9909" s="197">
        <f>_xlfn.XLOOKUP(H9909,'Materiales unitario'!$A$1:$A$2500,'Materiales unitario'!D$1:D$2500,,0,1)</f>
        <v>1000</v>
      </c>
      <c r="F9909" s="19">
        <v>1</v>
      </c>
      <c r="G9909" s="20">
        <f>+E9909*F9909</f>
        <v>1000</v>
      </c>
      <c r="H9909" s="217" t="s">
        <v>339</v>
      </c>
    </row>
    <row r="9910" spans="1:8" ht="15">
      <c r="A9910" s="211" t="s">
        <v>488</v>
      </c>
      <c r="B9910" s="216" t="str">
        <f ca="1">_xlfn.CONCAT(B9904,A9910)</f>
        <v>12D03ACC-E</v>
      </c>
      <c r="C9910" s="17" t="str">
        <f>_xlfn.XLOOKUP(H9910,'Materiales unitario'!$A$1:$A$2500,'Materiales unitario'!B$1:B$2500,,0,1)</f>
        <v>Prensaestopa de 10 a 14 mm ø1/2"</v>
      </c>
      <c r="D9910" s="184" t="str">
        <f>_xlfn.XLOOKUP(H9910,'Materiales unitario'!A$1:A$2500,'Materiales unitario'!C$1:C$2500,,0,1)</f>
        <v>un</v>
      </c>
      <c r="E9910" s="197">
        <f>_xlfn.XLOOKUP(H9910,'Materiales unitario'!$A$1:$A$2500,'Materiales unitario'!D$1:D$2500,,0,1)</f>
        <v>1460</v>
      </c>
      <c r="F9910" s="19">
        <v>1</v>
      </c>
      <c r="G9910" s="20">
        <f>+E9910*F9910</f>
        <v>1460</v>
      </c>
      <c r="H9910" s="217" t="s">
        <v>351</v>
      </c>
    </row>
    <row r="9911" spans="1:8" ht="15">
      <c r="A9911" s="211" t="s">
        <v>489</v>
      </c>
      <c r="B9911" s="216" t="str">
        <f ca="1">_xlfn.CONCAT(B9904,A9911)</f>
        <v>12D03ACC-F</v>
      </c>
      <c r="C9911" s="17"/>
      <c r="D9911" s="184"/>
      <c r="E9911" s="197"/>
      <c r="F9911" s="19"/>
      <c r="G9911" s="20"/>
      <c r="H9911" s="217"/>
    </row>
    <row r="9912" spans="1:8" ht="15">
      <c r="A9912" s="211" t="s">
        <v>490</v>
      </c>
      <c r="B9912" s="216" t="str">
        <f ca="1">_xlfn.CONCAT(B9904,A9912)</f>
        <v>12D03ACC-G</v>
      </c>
      <c r="C9912" s="17"/>
      <c r="D9912" s="184"/>
      <c r="E9912" s="197"/>
      <c r="F9912" s="19"/>
      <c r="G9912" s="20"/>
      <c r="H9912" s="217"/>
    </row>
    <row r="9913" spans="1:8" ht="15">
      <c r="A9913" s="211" t="s">
        <v>491</v>
      </c>
      <c r="B9913" s="216" t="str">
        <f ca="1">_xlfn.CONCAT(B9904,A9913)</f>
        <v>12D03ACC-H</v>
      </c>
      <c r="C9913" s="17"/>
      <c r="D9913" s="184"/>
      <c r="E9913" s="197"/>
      <c r="F9913" s="19"/>
      <c r="G9913" s="20"/>
      <c r="H9913" s="217"/>
    </row>
    <row r="9914" spans="1:8" ht="15">
      <c r="A9914" s="211" t="s">
        <v>492</v>
      </c>
      <c r="B9914" s="216" t="str">
        <f ca="1">_xlfn.CONCAT(B9904,A9914)</f>
        <v>12D03ACC-I</v>
      </c>
      <c r="C9914" s="17"/>
      <c r="D9914" s="184"/>
      <c r="E9914" s="197"/>
      <c r="F9914" s="19"/>
      <c r="G9914" s="20"/>
      <c r="H9914" s="217"/>
    </row>
    <row r="9915" spans="1:8" ht="15">
      <c r="A9915" s="211" t="s">
        <v>493</v>
      </c>
      <c r="B9915" s="216" t="str">
        <f ca="1">_xlfn.CONCAT(B9904,A9915)</f>
        <v>12D03ACC-J</v>
      </c>
      <c r="C9915" s="17"/>
      <c r="D9915" s="184"/>
      <c r="E9915" s="197"/>
      <c r="F9915" s="19"/>
      <c r="G9915" s="20"/>
      <c r="H9915" s="217"/>
    </row>
    <row r="9916" spans="1:8" ht="15">
      <c r="A9916" s="211" t="s">
        <v>494</v>
      </c>
      <c r="B9916" s="216" t="str">
        <f ca="1">_xlfn.CONCAT(B9904,A9916)</f>
        <v>12D03ACC-K</v>
      </c>
      <c r="C9916" s="17"/>
      <c r="D9916" s="184"/>
      <c r="E9916" s="197"/>
      <c r="F9916" s="19"/>
      <c r="G9916" s="20"/>
      <c r="H9916" s="217"/>
    </row>
    <row r="9917" spans="1:8" ht="15">
      <c r="A9917" s="211" t="s">
        <v>495</v>
      </c>
      <c r="B9917" s="216" t="str">
        <f ca="1">_xlfn.CONCAT(B9904,A9917)</f>
        <v>12D03ACC-L</v>
      </c>
      <c r="C9917" s="17"/>
      <c r="D9917" s="184"/>
      <c r="E9917" s="197"/>
      <c r="F9917" s="19"/>
      <c r="G9917" s="20"/>
      <c r="H9917" s="217"/>
    </row>
    <row r="9918" spans="1:8" ht="15">
      <c r="A9918" s="211" t="s">
        <v>496</v>
      </c>
      <c r="B9918" s="216" t="str">
        <f ca="1">_xlfn.CONCAT(B9904,A9918)</f>
        <v>12D03ACC-M</v>
      </c>
      <c r="C9918" s="17"/>
      <c r="D9918" s="184"/>
      <c r="E9918" s="197"/>
      <c r="F9918" s="19"/>
      <c r="G9918" s="20"/>
      <c r="H9918" s="217"/>
    </row>
    <row r="9919" spans="1:8">
      <c r="A9919" s="211" t="s">
        <v>497</v>
      </c>
      <c r="B9919" s="216" t="str">
        <f ca="1">_xlfn.CONCAT(B9904,A9919)</f>
        <v>12D03ACC-N</v>
      </c>
      <c r="C9919" s="17"/>
      <c r="D9919" s="184"/>
      <c r="E9919" s="197"/>
      <c r="F9919" s="19"/>
      <c r="G9919" s="20"/>
    </row>
    <row r="9920" spans="1:8">
      <c r="A9920" s="211" t="s">
        <v>498</v>
      </c>
      <c r="B9920" s="216" t="str">
        <f ca="1">_xlfn.CONCAT(B9904,A9920)</f>
        <v>12D03ACC-O</v>
      </c>
      <c r="C9920" s="17"/>
      <c r="D9920" s="184"/>
      <c r="E9920" s="197"/>
      <c r="F9920" s="19"/>
      <c r="G9920" s="20"/>
    </row>
    <row r="9921" spans="1:8">
      <c r="A9921" s="211" t="s">
        <v>499</v>
      </c>
      <c r="B9921" s="216" t="str">
        <f ca="1">_xlfn.CONCAT(B9904,A9921)</f>
        <v>12D03ACC-P</v>
      </c>
      <c r="C9921" s="17"/>
      <c r="D9921" s="184"/>
      <c r="E9921" s="197"/>
      <c r="F9921" s="19"/>
      <c r="G9921" s="20"/>
    </row>
    <row r="9922" spans="1:8">
      <c r="A9922" s="211" t="s">
        <v>500</v>
      </c>
      <c r="B9922" s="216" t="str">
        <f ca="1">_xlfn.CONCAT(B9904,A9922)</f>
        <v>12D03ACC-Q</v>
      </c>
      <c r="C9922" s="17"/>
      <c r="D9922" s="184"/>
      <c r="E9922" s="197"/>
      <c r="F9922" s="19"/>
      <c r="G9922" s="20"/>
    </row>
    <row r="9923" spans="1:8">
      <c r="A9923" s="211" t="s">
        <v>501</v>
      </c>
      <c r="B9923" s="216" t="str">
        <f ca="1">_xlfn.CONCAT(B9904,A9923)</f>
        <v>12D03ACC-R</v>
      </c>
      <c r="C9923" s="17"/>
      <c r="D9923" s="184"/>
      <c r="E9923" s="197"/>
      <c r="F9923" s="19"/>
      <c r="G9923" s="20"/>
    </row>
    <row r="9924" spans="1:8">
      <c r="A9924" s="211" t="s">
        <v>502</v>
      </c>
      <c r="B9924" s="216" t="str">
        <f ca="1">_xlfn.CONCAT(B9904,A9924)</f>
        <v>12D03ACC-S</v>
      </c>
      <c r="C9924" s="17"/>
      <c r="D9924" s="184"/>
      <c r="E9924" s="197"/>
      <c r="F9924" s="19"/>
      <c r="G9924" s="20"/>
    </row>
    <row r="9925" spans="1:8">
      <c r="A9925" s="211" t="s">
        <v>503</v>
      </c>
      <c r="B9925" s="216" t="str">
        <f ca="1">_xlfn.CONCAT(B9904,A9925)</f>
        <v>12D03ACC-T</v>
      </c>
      <c r="C9925" s="17"/>
      <c r="D9925" s="184"/>
      <c r="E9925" s="197"/>
      <c r="F9925" s="19"/>
      <c r="G9925" s="20"/>
    </row>
    <row r="9926" spans="1:8" ht="14.25" thickBot="1">
      <c r="A9926" s="211" t="s">
        <v>504</v>
      </c>
      <c r="B9926" s="216" t="str">
        <f ca="1">_xlfn.CONCAT(B9904,A9926)</f>
        <v>12D03ACC-U</v>
      </c>
      <c r="C9926" s="17"/>
      <c r="D9926" s="184"/>
      <c r="E9926" s="197"/>
      <c r="F9926" s="19"/>
      <c r="G9926" s="20"/>
    </row>
    <row r="9927" spans="1:8" ht="14.25" thickBot="1">
      <c r="A9927" s="211" t="s">
        <v>505</v>
      </c>
      <c r="B9927" s="216" t="str">
        <f ca="1">_xlfn.CONCAT(B9904,A9927)</f>
        <v>12D03ACC-V</v>
      </c>
      <c r="C9927" s="17" t="s">
        <v>17</v>
      </c>
      <c r="D9927" s="192" t="s">
        <v>17</v>
      </c>
      <c r="E9927" s="18"/>
      <c r="F9927" s="22" t="s">
        <v>18</v>
      </c>
      <c r="G9927" s="23">
        <f>SUM(G9906:G9926)</f>
        <v>35350</v>
      </c>
    </row>
    <row r="9928" spans="1:8" ht="15.75" thickBot="1">
      <c r="A9928" s="211" t="s">
        <v>506</v>
      </c>
      <c r="B9928" s="216" t="str">
        <f ca="1">_xlfn.CONCAT(B9904,A9928)</f>
        <v>12D03ACC-W</v>
      </c>
      <c r="C9928" s="10" t="s">
        <v>19</v>
      </c>
      <c r="D9928" s="190"/>
      <c r="E9928" s="11"/>
      <c r="F9928" s="12"/>
      <c r="G9928" s="13"/>
    </row>
    <row r="9929" spans="1:8" ht="14.25" thickBot="1">
      <c r="A9929" s="211" t="s">
        <v>507</v>
      </c>
      <c r="B9929" s="216" t="str">
        <f ca="1">_xlfn.CONCAT(B9904,A9929)</f>
        <v>12D03ACC-X</v>
      </c>
      <c r="C9929" s="14" t="s">
        <v>1</v>
      </c>
      <c r="D9929" s="15"/>
      <c r="E9929" s="15" t="s">
        <v>20</v>
      </c>
      <c r="F9929" s="16" t="s">
        <v>21</v>
      </c>
      <c r="G9929" s="15" t="s">
        <v>5</v>
      </c>
      <c r="H9929" s="215"/>
    </row>
    <row r="9930" spans="1:8">
      <c r="A9930" s="211" t="s">
        <v>508</v>
      </c>
      <c r="B9930" s="216" t="str">
        <f ca="1">_xlfn.CONCAT(B9904,A9930)</f>
        <v>12D03ACC-Y</v>
      </c>
      <c r="C9930" s="24" t="s">
        <v>22</v>
      </c>
      <c r="D9930" s="184"/>
      <c r="E9930" s="25">
        <f>_xlfn.XLOOKUP(C9930,'H-MO'!B$7:B$30,'H-MO'!D$7:D$30,,0,1)</f>
        <v>2436.5624999999995</v>
      </c>
      <c r="F9930" s="19">
        <v>0.04</v>
      </c>
      <c r="G9930" s="33">
        <f t="shared" ref="G9930:G9935" si="283">+E9930*F9930</f>
        <v>97.462499999999977</v>
      </c>
    </row>
    <row r="9931" spans="1:8">
      <c r="A9931" s="211" t="s">
        <v>509</v>
      </c>
      <c r="B9931" s="216" t="str">
        <f ca="1">_xlfn.CONCAT(B9904,A9931)</f>
        <v>12D03ACC-Z</v>
      </c>
      <c r="C9931" s="24" t="s">
        <v>23</v>
      </c>
      <c r="D9931" s="184"/>
      <c r="E9931" s="25">
        <f>_xlfn.XLOOKUP(C9931,'H-MO'!B$7:B$30,'H-MO'!D$7:D$30,,0,1)</f>
        <v>1461.9374999999998</v>
      </c>
      <c r="F9931" s="19">
        <v>0.03</v>
      </c>
      <c r="G9931" s="33">
        <f t="shared" si="283"/>
        <v>43.858124999999994</v>
      </c>
    </row>
    <row r="9932" spans="1:8">
      <c r="A9932" s="211" t="s">
        <v>510</v>
      </c>
      <c r="B9932" s="216" t="str">
        <f ca="1">_xlfn.CONCAT(B9904,A9932)</f>
        <v>12D03ACC-aa</v>
      </c>
      <c r="C9932" s="24" t="s">
        <v>24</v>
      </c>
      <c r="D9932" s="185"/>
      <c r="E9932" s="25">
        <f>_xlfn.XLOOKUP(C9932,'H-MO'!B$7:B$30,'H-MO'!D$7:D$30,,0,1)</f>
        <v>29238.749999999996</v>
      </c>
      <c r="F9932" s="28">
        <v>7.0000000000000001E-3</v>
      </c>
      <c r="G9932" s="33">
        <f t="shared" si="283"/>
        <v>204.67124999999999</v>
      </c>
    </row>
    <row r="9933" spans="1:8">
      <c r="A9933" s="211" t="s">
        <v>511</v>
      </c>
      <c r="B9933" s="216" t="str">
        <f ca="1">_xlfn.CONCAT(B9904,A9933)</f>
        <v>12D03ACC-ab</v>
      </c>
      <c r="C9933" s="24" t="s">
        <v>25</v>
      </c>
      <c r="D9933" s="185"/>
      <c r="E9933" s="25">
        <f>_xlfn.XLOOKUP(C9933,'H-MO'!B$7:B$30,'H-MO'!D$7:D$30,,0,1)</f>
        <v>2761.4374999999995</v>
      </c>
      <c r="F9933" s="28">
        <v>0.1</v>
      </c>
      <c r="G9933" s="33">
        <f t="shared" si="283"/>
        <v>276.14374999999995</v>
      </c>
    </row>
    <row r="9934" spans="1:8">
      <c r="A9934" s="211" t="s">
        <v>512</v>
      </c>
      <c r="B9934" s="216" t="str">
        <f ca="1">_xlfn.CONCAT(B9904,A9934)</f>
        <v>12D03ACC-ac</v>
      </c>
      <c r="C9934" s="24"/>
      <c r="D9934" s="185"/>
      <c r="E9934" s="29"/>
      <c r="F9934" s="28"/>
      <c r="G9934" s="33">
        <f t="shared" si="283"/>
        <v>0</v>
      </c>
    </row>
    <row r="9935" spans="1:8" ht="14.25" thickBot="1">
      <c r="A9935" s="211" t="s">
        <v>513</v>
      </c>
      <c r="B9935" s="216" t="str">
        <f ca="1">_xlfn.CONCAT(B9904,A9935)</f>
        <v>12D03ACC-ad</v>
      </c>
      <c r="C9935" s="24"/>
      <c r="D9935" s="185"/>
      <c r="E9935" s="29"/>
      <c r="F9935" s="28"/>
      <c r="G9935" s="33">
        <f t="shared" si="283"/>
        <v>0</v>
      </c>
    </row>
    <row r="9936" spans="1:8" ht="14.25" thickBot="1">
      <c r="A9936" s="211" t="s">
        <v>514</v>
      </c>
      <c r="B9936" s="216" t="str">
        <f ca="1">_xlfn.CONCAT(B9904,A9936)</f>
        <v>12D03ACC-ae</v>
      </c>
      <c r="C9936" s="17"/>
      <c r="D9936" s="192"/>
      <c r="E9936" s="18"/>
      <c r="F9936" s="22" t="s">
        <v>26</v>
      </c>
      <c r="G9936" s="23">
        <f>SUM(G9930:G9935)</f>
        <v>622.13562499999989</v>
      </c>
    </row>
    <row r="9937" spans="1:8" ht="15.75" thickBot="1">
      <c r="A9937" s="211" t="s">
        <v>515</v>
      </c>
      <c r="B9937" s="216" t="str">
        <f ca="1">_xlfn.CONCAT(B9904,A9937)</f>
        <v>12D03ACC-af</v>
      </c>
      <c r="C9937" s="10" t="s">
        <v>27</v>
      </c>
      <c r="D9937" s="190"/>
      <c r="E9937" s="11"/>
      <c r="F9937" s="12"/>
      <c r="G9937" s="13"/>
    </row>
    <row r="9938" spans="1:8" ht="14.25" thickBot="1">
      <c r="A9938" s="211" t="s">
        <v>516</v>
      </c>
      <c r="B9938" s="216" t="str">
        <f ca="1">_xlfn.CONCAT(B9904,A9938)</f>
        <v>12D03ACC-ag</v>
      </c>
      <c r="C9938" s="14" t="s">
        <v>1</v>
      </c>
      <c r="D9938" s="15" t="s">
        <v>28</v>
      </c>
      <c r="E9938" s="15" t="s">
        <v>20</v>
      </c>
      <c r="F9938" s="16" t="s">
        <v>21</v>
      </c>
      <c r="G9938" s="15" t="s">
        <v>5</v>
      </c>
      <c r="H9938" s="215"/>
    </row>
    <row r="9939" spans="1:8">
      <c r="A9939" s="211" t="s">
        <v>517</v>
      </c>
      <c r="B9939" s="216" t="str">
        <f ca="1">_xlfn.CONCAT(B9904,A9939)</f>
        <v>12D03ACC-ah</v>
      </c>
      <c r="C9939" s="30" t="s">
        <v>29</v>
      </c>
      <c r="D9939" s="186">
        <f>'H-MO'!$N$77</f>
        <v>725918.52892505517</v>
      </c>
      <c r="E9939" s="31">
        <f>+D9939/8</f>
        <v>90739.816115631897</v>
      </c>
      <c r="F9939" s="32">
        <v>0.1</v>
      </c>
      <c r="G9939" s="33">
        <f>+E9939*F9939</f>
        <v>9073.9816115631893</v>
      </c>
    </row>
    <row r="9940" spans="1:8">
      <c r="A9940" s="211" t="s">
        <v>518</v>
      </c>
      <c r="B9940" s="216" t="str">
        <f ca="1">_xlfn.CONCAT(B9904,A9940)</f>
        <v>12D03ACC-ai</v>
      </c>
      <c r="C9940" s="34" t="s">
        <v>30</v>
      </c>
      <c r="D9940" s="187">
        <f>'H-MO'!$N$86</f>
        <v>685561.39085756091</v>
      </c>
      <c r="E9940" s="29">
        <f>+D9940/8</f>
        <v>85695.173857195114</v>
      </c>
      <c r="F9940" s="28">
        <v>0</v>
      </c>
      <c r="G9940" s="33">
        <f>+E9940*F9940</f>
        <v>0</v>
      </c>
    </row>
    <row r="9941" spans="1:8" ht="14.25" thickBot="1">
      <c r="A9941" s="211" t="s">
        <v>519</v>
      </c>
      <c r="B9941" s="216" t="str">
        <f ca="1">_xlfn.CONCAT(B9904,A9941)</f>
        <v>12D03ACC-aj</v>
      </c>
      <c r="C9941" s="34"/>
      <c r="D9941" s="187"/>
      <c r="E9941" s="29"/>
      <c r="F9941" s="28"/>
      <c r="G9941" s="33">
        <f>+E9941*F9941</f>
        <v>0</v>
      </c>
    </row>
    <row r="9942" spans="1:8" ht="14.25" thickBot="1">
      <c r="A9942" s="211" t="s">
        <v>520</v>
      </c>
      <c r="B9942" s="216" t="str">
        <f ca="1">_xlfn.CONCAT(B9904,A9942)</f>
        <v>12D03ACC-ak</v>
      </c>
      <c r="C9942" s="34"/>
      <c r="D9942" s="185"/>
      <c r="E9942" s="26"/>
      <c r="F9942" s="36" t="s">
        <v>31</v>
      </c>
      <c r="G9942" s="23">
        <f>SUM(G9939:G9941)</f>
        <v>9073.9816115631893</v>
      </c>
    </row>
    <row r="9943" spans="1:8" ht="14.25" thickBot="1">
      <c r="A9943" s="211" t="s">
        <v>521</v>
      </c>
      <c r="B9943" s="216" t="str">
        <f ca="1">_xlfn.CONCAT(B9904,A9943)</f>
        <v>12D03ACC-al</v>
      </c>
      <c r="C9943" s="37"/>
      <c r="E9943" s="38"/>
      <c r="F9943" s="22"/>
      <c r="G9943" s="39"/>
    </row>
    <row r="9944" spans="1:8" ht="16.5" thickBot="1">
      <c r="A9944" s="211" t="s">
        <v>522</v>
      </c>
      <c r="B9944" s="216" t="str">
        <f ca="1">_xlfn.CONCAT(B9904,A9944)</f>
        <v>12D03ACC-am</v>
      </c>
      <c r="C9944" s="40"/>
      <c r="D9944" s="193"/>
      <c r="E9944" s="41"/>
      <c r="F9944" s="42"/>
      <c r="G9944" s="43">
        <f>+G9927+G9936+G9942</f>
        <v>45046.117236563194</v>
      </c>
    </row>
    <row r="9945" spans="1:8" ht="21.75" thickBot="1">
      <c r="B9945" s="212" t="s">
        <v>550</v>
      </c>
      <c r="C9945" s="2"/>
      <c r="D9945" s="183"/>
      <c r="F9945" s="4"/>
      <c r="G9945" s="5"/>
    </row>
    <row r="9946" spans="1:8" ht="18.75">
      <c r="A9946" s="213"/>
      <c r="B9946" s="214">
        <v>226</v>
      </c>
      <c r="C9946" s="242" t="str">
        <f ca="1">_xlfn.XLOOKUP(B9946,Cantidades!$A$10:$A$314,Cantidades!$C$10:$C$314,,0,1)</f>
        <v>Suministro e instalación de Luminaria AP 30 W. Incluye cable 3#16 encauchetado, prensaestopa y elementos de conexionado.</v>
      </c>
      <c r="D9946" s="243"/>
      <c r="E9946" s="243"/>
      <c r="F9946" s="243"/>
      <c r="G9946" s="244"/>
      <c r="H9946" s="213"/>
    </row>
    <row r="9947" spans="1:8" ht="19.5" thickBot="1">
      <c r="A9947" s="215"/>
      <c r="B9947" s="216" t="s">
        <v>550</v>
      </c>
      <c r="C9947" s="177"/>
      <c r="D9947" s="189"/>
      <c r="E9947" s="178"/>
      <c r="F9947" s="179" t="s">
        <v>636</v>
      </c>
      <c r="G9947" s="209" t="str">
        <f ca="1">B9948</f>
        <v>21BF1F03-</v>
      </c>
      <c r="H9947" s="215"/>
    </row>
    <row r="9948" spans="1:8" ht="15.75" thickBot="1">
      <c r="B9948" s="212" t="str">
        <f ca="1">_xlfn.XLOOKUP(C9946,Cantidades!$C$1:$C$314,Cantidades!$B$1:$B$314,"",0,1)</f>
        <v>21BF1F03-</v>
      </c>
      <c r="C9948" s="10" t="s">
        <v>0</v>
      </c>
      <c r="D9948" s="190"/>
      <c r="E9948" s="11"/>
      <c r="F9948" s="12"/>
      <c r="G9948" s="13"/>
    </row>
    <row r="9949" spans="1:8" ht="14.25" thickBot="1">
      <c r="A9949" s="215"/>
      <c r="B9949" s="216" t="s">
        <v>550</v>
      </c>
      <c r="C9949" s="14" t="s">
        <v>1</v>
      </c>
      <c r="D9949" s="15" t="s">
        <v>2</v>
      </c>
      <c r="E9949" s="15" t="s">
        <v>3</v>
      </c>
      <c r="F9949" s="16" t="s">
        <v>4</v>
      </c>
      <c r="G9949" s="15" t="s">
        <v>5</v>
      </c>
      <c r="H9949" s="215"/>
    </row>
    <row r="9950" spans="1:8" ht="15">
      <c r="A9950" s="211" t="s">
        <v>484</v>
      </c>
      <c r="B9950" s="216" t="str">
        <f ca="1">_xlfn.CONCAT(B9948,A9950)</f>
        <v>21BF1F03-A</v>
      </c>
      <c r="C9950" s="17" t="str">
        <f>_xlfn.XLOOKUP(H9950,'Materiales unitario'!$A$1:$A$2500,'Materiales unitario'!B$1:B$2500,,0,1)</f>
        <v>Luminaria AP 30W luz día Ecolite</v>
      </c>
      <c r="D9950" s="184" t="str">
        <f>_xlfn.XLOOKUP(H9950,'Materiales unitario'!A$1:A$2500,'Materiales unitario'!C$1:C$2500,,0,1)</f>
        <v>un</v>
      </c>
      <c r="E9950" s="197">
        <f>_xlfn.XLOOKUP(H9950,'Materiales unitario'!$A$1:$A$2500,'Materiales unitario'!D$1:D$2500,,0,1)</f>
        <v>167460</v>
      </c>
      <c r="F9950" s="19">
        <v>1</v>
      </c>
      <c r="G9950" s="20">
        <f>+E9950*F9950</f>
        <v>167460</v>
      </c>
      <c r="H9950" s="217" t="s">
        <v>1636</v>
      </c>
    </row>
    <row r="9951" spans="1:8" ht="15">
      <c r="A9951" s="211" t="s">
        <v>485</v>
      </c>
      <c r="B9951" s="216" t="str">
        <f ca="1">_xlfn.CONCAT(B9948,A9951)</f>
        <v>21BF1F03-B</v>
      </c>
      <c r="C9951" s="17" t="str">
        <f>_xlfn.XLOOKUP(H9951,'Materiales unitario'!$A$1:$A$2500,'Materiales unitario'!B$1:B$2500,,0,1)</f>
        <v>Conector de resorte naranja "N" 22-16 AWG</v>
      </c>
      <c r="D9951" s="184" t="str">
        <f>_xlfn.XLOOKUP(H9951,'Materiales unitario'!A$1:A$2500,'Materiales unitario'!C$1:C$2500,,0,1)</f>
        <v>un</v>
      </c>
      <c r="E9951" s="197">
        <f>_xlfn.XLOOKUP(H9951,'Materiales unitario'!$A$1:$A$2500,'Materiales unitario'!D$1:D$2500,,0,1)</f>
        <v>150</v>
      </c>
      <c r="F9951" s="19">
        <v>2</v>
      </c>
      <c r="G9951" s="20">
        <f>+E9951*F9951</f>
        <v>300</v>
      </c>
      <c r="H9951" s="217" t="s">
        <v>682</v>
      </c>
    </row>
    <row r="9952" spans="1:8" ht="15">
      <c r="A9952" s="211" t="s">
        <v>486</v>
      </c>
      <c r="B9952" s="216" t="str">
        <f ca="1">_xlfn.CONCAT(B9948,A9952)</f>
        <v>21BF1F03-C</v>
      </c>
      <c r="C9952" s="17" t="str">
        <f>_xlfn.XLOOKUP(H9952,'Materiales unitario'!$A$1:$A$2500,'Materiales unitario'!B$1:B$2500,,0,1)</f>
        <v>Cable flexible encauchetado ST-C 3x16 AWG</v>
      </c>
      <c r="D9952" s="184" t="str">
        <f>_xlfn.XLOOKUP(H9952,'Materiales unitario'!A$1:A$2500,'Materiales unitario'!C$1:C$2500,,0,1)</f>
        <v>ml</v>
      </c>
      <c r="E9952" s="197">
        <f>_xlfn.XLOOKUP(H9952,'Materiales unitario'!$A$1:$A$2500,'Materiales unitario'!D$1:D$2500,,0,1)</f>
        <v>4730</v>
      </c>
      <c r="F9952" s="19">
        <v>3</v>
      </c>
      <c r="G9952" s="20">
        <f>+E9952*F9952</f>
        <v>14190</v>
      </c>
      <c r="H9952" s="217" t="s">
        <v>278</v>
      </c>
    </row>
    <row r="9953" spans="1:8" ht="15">
      <c r="A9953" s="211" t="s">
        <v>487</v>
      </c>
      <c r="B9953" s="216" t="str">
        <f ca="1">_xlfn.CONCAT(B9948,A9953)</f>
        <v>21BF1F03-D</v>
      </c>
      <c r="C9953" s="17" t="str">
        <f>_xlfn.XLOOKUP(H9953,'Materiales unitario'!$A$1:$A$2500,'Materiales unitario'!B$1:B$2500,,0,1)</f>
        <v>Marquillas para circuito</v>
      </c>
      <c r="D9953" s="184" t="str">
        <f>_xlfn.XLOOKUP(H9953,'Materiales unitario'!A$1:A$2500,'Materiales unitario'!C$1:C$2500,,0,1)</f>
        <v>un</v>
      </c>
      <c r="E9953" s="197">
        <f>_xlfn.XLOOKUP(H9953,'Materiales unitario'!$A$1:$A$2500,'Materiales unitario'!D$1:D$2500,,0,1)</f>
        <v>1000</v>
      </c>
      <c r="F9953" s="19">
        <v>1</v>
      </c>
      <c r="G9953" s="20">
        <f>+E9953*F9953</f>
        <v>1000</v>
      </c>
      <c r="H9953" s="217" t="s">
        <v>339</v>
      </c>
    </row>
    <row r="9954" spans="1:8" ht="15">
      <c r="A9954" s="211" t="s">
        <v>488</v>
      </c>
      <c r="B9954" s="216" t="str">
        <f ca="1">_xlfn.CONCAT(B9948,A9954)</f>
        <v>21BF1F03-E</v>
      </c>
      <c r="C9954" s="17" t="str">
        <f>_xlfn.XLOOKUP(H9954,'Materiales unitario'!$A$1:$A$2500,'Materiales unitario'!B$1:B$2500,,0,1)</f>
        <v>Prensaestopa de 10 a 14 mm ø1/2"</v>
      </c>
      <c r="D9954" s="184" t="str">
        <f>_xlfn.XLOOKUP(H9954,'Materiales unitario'!A$1:A$2500,'Materiales unitario'!C$1:C$2500,,0,1)</f>
        <v>un</v>
      </c>
      <c r="E9954" s="197">
        <f>_xlfn.XLOOKUP(H9954,'Materiales unitario'!$A$1:$A$2500,'Materiales unitario'!D$1:D$2500,,0,1)</f>
        <v>1460</v>
      </c>
      <c r="F9954" s="19">
        <v>1</v>
      </c>
      <c r="G9954" s="20">
        <f>+E9954*F9954</f>
        <v>1460</v>
      </c>
      <c r="H9954" s="217" t="s">
        <v>351</v>
      </c>
    </row>
    <row r="9955" spans="1:8" ht="15">
      <c r="A9955" s="211" t="s">
        <v>489</v>
      </c>
      <c r="B9955" s="216" t="str">
        <f ca="1">_xlfn.CONCAT(B9948,A9955)</f>
        <v>21BF1F03-F</v>
      </c>
      <c r="C9955" s="17"/>
      <c r="D9955" s="184"/>
      <c r="E9955" s="197"/>
      <c r="F9955" s="19"/>
      <c r="G9955" s="20"/>
      <c r="H9955" s="217"/>
    </row>
    <row r="9956" spans="1:8" ht="15">
      <c r="A9956" s="211" t="s">
        <v>490</v>
      </c>
      <c r="B9956" s="216" t="str">
        <f ca="1">_xlfn.CONCAT(B9948,A9956)</f>
        <v>21BF1F03-G</v>
      </c>
      <c r="C9956" s="17"/>
      <c r="D9956" s="184"/>
      <c r="E9956" s="197"/>
      <c r="F9956" s="19"/>
      <c r="G9956" s="20"/>
      <c r="H9956" s="217"/>
    </row>
    <row r="9957" spans="1:8" ht="15">
      <c r="A9957" s="211" t="s">
        <v>491</v>
      </c>
      <c r="B9957" s="216" t="str">
        <f ca="1">_xlfn.CONCAT(B9948,A9957)</f>
        <v>21BF1F03-H</v>
      </c>
      <c r="C9957" s="17"/>
      <c r="D9957" s="184"/>
      <c r="E9957" s="197"/>
      <c r="F9957" s="19"/>
      <c r="G9957" s="20"/>
      <c r="H9957" s="217"/>
    </row>
    <row r="9958" spans="1:8" ht="15">
      <c r="A9958" s="211" t="s">
        <v>492</v>
      </c>
      <c r="B9958" s="216" t="str">
        <f ca="1">_xlfn.CONCAT(B9948,A9958)</f>
        <v>21BF1F03-I</v>
      </c>
      <c r="C9958" s="17"/>
      <c r="D9958" s="184"/>
      <c r="E9958" s="197"/>
      <c r="F9958" s="19"/>
      <c r="G9958" s="20"/>
      <c r="H9958" s="217"/>
    </row>
    <row r="9959" spans="1:8" ht="15">
      <c r="A9959" s="211" t="s">
        <v>493</v>
      </c>
      <c r="B9959" s="216" t="str">
        <f ca="1">_xlfn.CONCAT(B9948,A9959)</f>
        <v>21BF1F03-J</v>
      </c>
      <c r="C9959" s="17"/>
      <c r="D9959" s="184"/>
      <c r="E9959" s="197"/>
      <c r="F9959" s="19"/>
      <c r="G9959" s="20"/>
      <c r="H9959" s="217"/>
    </row>
    <row r="9960" spans="1:8" ht="15">
      <c r="A9960" s="211" t="s">
        <v>494</v>
      </c>
      <c r="B9960" s="216" t="str">
        <f ca="1">_xlfn.CONCAT(B9948,A9960)</f>
        <v>21BF1F03-K</v>
      </c>
      <c r="C9960" s="17"/>
      <c r="D9960" s="184"/>
      <c r="E9960" s="197"/>
      <c r="F9960" s="19"/>
      <c r="G9960" s="20"/>
      <c r="H9960" s="217"/>
    </row>
    <row r="9961" spans="1:8" ht="15">
      <c r="A9961" s="211" t="s">
        <v>495</v>
      </c>
      <c r="B9961" s="216" t="str">
        <f ca="1">_xlfn.CONCAT(B9948,A9961)</f>
        <v>21BF1F03-L</v>
      </c>
      <c r="C9961" s="17"/>
      <c r="D9961" s="184"/>
      <c r="E9961" s="197"/>
      <c r="F9961" s="19"/>
      <c r="G9961" s="20"/>
      <c r="H9961" s="217"/>
    </row>
    <row r="9962" spans="1:8" ht="15">
      <c r="A9962" s="211" t="s">
        <v>496</v>
      </c>
      <c r="B9962" s="216" t="str">
        <f ca="1">_xlfn.CONCAT(B9948,A9962)</f>
        <v>21BF1F03-M</v>
      </c>
      <c r="C9962" s="17"/>
      <c r="D9962" s="184"/>
      <c r="E9962" s="197"/>
      <c r="F9962" s="19"/>
      <c r="G9962" s="20"/>
      <c r="H9962" s="217"/>
    </row>
    <row r="9963" spans="1:8">
      <c r="A9963" s="211" t="s">
        <v>497</v>
      </c>
      <c r="B9963" s="216" t="str">
        <f ca="1">_xlfn.CONCAT(B9948,A9963)</f>
        <v>21BF1F03-N</v>
      </c>
      <c r="C9963" s="17"/>
      <c r="D9963" s="184"/>
      <c r="E9963" s="197"/>
      <c r="F9963" s="19"/>
      <c r="G9963" s="20"/>
    </row>
    <row r="9964" spans="1:8">
      <c r="A9964" s="211" t="s">
        <v>498</v>
      </c>
      <c r="B9964" s="216" t="str">
        <f ca="1">_xlfn.CONCAT(B9948,A9964)</f>
        <v>21BF1F03-O</v>
      </c>
      <c r="C9964" s="17"/>
      <c r="D9964" s="184"/>
      <c r="E9964" s="197"/>
      <c r="F9964" s="19"/>
      <c r="G9964" s="20"/>
    </row>
    <row r="9965" spans="1:8">
      <c r="A9965" s="211" t="s">
        <v>499</v>
      </c>
      <c r="B9965" s="216" t="str">
        <f ca="1">_xlfn.CONCAT(B9948,A9965)</f>
        <v>21BF1F03-P</v>
      </c>
      <c r="C9965" s="17"/>
      <c r="D9965" s="184"/>
      <c r="E9965" s="197"/>
      <c r="F9965" s="19"/>
      <c r="G9965" s="20"/>
    </row>
    <row r="9966" spans="1:8">
      <c r="A9966" s="211" t="s">
        <v>500</v>
      </c>
      <c r="B9966" s="216" t="str">
        <f ca="1">_xlfn.CONCAT(B9948,A9966)</f>
        <v>21BF1F03-Q</v>
      </c>
      <c r="C9966" s="17"/>
      <c r="D9966" s="184"/>
      <c r="E9966" s="197"/>
      <c r="F9966" s="19"/>
      <c r="G9966" s="20"/>
    </row>
    <row r="9967" spans="1:8">
      <c r="A9967" s="211" t="s">
        <v>501</v>
      </c>
      <c r="B9967" s="216" t="str">
        <f ca="1">_xlfn.CONCAT(B9948,A9967)</f>
        <v>21BF1F03-R</v>
      </c>
      <c r="C9967" s="17"/>
      <c r="D9967" s="184"/>
      <c r="E9967" s="197"/>
      <c r="F9967" s="19"/>
      <c r="G9967" s="20"/>
    </row>
    <row r="9968" spans="1:8">
      <c r="A9968" s="211" t="s">
        <v>502</v>
      </c>
      <c r="B9968" s="216" t="str">
        <f ca="1">_xlfn.CONCAT(B9948,A9968)</f>
        <v>21BF1F03-S</v>
      </c>
      <c r="C9968" s="17"/>
      <c r="D9968" s="184"/>
      <c r="E9968" s="197"/>
      <c r="F9968" s="19"/>
      <c r="G9968" s="20"/>
    </row>
    <row r="9969" spans="1:8">
      <c r="A9969" s="211" t="s">
        <v>503</v>
      </c>
      <c r="B9969" s="216" t="str">
        <f ca="1">_xlfn.CONCAT(B9948,A9969)</f>
        <v>21BF1F03-T</v>
      </c>
      <c r="C9969" s="17"/>
      <c r="D9969" s="184"/>
      <c r="E9969" s="197"/>
      <c r="F9969" s="19"/>
      <c r="G9969" s="20"/>
    </row>
    <row r="9970" spans="1:8" ht="14.25" thickBot="1">
      <c r="A9970" s="211" t="s">
        <v>504</v>
      </c>
      <c r="B9970" s="216" t="str">
        <f ca="1">_xlfn.CONCAT(B9948,A9970)</f>
        <v>21BF1F03-U</v>
      </c>
      <c r="C9970" s="17"/>
      <c r="D9970" s="184"/>
      <c r="E9970" s="197"/>
      <c r="F9970" s="19"/>
      <c r="G9970" s="20"/>
    </row>
    <row r="9971" spans="1:8" ht="14.25" thickBot="1">
      <c r="A9971" s="211" t="s">
        <v>505</v>
      </c>
      <c r="B9971" s="216" t="str">
        <f ca="1">_xlfn.CONCAT(B9948,A9971)</f>
        <v>21BF1F03-V</v>
      </c>
      <c r="C9971" s="17" t="s">
        <v>17</v>
      </c>
      <c r="D9971" s="192" t="s">
        <v>17</v>
      </c>
      <c r="E9971" s="18"/>
      <c r="F9971" s="22" t="s">
        <v>18</v>
      </c>
      <c r="G9971" s="23">
        <f>SUM(G9950:G9970)</f>
        <v>184410</v>
      </c>
    </row>
    <row r="9972" spans="1:8" ht="15.75" thickBot="1">
      <c r="A9972" s="211" t="s">
        <v>506</v>
      </c>
      <c r="B9972" s="216" t="str">
        <f ca="1">_xlfn.CONCAT(B9948,A9972)</f>
        <v>21BF1F03-W</v>
      </c>
      <c r="C9972" s="10" t="s">
        <v>19</v>
      </c>
      <c r="D9972" s="190"/>
      <c r="E9972" s="11"/>
      <c r="F9972" s="12"/>
      <c r="G9972" s="13"/>
    </row>
    <row r="9973" spans="1:8" ht="14.25" thickBot="1">
      <c r="A9973" s="211" t="s">
        <v>507</v>
      </c>
      <c r="B9973" s="216" t="str">
        <f ca="1">_xlfn.CONCAT(B9948,A9973)</f>
        <v>21BF1F03-X</v>
      </c>
      <c r="C9973" s="14" t="s">
        <v>1</v>
      </c>
      <c r="D9973" s="15"/>
      <c r="E9973" s="15" t="s">
        <v>20</v>
      </c>
      <c r="F9973" s="16" t="s">
        <v>21</v>
      </c>
      <c r="G9973" s="15" t="s">
        <v>5</v>
      </c>
      <c r="H9973" s="215"/>
    </row>
    <row r="9974" spans="1:8">
      <c r="A9974" s="211" t="s">
        <v>508</v>
      </c>
      <c r="B9974" s="216" t="str">
        <f ca="1">_xlfn.CONCAT(B9948,A9974)</f>
        <v>21BF1F03-Y</v>
      </c>
      <c r="C9974" s="24" t="s">
        <v>22</v>
      </c>
      <c r="D9974" s="184"/>
      <c r="E9974" s="25">
        <f>_xlfn.XLOOKUP(C9974,'H-MO'!B$7:B$30,'H-MO'!D$7:D$30,,0,1)</f>
        <v>2436.5624999999995</v>
      </c>
      <c r="F9974" s="19">
        <v>0.04</v>
      </c>
      <c r="G9974" s="33">
        <f t="shared" ref="G9974:G9979" si="284">+E9974*F9974</f>
        <v>97.462499999999977</v>
      </c>
    </row>
    <row r="9975" spans="1:8">
      <c r="A9975" s="211" t="s">
        <v>509</v>
      </c>
      <c r="B9975" s="216" t="str">
        <f ca="1">_xlfn.CONCAT(B9948,A9975)</f>
        <v>21BF1F03-Z</v>
      </c>
      <c r="C9975" s="24" t="s">
        <v>23</v>
      </c>
      <c r="D9975" s="184"/>
      <c r="E9975" s="25">
        <f>_xlfn.XLOOKUP(C9975,'H-MO'!B$7:B$30,'H-MO'!D$7:D$30,,0,1)</f>
        <v>1461.9374999999998</v>
      </c>
      <c r="F9975" s="19">
        <v>0.03</v>
      </c>
      <c r="G9975" s="33">
        <f t="shared" si="284"/>
        <v>43.858124999999994</v>
      </c>
    </row>
    <row r="9976" spans="1:8">
      <c r="A9976" s="211" t="s">
        <v>510</v>
      </c>
      <c r="B9976" s="216" t="str">
        <f ca="1">_xlfn.CONCAT(B9948,A9976)</f>
        <v>21BF1F03-aa</v>
      </c>
      <c r="C9976" s="24" t="s">
        <v>24</v>
      </c>
      <c r="D9976" s="185"/>
      <c r="E9976" s="25">
        <f>_xlfn.XLOOKUP(C9976,'H-MO'!B$7:B$30,'H-MO'!D$7:D$30,,0,1)</f>
        <v>29238.749999999996</v>
      </c>
      <c r="F9976" s="28">
        <v>7.0000000000000001E-3</v>
      </c>
      <c r="G9976" s="33">
        <f t="shared" si="284"/>
        <v>204.67124999999999</v>
      </c>
    </row>
    <row r="9977" spans="1:8">
      <c r="A9977" s="211" t="s">
        <v>511</v>
      </c>
      <c r="B9977" s="216" t="str">
        <f ca="1">_xlfn.CONCAT(B9948,A9977)</f>
        <v>21BF1F03-ab</v>
      </c>
      <c r="C9977" s="24" t="s">
        <v>25</v>
      </c>
      <c r="D9977" s="185"/>
      <c r="E9977" s="25">
        <f>_xlfn.XLOOKUP(C9977,'H-MO'!B$7:B$30,'H-MO'!D$7:D$30,,0,1)</f>
        <v>2761.4374999999995</v>
      </c>
      <c r="F9977" s="28">
        <v>0.1</v>
      </c>
      <c r="G9977" s="33">
        <f t="shared" si="284"/>
        <v>276.14374999999995</v>
      </c>
    </row>
    <row r="9978" spans="1:8">
      <c r="A9978" s="211" t="s">
        <v>512</v>
      </c>
      <c r="B9978" s="216" t="str">
        <f ca="1">_xlfn.CONCAT(B9948,A9978)</f>
        <v>21BF1F03-ac</v>
      </c>
      <c r="C9978" s="24"/>
      <c r="D9978" s="185"/>
      <c r="E9978" s="29"/>
      <c r="F9978" s="28"/>
      <c r="G9978" s="33">
        <f t="shared" si="284"/>
        <v>0</v>
      </c>
    </row>
    <row r="9979" spans="1:8" ht="14.25" thickBot="1">
      <c r="A9979" s="211" t="s">
        <v>513</v>
      </c>
      <c r="B9979" s="216" t="str">
        <f ca="1">_xlfn.CONCAT(B9948,A9979)</f>
        <v>21BF1F03-ad</v>
      </c>
      <c r="C9979" s="24"/>
      <c r="D9979" s="185"/>
      <c r="E9979" s="29"/>
      <c r="F9979" s="28"/>
      <c r="G9979" s="33">
        <f t="shared" si="284"/>
        <v>0</v>
      </c>
    </row>
    <row r="9980" spans="1:8" ht="14.25" thickBot="1">
      <c r="A9980" s="211" t="s">
        <v>514</v>
      </c>
      <c r="B9980" s="216" t="str">
        <f ca="1">_xlfn.CONCAT(B9948,A9980)</f>
        <v>21BF1F03-ae</v>
      </c>
      <c r="C9980" s="17"/>
      <c r="D9980" s="192"/>
      <c r="E9980" s="18"/>
      <c r="F9980" s="22" t="s">
        <v>26</v>
      </c>
      <c r="G9980" s="23">
        <f>SUM(G9974:G9979)</f>
        <v>622.13562499999989</v>
      </c>
    </row>
    <row r="9981" spans="1:8" ht="15.75" thickBot="1">
      <c r="A9981" s="211" t="s">
        <v>515</v>
      </c>
      <c r="B9981" s="216" t="str">
        <f ca="1">_xlfn.CONCAT(B9948,A9981)</f>
        <v>21BF1F03-af</v>
      </c>
      <c r="C9981" s="10" t="s">
        <v>27</v>
      </c>
      <c r="D9981" s="190"/>
      <c r="E9981" s="11"/>
      <c r="F9981" s="12"/>
      <c r="G9981" s="13"/>
    </row>
    <row r="9982" spans="1:8" ht="14.25" thickBot="1">
      <c r="A9982" s="211" t="s">
        <v>516</v>
      </c>
      <c r="B9982" s="216" t="str">
        <f ca="1">_xlfn.CONCAT(B9948,A9982)</f>
        <v>21BF1F03-ag</v>
      </c>
      <c r="C9982" s="14" t="s">
        <v>1</v>
      </c>
      <c r="D9982" s="15" t="s">
        <v>28</v>
      </c>
      <c r="E9982" s="15" t="s">
        <v>20</v>
      </c>
      <c r="F9982" s="16" t="s">
        <v>21</v>
      </c>
      <c r="G9982" s="15" t="s">
        <v>5</v>
      </c>
      <c r="H9982" s="215"/>
    </row>
    <row r="9983" spans="1:8">
      <c r="A9983" s="211" t="s">
        <v>517</v>
      </c>
      <c r="B9983" s="216" t="str">
        <f ca="1">_xlfn.CONCAT(B9948,A9983)</f>
        <v>21BF1F03-ah</v>
      </c>
      <c r="C9983" s="30" t="s">
        <v>29</v>
      </c>
      <c r="D9983" s="186">
        <f>'H-MO'!$N$77</f>
        <v>725918.52892505517</v>
      </c>
      <c r="E9983" s="31">
        <f>+D9983/8</f>
        <v>90739.816115631897</v>
      </c>
      <c r="F9983" s="32">
        <v>0.1</v>
      </c>
      <c r="G9983" s="33">
        <f>+E9983*F9983</f>
        <v>9073.9816115631893</v>
      </c>
    </row>
    <row r="9984" spans="1:8">
      <c r="A9984" s="211" t="s">
        <v>518</v>
      </c>
      <c r="B9984" s="216" t="str">
        <f ca="1">_xlfn.CONCAT(B9948,A9984)</f>
        <v>21BF1F03-ai</v>
      </c>
      <c r="C9984" s="34" t="s">
        <v>30</v>
      </c>
      <c r="D9984" s="187">
        <f>'H-MO'!$N$86</f>
        <v>685561.39085756091</v>
      </c>
      <c r="E9984" s="29">
        <f>+D9984/8</f>
        <v>85695.173857195114</v>
      </c>
      <c r="F9984" s="28">
        <v>0</v>
      </c>
      <c r="G9984" s="33">
        <f>+E9984*F9984</f>
        <v>0</v>
      </c>
    </row>
    <row r="9985" spans="1:8" ht="14.25" thickBot="1">
      <c r="A9985" s="211" t="s">
        <v>519</v>
      </c>
      <c r="B9985" s="216" t="str">
        <f ca="1">_xlfn.CONCAT(B9948,A9985)</f>
        <v>21BF1F03-aj</v>
      </c>
      <c r="C9985" s="34"/>
      <c r="D9985" s="187"/>
      <c r="E9985" s="29"/>
      <c r="F9985" s="28"/>
      <c r="G9985" s="33">
        <f>+E9985*F9985</f>
        <v>0</v>
      </c>
    </row>
    <row r="9986" spans="1:8" ht="14.25" thickBot="1">
      <c r="A9986" s="211" t="s">
        <v>520</v>
      </c>
      <c r="B9986" s="216" t="str">
        <f ca="1">_xlfn.CONCAT(B9948,A9986)</f>
        <v>21BF1F03-ak</v>
      </c>
      <c r="C9986" s="34"/>
      <c r="D9986" s="185"/>
      <c r="E9986" s="26"/>
      <c r="F9986" s="36" t="s">
        <v>31</v>
      </c>
      <c r="G9986" s="23">
        <f>SUM(G9983:G9985)</f>
        <v>9073.9816115631893</v>
      </c>
    </row>
    <row r="9987" spans="1:8" ht="14.25" thickBot="1">
      <c r="A9987" s="211" t="s">
        <v>521</v>
      </c>
      <c r="B9987" s="216" t="str">
        <f ca="1">_xlfn.CONCAT(B9948,A9987)</f>
        <v>21BF1F03-al</v>
      </c>
      <c r="C9987" s="37"/>
      <c r="E9987" s="38"/>
      <c r="F9987" s="22"/>
      <c r="G9987" s="39"/>
    </row>
    <row r="9988" spans="1:8" ht="16.5" thickBot="1">
      <c r="A9988" s="211" t="s">
        <v>522</v>
      </c>
      <c r="B9988" s="216" t="str">
        <f ca="1">_xlfn.CONCAT(B9948,A9988)</f>
        <v>21BF1F03-am</v>
      </c>
      <c r="C9988" s="40"/>
      <c r="D9988" s="193"/>
      <c r="E9988" s="41"/>
      <c r="F9988" s="42"/>
      <c r="G9988" s="43">
        <f>+G9971+G9980+G9986</f>
        <v>194106.11723656318</v>
      </c>
    </row>
    <row r="9989" spans="1:8" ht="21.75" thickBot="1">
      <c r="B9989" s="212" t="s">
        <v>550</v>
      </c>
      <c r="C9989" s="2"/>
      <c r="D9989" s="183"/>
      <c r="F9989" s="4"/>
      <c r="G9989" s="5"/>
    </row>
    <row r="9990" spans="1:8" ht="18.75">
      <c r="A9990" s="213"/>
      <c r="B9990" s="214">
        <v>227</v>
      </c>
      <c r="C9990" s="242" t="str">
        <f ca="1">_xlfn.XLOOKUP(B9990,Cantidades!$A$10:$A$314,Cantidades!$C$10:$C$314,,0,1)</f>
        <v>Suministro e instalación de tubería  1Ø2" IMC Incluye tubería, terminales, elementos de soporte y señalización.</v>
      </c>
      <c r="D9990" s="243"/>
      <c r="E9990" s="243"/>
      <c r="F9990" s="243"/>
      <c r="G9990" s="244"/>
    </row>
    <row r="9991" spans="1:8" ht="19.5" thickBot="1">
      <c r="A9991" s="215"/>
      <c r="B9991" s="216" t="s">
        <v>550</v>
      </c>
      <c r="C9991" s="177"/>
      <c r="D9991" s="189"/>
      <c r="E9991" s="178"/>
      <c r="F9991" s="179" t="s">
        <v>636</v>
      </c>
      <c r="G9991" s="209" t="str">
        <f ca="1">B9992</f>
        <v>8CDADA2-</v>
      </c>
    </row>
    <row r="9992" spans="1:8" ht="15.75" thickBot="1">
      <c r="B9992" s="212" t="str">
        <f ca="1">_xlfn.XLOOKUP(C9990,Cantidades!$C$1:$C$314,Cantidades!$B$1:$B$314,"",0,1)</f>
        <v>8CDADA2-</v>
      </c>
      <c r="C9992" s="10" t="s">
        <v>0</v>
      </c>
      <c r="D9992" s="190"/>
      <c r="E9992" s="11"/>
      <c r="F9992" s="12"/>
      <c r="G9992" s="13"/>
    </row>
    <row r="9993" spans="1:8" ht="14.25" thickBot="1">
      <c r="A9993" s="215"/>
      <c r="B9993" s="216" t="s">
        <v>550</v>
      </c>
      <c r="C9993" s="14" t="s">
        <v>1</v>
      </c>
      <c r="D9993" s="15" t="s">
        <v>2</v>
      </c>
      <c r="E9993" s="15" t="s">
        <v>3</v>
      </c>
      <c r="F9993" s="16" t="s">
        <v>4</v>
      </c>
      <c r="G9993" s="15" t="s">
        <v>5</v>
      </c>
    </row>
    <row r="9994" spans="1:8" ht="15">
      <c r="A9994" s="211" t="s">
        <v>484</v>
      </c>
      <c r="B9994" s="216" t="str">
        <f ca="1">_xlfn.CONCAT(B9992,A9994)</f>
        <v>8CDADA2-A</v>
      </c>
      <c r="C9994" s="17" t="str">
        <f>_xlfn.XLOOKUP(H9994,'Materiales unitario'!$A$1:$A$2500,'Materiales unitario'!B$1:B$2500,,0,1)</f>
        <v xml:space="preserve">Tubo metálico galv. Ø2" IMC </v>
      </c>
      <c r="D9994" s="184" t="str">
        <f>_xlfn.XLOOKUP(H9994,'Materiales unitario'!A$1:A$2500,'Materiales unitario'!C$1:C$2500,,0,1)</f>
        <v>ml</v>
      </c>
      <c r="E9994" s="197">
        <f>_xlfn.XLOOKUP(H9994,'Materiales unitario'!$A$1:$A$2500,'Materiales unitario'!D$1:D$2500,,0,1)</f>
        <v>58620.222222222234</v>
      </c>
      <c r="F9994" s="19">
        <v>1.05</v>
      </c>
      <c r="G9994" s="20">
        <f>+E9994*F9994</f>
        <v>61551.233333333344</v>
      </c>
      <c r="H9994" s="217" t="s">
        <v>385</v>
      </c>
    </row>
    <row r="9995" spans="1:8" ht="15">
      <c r="A9995" s="211" t="s">
        <v>485</v>
      </c>
      <c r="B9995" s="216" t="str">
        <f ca="1">_xlfn.CONCAT(B9992,A9995)</f>
        <v>8CDADA2-B</v>
      </c>
      <c r="C9995" s="17" t="str">
        <f>_xlfn.XLOOKUP(H9995,'Materiales unitario'!$A$1:$A$2500,'Materiales unitario'!B$1:B$2500,,0,1)</f>
        <v>Boquilla terminal galv. IMC 2"</v>
      </c>
      <c r="D9995" s="184" t="str">
        <f>_xlfn.XLOOKUP(H9995,'Materiales unitario'!A$1:A$2500,'Materiales unitario'!C$1:C$2500,,0,1)</f>
        <v>un</v>
      </c>
      <c r="E9995" s="197">
        <f>_xlfn.XLOOKUP(H9995,'Materiales unitario'!$A$1:$A$2500,'Materiales unitario'!D$1:D$2500,,0,1)</f>
        <v>6538</v>
      </c>
      <c r="F9995" s="19">
        <v>0.1</v>
      </c>
      <c r="G9995" s="20">
        <f>+E9995*F9995</f>
        <v>653.80000000000007</v>
      </c>
      <c r="H9995" s="217" t="s">
        <v>1642</v>
      </c>
    </row>
    <row r="9996" spans="1:8" ht="15">
      <c r="A9996" s="211" t="s">
        <v>486</v>
      </c>
      <c r="B9996" s="216" t="str">
        <f ca="1">_xlfn.CONCAT(B9992,A9996)</f>
        <v>8CDADA2-C</v>
      </c>
      <c r="C9996" s="17" t="str">
        <f>_xlfn.XLOOKUP(H9996,'Materiales unitario'!$A$1:$A$2500,'Materiales unitario'!B$1:B$2500,,0,1)</f>
        <v>Union metalica galv. IMC 2"</v>
      </c>
      <c r="D9996" s="184" t="str">
        <f>_xlfn.XLOOKUP(H9996,'Materiales unitario'!A$1:A$2500,'Materiales unitario'!C$1:C$2500,,0,1)</f>
        <v>un</v>
      </c>
      <c r="E9996" s="197">
        <f>_xlfn.XLOOKUP(H9996,'Materiales unitario'!$A$1:$A$2500,'Materiales unitario'!D$1:D$2500,,0,1)</f>
        <v>6938</v>
      </c>
      <c r="F9996" s="19">
        <v>0.3</v>
      </c>
      <c r="G9996" s="20">
        <f>+E9996*F9996</f>
        <v>2081.4</v>
      </c>
      <c r="H9996" s="217" t="s">
        <v>1640</v>
      </c>
    </row>
    <row r="9997" spans="1:8" ht="15">
      <c r="A9997" s="211" t="s">
        <v>487</v>
      </c>
      <c r="B9997" s="216" t="str">
        <f ca="1">_xlfn.CONCAT(B9992,A9997)</f>
        <v>8CDADA2-D</v>
      </c>
      <c r="C9997" s="17"/>
      <c r="D9997" s="184"/>
      <c r="E9997" s="197"/>
      <c r="F9997" s="19"/>
      <c r="G9997" s="20"/>
      <c r="H9997" s="217"/>
    </row>
    <row r="9998" spans="1:8" ht="15">
      <c r="A9998" s="211" t="s">
        <v>488</v>
      </c>
      <c r="B9998" s="216" t="str">
        <f ca="1">_xlfn.CONCAT(B9992,A9998)</f>
        <v>8CDADA2-E</v>
      </c>
      <c r="C9998" s="17"/>
      <c r="D9998" s="184"/>
      <c r="E9998" s="197"/>
      <c r="F9998" s="19"/>
      <c r="G9998" s="20"/>
      <c r="H9998" s="217"/>
    </row>
    <row r="9999" spans="1:8" ht="15">
      <c r="A9999" s="211" t="s">
        <v>489</v>
      </c>
      <c r="B9999" s="216" t="str">
        <f ca="1">_xlfn.CONCAT(B9992,A9999)</f>
        <v>8CDADA2-F</v>
      </c>
      <c r="C9999" s="17"/>
      <c r="D9999" s="184"/>
      <c r="E9999" s="197"/>
      <c r="F9999" s="19"/>
      <c r="G9999" s="20"/>
      <c r="H9999" s="217"/>
    </row>
    <row r="10000" spans="1:8" ht="15">
      <c r="A10000" s="211" t="s">
        <v>490</v>
      </c>
      <c r="B10000" s="216" t="str">
        <f ca="1">_xlfn.CONCAT(B9992,A10000)</f>
        <v>8CDADA2-G</v>
      </c>
      <c r="C10000" s="17"/>
      <c r="D10000" s="184"/>
      <c r="E10000" s="197"/>
      <c r="F10000" s="19"/>
      <c r="G10000" s="20"/>
      <c r="H10000" s="217"/>
    </row>
    <row r="10001" spans="1:8" ht="15">
      <c r="A10001" s="211" t="s">
        <v>491</v>
      </c>
      <c r="B10001" s="216" t="str">
        <f ca="1">_xlfn.CONCAT(B9992,A10001)</f>
        <v>8CDADA2-H</v>
      </c>
      <c r="C10001" s="17"/>
      <c r="D10001" s="184"/>
      <c r="E10001" s="197"/>
      <c r="F10001" s="19"/>
      <c r="G10001" s="20"/>
      <c r="H10001" s="217"/>
    </row>
    <row r="10002" spans="1:8" ht="15">
      <c r="A10002" s="211" t="s">
        <v>492</v>
      </c>
      <c r="B10002" s="216" t="str">
        <f ca="1">_xlfn.CONCAT(B9992,A10002)</f>
        <v>8CDADA2-I</v>
      </c>
      <c r="C10002" s="17"/>
      <c r="D10002" s="184"/>
      <c r="E10002" s="197"/>
      <c r="F10002" s="19"/>
      <c r="G10002" s="20"/>
      <c r="H10002" s="217"/>
    </row>
    <row r="10003" spans="1:8" ht="15">
      <c r="A10003" s="211" t="s">
        <v>493</v>
      </c>
      <c r="B10003" s="216" t="str">
        <f ca="1">_xlfn.CONCAT(B9992,A10003)</f>
        <v>8CDADA2-J</v>
      </c>
      <c r="C10003" s="17"/>
      <c r="D10003" s="184"/>
      <c r="E10003" s="197"/>
      <c r="F10003" s="19"/>
      <c r="G10003" s="20"/>
      <c r="H10003" s="217"/>
    </row>
    <row r="10004" spans="1:8">
      <c r="A10004" s="211" t="s">
        <v>494</v>
      </c>
      <c r="B10004" s="216" t="str">
        <f ca="1">_xlfn.CONCAT(B9992,A10004)</f>
        <v>8CDADA2-K</v>
      </c>
      <c r="C10004" s="17"/>
      <c r="D10004" s="184"/>
      <c r="E10004" s="197"/>
      <c r="F10004" s="19"/>
      <c r="G10004" s="20"/>
    </row>
    <row r="10005" spans="1:8">
      <c r="A10005" s="211" t="s">
        <v>495</v>
      </c>
      <c r="B10005" s="216" t="str">
        <f ca="1">_xlfn.CONCAT(B9992,A10005)</f>
        <v>8CDADA2-L</v>
      </c>
      <c r="C10005" s="17"/>
      <c r="D10005" s="184"/>
      <c r="E10005" s="197"/>
      <c r="F10005" s="19"/>
      <c r="G10005" s="20"/>
    </row>
    <row r="10006" spans="1:8">
      <c r="A10006" s="211" t="s">
        <v>496</v>
      </c>
      <c r="B10006" s="216" t="str">
        <f ca="1">_xlfn.CONCAT(B9992,A10006)</f>
        <v>8CDADA2-M</v>
      </c>
      <c r="C10006" s="17"/>
      <c r="D10006" s="184"/>
      <c r="E10006" s="197"/>
      <c r="F10006" s="19"/>
      <c r="G10006" s="20"/>
    </row>
    <row r="10007" spans="1:8">
      <c r="A10007" s="211" t="s">
        <v>497</v>
      </c>
      <c r="B10007" s="216" t="str">
        <f ca="1">_xlfn.CONCAT(B9992,A10007)</f>
        <v>8CDADA2-N</v>
      </c>
      <c r="C10007" s="17"/>
      <c r="D10007" s="184"/>
      <c r="E10007" s="197"/>
      <c r="F10007" s="19"/>
      <c r="G10007" s="20"/>
    </row>
    <row r="10008" spans="1:8">
      <c r="A10008" s="211" t="s">
        <v>498</v>
      </c>
      <c r="B10008" s="216" t="str">
        <f ca="1">_xlfn.CONCAT(B9992,A10008)</f>
        <v>8CDADA2-O</v>
      </c>
      <c r="C10008" s="17"/>
      <c r="D10008" s="184"/>
      <c r="E10008" s="197"/>
      <c r="F10008" s="19"/>
      <c r="G10008" s="20"/>
    </row>
    <row r="10009" spans="1:8">
      <c r="A10009" s="211" t="s">
        <v>499</v>
      </c>
      <c r="B10009" s="216" t="str">
        <f ca="1">_xlfn.CONCAT(B9992,A10009)</f>
        <v>8CDADA2-P</v>
      </c>
      <c r="C10009" s="17"/>
      <c r="D10009" s="184"/>
      <c r="E10009" s="197"/>
      <c r="F10009" s="19"/>
      <c r="G10009" s="20"/>
    </row>
    <row r="10010" spans="1:8">
      <c r="A10010" s="211" t="s">
        <v>500</v>
      </c>
      <c r="B10010" s="216" t="str">
        <f ca="1">_xlfn.CONCAT(B9992,A10010)</f>
        <v>8CDADA2-Q</v>
      </c>
      <c r="C10010" s="17"/>
      <c r="D10010" s="184"/>
      <c r="E10010" s="197"/>
      <c r="F10010" s="19"/>
      <c r="G10010" s="20"/>
    </row>
    <row r="10011" spans="1:8">
      <c r="A10011" s="211" t="s">
        <v>501</v>
      </c>
      <c r="B10011" s="216" t="str">
        <f ca="1">_xlfn.CONCAT(B9992,A10011)</f>
        <v>8CDADA2-R</v>
      </c>
      <c r="C10011" s="17"/>
      <c r="D10011" s="184"/>
      <c r="E10011" s="197"/>
      <c r="F10011" s="19"/>
      <c r="G10011" s="20"/>
    </row>
    <row r="10012" spans="1:8">
      <c r="A10012" s="211" t="s">
        <v>502</v>
      </c>
      <c r="B10012" s="216" t="str">
        <f ca="1">_xlfn.CONCAT(B9992,A10012)</f>
        <v>8CDADA2-S</v>
      </c>
      <c r="C10012" s="17"/>
      <c r="D10012" s="184"/>
      <c r="E10012" s="197"/>
      <c r="F10012" s="19"/>
      <c r="G10012" s="20"/>
    </row>
    <row r="10013" spans="1:8">
      <c r="A10013" s="211" t="s">
        <v>503</v>
      </c>
      <c r="B10013" s="216" t="str">
        <f ca="1">_xlfn.CONCAT(B9992,A10013)</f>
        <v>8CDADA2-T</v>
      </c>
      <c r="C10013" s="17"/>
      <c r="D10013" s="184"/>
      <c r="E10013" s="197"/>
      <c r="F10013" s="19"/>
      <c r="G10013" s="20"/>
    </row>
    <row r="10014" spans="1:8" ht="14.25" thickBot="1">
      <c r="A10014" s="211" t="s">
        <v>504</v>
      </c>
      <c r="B10014" s="216" t="str">
        <f ca="1">_xlfn.CONCAT(B9992,A10014)</f>
        <v>8CDADA2-U</v>
      </c>
      <c r="C10014" s="17"/>
      <c r="D10014" s="184"/>
      <c r="E10014" s="197"/>
      <c r="F10014" s="19"/>
      <c r="G10014" s="20"/>
    </row>
    <row r="10015" spans="1:8" ht="14.25" thickBot="1">
      <c r="A10015" s="211" t="s">
        <v>505</v>
      </c>
      <c r="B10015" s="216" t="str">
        <f ca="1">_xlfn.CONCAT(B9992,A10015)</f>
        <v>8CDADA2-V</v>
      </c>
      <c r="C10015" s="17" t="s">
        <v>17</v>
      </c>
      <c r="D10015" s="192" t="s">
        <v>17</v>
      </c>
      <c r="E10015" s="18"/>
      <c r="F10015" s="22" t="s">
        <v>18</v>
      </c>
      <c r="G10015" s="23">
        <f>SUM(G9994:G10014)</f>
        <v>64286.433333333349</v>
      </c>
    </row>
    <row r="10016" spans="1:8" ht="15.75" thickBot="1">
      <c r="A10016" s="211" t="s">
        <v>506</v>
      </c>
      <c r="B10016" s="216" t="str">
        <f ca="1">_xlfn.CONCAT(B9992,A10016)</f>
        <v>8CDADA2-W</v>
      </c>
      <c r="C10016" s="10" t="s">
        <v>19</v>
      </c>
      <c r="D10016" s="190"/>
      <c r="E10016" s="11"/>
      <c r="F10016" s="12"/>
      <c r="G10016" s="13"/>
    </row>
    <row r="10017" spans="1:7" ht="14.25" thickBot="1">
      <c r="A10017" s="211" t="s">
        <v>507</v>
      </c>
      <c r="B10017" s="216" t="str">
        <f ca="1">_xlfn.CONCAT(B9992,A10017)</f>
        <v>8CDADA2-X</v>
      </c>
      <c r="C10017" s="14" t="s">
        <v>1</v>
      </c>
      <c r="D10017" s="15"/>
      <c r="E10017" s="15" t="s">
        <v>20</v>
      </c>
      <c r="F10017" s="16" t="s">
        <v>21</v>
      </c>
      <c r="G10017" s="15" t="s">
        <v>5</v>
      </c>
    </row>
    <row r="10018" spans="1:7">
      <c r="A10018" s="211" t="s">
        <v>508</v>
      </c>
      <c r="B10018" s="216" t="str">
        <f ca="1">_xlfn.CONCAT(B9992,A10018)</f>
        <v>8CDADA2-Y</v>
      </c>
      <c r="C10018" s="24" t="s">
        <v>22</v>
      </c>
      <c r="D10018" s="184"/>
      <c r="E10018" s="25">
        <f>_xlfn.XLOOKUP(C10018,'H-MO'!B$7:B$30,'H-MO'!D$7:D$30,,0,1)</f>
        <v>2436.5624999999995</v>
      </c>
      <c r="F10018" s="19">
        <v>0.7</v>
      </c>
      <c r="G10018" s="33">
        <f t="shared" ref="G10018:G10023" si="285">+E10018*F10018</f>
        <v>1705.5937499999995</v>
      </c>
    </row>
    <row r="10019" spans="1:7">
      <c r="A10019" s="211" t="s">
        <v>509</v>
      </c>
      <c r="B10019" s="216" t="str">
        <f ca="1">_xlfn.CONCAT(B9992,A10019)</f>
        <v>8CDADA2-Z</v>
      </c>
      <c r="C10019" s="24" t="s">
        <v>23</v>
      </c>
      <c r="D10019" s="184"/>
      <c r="E10019" s="25">
        <f>_xlfn.XLOOKUP(C10019,'H-MO'!B$7:B$30,'H-MO'!D$7:D$30,,0,1)</f>
        <v>1461.9374999999998</v>
      </c>
      <c r="F10019" s="19">
        <v>0.5</v>
      </c>
      <c r="G10019" s="33">
        <f t="shared" si="285"/>
        <v>730.96874999999989</v>
      </c>
    </row>
    <row r="10020" spans="1:7">
      <c r="A10020" s="211" t="s">
        <v>510</v>
      </c>
      <c r="B10020" s="216" t="str">
        <f ca="1">_xlfn.CONCAT(B9992,A10020)</f>
        <v>8CDADA2-aa</v>
      </c>
      <c r="C10020" s="24" t="s">
        <v>24</v>
      </c>
      <c r="D10020" s="185"/>
      <c r="E10020" s="25">
        <f>_xlfn.XLOOKUP(C10020,'H-MO'!B$7:B$30,'H-MO'!D$7:D$30,,0,1)</f>
        <v>29238.749999999996</v>
      </c>
      <c r="F10020" s="28">
        <v>0.06</v>
      </c>
      <c r="G10020" s="33">
        <f t="shared" si="285"/>
        <v>1754.3249999999998</v>
      </c>
    </row>
    <row r="10021" spans="1:7">
      <c r="A10021" s="211" t="s">
        <v>511</v>
      </c>
      <c r="B10021" s="216" t="str">
        <f ca="1">_xlfn.CONCAT(B9992,A10021)</f>
        <v>8CDADA2-ab</v>
      </c>
      <c r="C10021" s="24" t="s">
        <v>25</v>
      </c>
      <c r="D10021" s="185"/>
      <c r="E10021" s="25">
        <f>_xlfn.XLOOKUP(C10021,'H-MO'!B$7:B$30,'H-MO'!D$7:D$30,,0,1)</f>
        <v>2761.4374999999995</v>
      </c>
      <c r="F10021" s="28">
        <v>0.2</v>
      </c>
      <c r="G10021" s="33">
        <f t="shared" si="285"/>
        <v>552.28749999999991</v>
      </c>
    </row>
    <row r="10022" spans="1:7">
      <c r="A10022" s="211" t="s">
        <v>512</v>
      </c>
      <c r="B10022" s="216" t="str">
        <f ca="1">_xlfn.CONCAT(B9992,A10022)</f>
        <v>8CDADA2-ac</v>
      </c>
      <c r="C10022" s="24"/>
      <c r="D10022" s="185"/>
      <c r="E10022" s="29"/>
      <c r="F10022" s="28"/>
      <c r="G10022" s="33">
        <f t="shared" si="285"/>
        <v>0</v>
      </c>
    </row>
    <row r="10023" spans="1:7" ht="14.25" thickBot="1">
      <c r="A10023" s="211" t="s">
        <v>513</v>
      </c>
      <c r="B10023" s="216" t="str">
        <f ca="1">_xlfn.CONCAT(B9992,A10023)</f>
        <v>8CDADA2-ad</v>
      </c>
      <c r="C10023" s="24"/>
      <c r="D10023" s="185"/>
      <c r="E10023" s="29"/>
      <c r="F10023" s="28"/>
      <c r="G10023" s="33">
        <f t="shared" si="285"/>
        <v>0</v>
      </c>
    </row>
    <row r="10024" spans="1:7" ht="14.25" thickBot="1">
      <c r="A10024" s="211" t="s">
        <v>514</v>
      </c>
      <c r="B10024" s="216" t="str">
        <f ca="1">_xlfn.CONCAT(B9992,A10024)</f>
        <v>8CDADA2-ae</v>
      </c>
      <c r="C10024" s="17"/>
      <c r="D10024" s="192"/>
      <c r="E10024" s="18"/>
      <c r="F10024" s="22" t="s">
        <v>26</v>
      </c>
      <c r="G10024" s="23">
        <f>SUM(G10018:G10023)</f>
        <v>4743.1749999999993</v>
      </c>
    </row>
    <row r="10025" spans="1:7" ht="15.75" thickBot="1">
      <c r="A10025" s="211" t="s">
        <v>515</v>
      </c>
      <c r="B10025" s="216" t="str">
        <f ca="1">_xlfn.CONCAT(B9992,A10025)</f>
        <v>8CDADA2-af</v>
      </c>
      <c r="C10025" s="10" t="s">
        <v>27</v>
      </c>
      <c r="D10025" s="190"/>
      <c r="E10025" s="11"/>
      <c r="F10025" s="12"/>
      <c r="G10025" s="13"/>
    </row>
    <row r="10026" spans="1:7" ht="14.25" thickBot="1">
      <c r="A10026" s="211" t="s">
        <v>516</v>
      </c>
      <c r="B10026" s="216" t="str">
        <f ca="1">_xlfn.CONCAT(B9992,A10026)</f>
        <v>8CDADA2-ag</v>
      </c>
      <c r="C10026" s="14" t="s">
        <v>1</v>
      </c>
      <c r="D10026" s="15" t="s">
        <v>28</v>
      </c>
      <c r="E10026" s="15" t="s">
        <v>20</v>
      </c>
      <c r="F10026" s="16" t="s">
        <v>21</v>
      </c>
      <c r="G10026" s="15" t="s">
        <v>5</v>
      </c>
    </row>
    <row r="10027" spans="1:7">
      <c r="A10027" s="211" t="s">
        <v>517</v>
      </c>
      <c r="B10027" s="216" t="str">
        <f ca="1">_xlfn.CONCAT(B9992,A10027)</f>
        <v>8CDADA2-ah</v>
      </c>
      <c r="C10027" s="30" t="s">
        <v>29</v>
      </c>
      <c r="D10027" s="186">
        <f>'H-MO'!$N$77</f>
        <v>725918.52892505517</v>
      </c>
      <c r="E10027" s="31">
        <f>+D10027/8</f>
        <v>90739.816115631897</v>
      </c>
      <c r="F10027" s="32">
        <v>0.7</v>
      </c>
      <c r="G10027" s="33">
        <f>+E10027*F10027</f>
        <v>63517.871280942323</v>
      </c>
    </row>
    <row r="10028" spans="1:7">
      <c r="A10028" s="211" t="s">
        <v>518</v>
      </c>
      <c r="B10028" s="216" t="str">
        <f ca="1">_xlfn.CONCAT(B9992,A10028)</f>
        <v>8CDADA2-ai</v>
      </c>
      <c r="C10028" s="34" t="s">
        <v>30</v>
      </c>
      <c r="D10028" s="187">
        <f>'H-MO'!$N$86</f>
        <v>685561.39085756091</v>
      </c>
      <c r="E10028" s="29">
        <f>+D10028/8</f>
        <v>85695.173857195114</v>
      </c>
      <c r="F10028" s="28">
        <v>0</v>
      </c>
      <c r="G10028" s="33">
        <f>+E10028*F10028</f>
        <v>0</v>
      </c>
    </row>
    <row r="10029" spans="1:7" ht="14.25" thickBot="1">
      <c r="A10029" s="211" t="s">
        <v>519</v>
      </c>
      <c r="B10029" s="216" t="str">
        <f ca="1">_xlfn.CONCAT(B9992,A10029)</f>
        <v>8CDADA2-aj</v>
      </c>
      <c r="C10029" s="34"/>
      <c r="D10029" s="187"/>
      <c r="E10029" s="29"/>
      <c r="F10029" s="28"/>
      <c r="G10029" s="33">
        <f>+E10029*F10029</f>
        <v>0</v>
      </c>
    </row>
    <row r="10030" spans="1:7" ht="14.25" thickBot="1">
      <c r="A10030" s="211" t="s">
        <v>520</v>
      </c>
      <c r="B10030" s="216" t="str">
        <f ca="1">_xlfn.CONCAT(B9992,A10030)</f>
        <v>8CDADA2-ak</v>
      </c>
      <c r="C10030" s="34"/>
      <c r="D10030" s="185"/>
      <c r="E10030" s="26"/>
      <c r="F10030" s="36" t="s">
        <v>31</v>
      </c>
      <c r="G10030" s="23">
        <f>SUM(G10027:G10029)</f>
        <v>63517.871280942323</v>
      </c>
    </row>
    <row r="10031" spans="1:7" ht="14.25" thickBot="1">
      <c r="A10031" s="211" t="s">
        <v>521</v>
      </c>
      <c r="B10031" s="216" t="str">
        <f ca="1">_xlfn.CONCAT(B9992,A10031)</f>
        <v>8CDADA2-al</v>
      </c>
      <c r="C10031" s="37"/>
      <c r="E10031" s="38"/>
      <c r="F10031" s="22"/>
      <c r="G10031" s="39"/>
    </row>
    <row r="10032" spans="1:7" ht="16.5" thickBot="1">
      <c r="A10032" s="211" t="s">
        <v>522</v>
      </c>
      <c r="B10032" s="216" t="str">
        <f ca="1">_xlfn.CONCAT(B9992,A10032)</f>
        <v>8CDADA2-am</v>
      </c>
      <c r="C10032" s="40"/>
      <c r="D10032" s="193"/>
      <c r="E10032" s="41"/>
      <c r="F10032" s="42"/>
      <c r="G10032" s="43">
        <f>+G10015+G10024+G10030</f>
        <v>132547.47961427568</v>
      </c>
    </row>
    <row r="10033" spans="1:8" ht="21.75" thickBot="1">
      <c r="B10033" s="212" t="s">
        <v>550</v>
      </c>
      <c r="C10033" s="2"/>
      <c r="D10033" s="183"/>
      <c r="F10033" s="4"/>
      <c r="G10033" s="5"/>
    </row>
    <row r="10034" spans="1:8" ht="18.75">
      <c r="A10034" s="213"/>
      <c r="B10034" s="214">
        <v>228</v>
      </c>
      <c r="C10034" s="242" t="str">
        <f ca="1">_xlfn.XLOOKUP(B10034,Cantidades!$A$10:$A$314,Cantidades!$C$10:$C$314,,0,1)</f>
        <v xml:space="preserve">Suministro e instalación de Acometida 3#4+1#6+1#6T, Al </v>
      </c>
      <c r="D10034" s="243"/>
      <c r="E10034" s="243"/>
      <c r="F10034" s="243"/>
      <c r="G10034" s="244"/>
    </row>
    <row r="10035" spans="1:8" ht="19.5" thickBot="1">
      <c r="A10035" s="215"/>
      <c r="B10035" s="216" t="s">
        <v>550</v>
      </c>
      <c r="C10035" s="177"/>
      <c r="D10035" s="189"/>
      <c r="E10035" s="178"/>
      <c r="F10035" s="179" t="s">
        <v>636</v>
      </c>
      <c r="G10035" s="209" t="str">
        <f ca="1">B10036</f>
        <v>227C081-</v>
      </c>
    </row>
    <row r="10036" spans="1:8" ht="15.75" thickBot="1">
      <c r="B10036" s="212" t="str">
        <f ca="1">_xlfn.XLOOKUP(C10034,Cantidades!$C$1:$C$314,Cantidades!$B$1:$B$314,"",0,1)</f>
        <v>227C081-</v>
      </c>
      <c r="C10036" s="10" t="s">
        <v>0</v>
      </c>
      <c r="D10036" s="190"/>
      <c r="E10036" s="11"/>
      <c r="F10036" s="12"/>
      <c r="G10036" s="13"/>
    </row>
    <row r="10037" spans="1:8" ht="14.25" thickBot="1">
      <c r="A10037" s="215"/>
      <c r="B10037" s="216" t="s">
        <v>550</v>
      </c>
      <c r="C10037" s="14" t="s">
        <v>1</v>
      </c>
      <c r="D10037" s="15" t="s">
        <v>2</v>
      </c>
      <c r="E10037" s="15" t="s">
        <v>3</v>
      </c>
      <c r="F10037" s="16" t="s">
        <v>4</v>
      </c>
      <c r="G10037" s="15" t="s">
        <v>5</v>
      </c>
    </row>
    <row r="10038" spans="1:8">
      <c r="A10038" s="211" t="s">
        <v>484</v>
      </c>
      <c r="B10038" s="216" t="str">
        <f ca="1">_xlfn.CONCAT(B10036,A10038)</f>
        <v>227C081-A</v>
      </c>
      <c r="C10038" s="17" t="str">
        <f>_xlfn.XLOOKUP(H10038,'Materiales unitario'!$A$1:$A$2500,'Materiales unitario'!B$1:B$2500,,0,1)</f>
        <v>Cable de Aluminio aislado #4 AWG - THHN/THWN</v>
      </c>
      <c r="D10038" s="184" t="str">
        <f>_xlfn.XLOOKUP(H10038,'Materiales unitario'!A$1:A$2500,'Materiales unitario'!C$1:C$2500,,0,1)</f>
        <v>ml</v>
      </c>
      <c r="E10038" s="197">
        <f>_xlfn.XLOOKUP(H10038,'Materiales unitario'!$A$1:$A$2500,'Materiales unitario'!D$1:D$2500,,0,1)</f>
        <v>3870</v>
      </c>
      <c r="F10038" s="19">
        <v>3.15</v>
      </c>
      <c r="G10038" s="20">
        <f>+E10038*F10038</f>
        <v>12190.5</v>
      </c>
      <c r="H10038" s="211" t="s">
        <v>260</v>
      </c>
    </row>
    <row r="10039" spans="1:8">
      <c r="A10039" s="211" t="s">
        <v>485</v>
      </c>
      <c r="B10039" s="216" t="str">
        <f ca="1">_xlfn.CONCAT(B10036,A10039)</f>
        <v>227C081-B</v>
      </c>
      <c r="C10039" s="17" t="str">
        <f>_xlfn.XLOOKUP(H10039,'Materiales unitario'!$A$1:$A$2500,'Materiales unitario'!B$1:B$2500,,0,1)</f>
        <v>Borna bimetálica de ojo tipo pala #4 AWG</v>
      </c>
      <c r="D10039" s="184" t="str">
        <f>_xlfn.XLOOKUP(H10039,'Materiales unitario'!A$1:A$2500,'Materiales unitario'!C$1:C$2500,,0,1)</f>
        <v>un</v>
      </c>
      <c r="E10039" s="197">
        <f>_xlfn.XLOOKUP(H10039,'Materiales unitario'!$A$1:$A$2500,'Materiales unitario'!D$1:D$2500,,0,1)</f>
        <v>3460</v>
      </c>
      <c r="F10039" s="19">
        <v>0.3</v>
      </c>
      <c r="G10039" s="20">
        <f>+E10039*F10039</f>
        <v>1038</v>
      </c>
      <c r="H10039" s="211" t="s">
        <v>245</v>
      </c>
    </row>
    <row r="10040" spans="1:8">
      <c r="A10040" s="211" t="s">
        <v>486</v>
      </c>
      <c r="B10040" s="216" t="str">
        <f ca="1">_xlfn.CONCAT(B10036,A10040)</f>
        <v>227C081-C</v>
      </c>
      <c r="C10040" s="17" t="str">
        <f>_xlfn.XLOOKUP(H10040,'Materiales unitario'!$A$1:$A$2500,'Materiales unitario'!B$1:B$2500,,0,1)</f>
        <v>Cable de Aluminio aislado #6 AWG - THHN/THWN</v>
      </c>
      <c r="D10040" s="184" t="str">
        <f>_xlfn.XLOOKUP(H10040,'Materiales unitario'!A$1:A$2500,'Materiales unitario'!C$1:C$2500,,0,1)</f>
        <v>ml</v>
      </c>
      <c r="E10040" s="197">
        <f>_xlfn.XLOOKUP(H10040,'Materiales unitario'!$A$1:$A$2500,'Materiales unitario'!D$1:D$2500,,0,1)</f>
        <v>3213</v>
      </c>
      <c r="F10040" s="19">
        <v>2.1</v>
      </c>
      <c r="G10040" s="20">
        <f>+E10040*F10040</f>
        <v>6747.3</v>
      </c>
      <c r="H10040" s="211" t="s">
        <v>262</v>
      </c>
    </row>
    <row r="10041" spans="1:8">
      <c r="A10041" s="211" t="s">
        <v>487</v>
      </c>
      <c r="B10041" s="216" t="str">
        <f ca="1">_xlfn.CONCAT(B10036,A10041)</f>
        <v>227C081-D</v>
      </c>
      <c r="C10041" s="17" t="str">
        <f>_xlfn.XLOOKUP(H10041,'Materiales unitario'!$A$1:$A$2500,'Materiales unitario'!B$1:B$2500,,0,1)</f>
        <v>Borna bimetálica de ojo tipo pala #6 AWG</v>
      </c>
      <c r="D10041" s="184" t="str">
        <f>_xlfn.XLOOKUP(H10041,'Materiales unitario'!A$1:A$2500,'Materiales unitario'!C$1:C$2500,,0,1)</f>
        <v>un</v>
      </c>
      <c r="E10041" s="197">
        <f>_xlfn.XLOOKUP(H10041,'Materiales unitario'!$A$1:$A$2500,'Materiales unitario'!D$1:D$2500,,0,1)</f>
        <v>3094</v>
      </c>
      <c r="F10041" s="19">
        <v>0.2</v>
      </c>
      <c r="G10041" s="20">
        <f t="shared" ref="G10041:G10042" si="286">+E10041*F10041</f>
        <v>618.80000000000007</v>
      </c>
      <c r="H10041" s="211" t="s">
        <v>247</v>
      </c>
    </row>
    <row r="10042" spans="1:8">
      <c r="A10042" s="211" t="s">
        <v>488</v>
      </c>
      <c r="B10042" s="216" t="str">
        <f ca="1">_xlfn.CONCAT(B10036,A10042)</f>
        <v>227C081-E</v>
      </c>
      <c r="C10042" s="17" t="str">
        <f>_xlfn.XLOOKUP(H10042,'Materiales unitario'!$A$1:$A$2500,'Materiales unitario'!B$1:B$2500,,0,1)</f>
        <v>Termoencogible</v>
      </c>
      <c r="D10042" s="184" t="str">
        <f>_xlfn.XLOOKUP(H10042,'Materiales unitario'!A$1:A$2500,'Materiales unitario'!C$1:C$2500,,0,1)</f>
        <v>un</v>
      </c>
      <c r="E10042" s="197">
        <f>_xlfn.XLOOKUP(H10042,'Materiales unitario'!$A$1:$A$2500,'Materiales unitario'!D$1:D$2500,,0,1)</f>
        <v>5000</v>
      </c>
      <c r="F10042" s="19">
        <v>0.1</v>
      </c>
      <c r="G10042" s="20">
        <f t="shared" si="286"/>
        <v>500</v>
      </c>
      <c r="H10042" s="211" t="s">
        <v>373</v>
      </c>
    </row>
    <row r="10043" spans="1:8">
      <c r="A10043" s="211" t="s">
        <v>489</v>
      </c>
      <c r="B10043" s="216" t="str">
        <f ca="1">_xlfn.CONCAT(B10036,A10043)</f>
        <v>227C081-F</v>
      </c>
      <c r="C10043" s="17"/>
      <c r="D10043" s="184"/>
      <c r="E10043" s="197"/>
      <c r="F10043" s="19"/>
      <c r="G10043" s="20"/>
    </row>
    <row r="10044" spans="1:8">
      <c r="A10044" s="211" t="s">
        <v>490</v>
      </c>
      <c r="B10044" s="216" t="str">
        <f ca="1">_xlfn.CONCAT(B10036,A10044)</f>
        <v>227C081-G</v>
      </c>
      <c r="C10044" s="17"/>
      <c r="D10044" s="184"/>
      <c r="E10044" s="197"/>
      <c r="F10044" s="19"/>
      <c r="G10044" s="20"/>
    </row>
    <row r="10045" spans="1:8">
      <c r="A10045" s="211" t="s">
        <v>491</v>
      </c>
      <c r="B10045" s="216" t="str">
        <f ca="1">_xlfn.CONCAT(B10036,A10045)</f>
        <v>227C081-H</v>
      </c>
      <c r="C10045" s="17"/>
      <c r="D10045" s="184"/>
      <c r="E10045" s="197"/>
      <c r="F10045" s="19"/>
      <c r="G10045" s="20"/>
    </row>
    <row r="10046" spans="1:8">
      <c r="A10046" s="211" t="s">
        <v>492</v>
      </c>
      <c r="B10046" s="216" t="str">
        <f ca="1">_xlfn.CONCAT(B10036,A10046)</f>
        <v>227C081-I</v>
      </c>
      <c r="C10046" s="17"/>
      <c r="D10046" s="184"/>
      <c r="E10046" s="197"/>
      <c r="F10046" s="19"/>
      <c r="G10046" s="20"/>
    </row>
    <row r="10047" spans="1:8">
      <c r="A10047" s="211" t="s">
        <v>493</v>
      </c>
      <c r="B10047" s="216" t="str">
        <f ca="1">_xlfn.CONCAT(B10036,A10047)</f>
        <v>227C081-J</v>
      </c>
      <c r="C10047" s="17"/>
      <c r="D10047" s="184"/>
      <c r="E10047" s="197"/>
      <c r="F10047" s="19"/>
      <c r="G10047" s="20"/>
    </row>
    <row r="10048" spans="1:8">
      <c r="A10048" s="211" t="s">
        <v>494</v>
      </c>
      <c r="B10048" s="216" t="str">
        <f ca="1">_xlfn.CONCAT(B10036,A10048)</f>
        <v>227C081-K</v>
      </c>
      <c r="C10048" s="17"/>
      <c r="D10048" s="184"/>
      <c r="E10048" s="197"/>
      <c r="F10048" s="19"/>
      <c r="G10048" s="20"/>
    </row>
    <row r="10049" spans="1:7">
      <c r="A10049" s="211" t="s">
        <v>495</v>
      </c>
      <c r="B10049" s="216" t="str">
        <f ca="1">_xlfn.CONCAT(B10036,A10049)</f>
        <v>227C081-L</v>
      </c>
      <c r="C10049" s="17"/>
      <c r="D10049" s="184"/>
      <c r="E10049" s="197"/>
      <c r="F10049" s="19"/>
      <c r="G10049" s="20"/>
    </row>
    <row r="10050" spans="1:7">
      <c r="A10050" s="211" t="s">
        <v>496</v>
      </c>
      <c r="B10050" s="216" t="str">
        <f ca="1">_xlfn.CONCAT(B10036,A10050)</f>
        <v>227C081-M</v>
      </c>
      <c r="C10050" s="17"/>
      <c r="D10050" s="184"/>
      <c r="E10050" s="197"/>
      <c r="F10050" s="19"/>
      <c r="G10050" s="20"/>
    </row>
    <row r="10051" spans="1:7">
      <c r="A10051" s="211" t="s">
        <v>497</v>
      </c>
      <c r="B10051" s="216" t="str">
        <f ca="1">_xlfn.CONCAT(B10036,A10051)</f>
        <v>227C081-N</v>
      </c>
      <c r="C10051" s="17"/>
      <c r="D10051" s="184"/>
      <c r="E10051" s="197"/>
      <c r="F10051" s="19"/>
      <c r="G10051" s="20"/>
    </row>
    <row r="10052" spans="1:7">
      <c r="A10052" s="211" t="s">
        <v>498</v>
      </c>
      <c r="B10052" s="216" t="str">
        <f ca="1">_xlfn.CONCAT(B10036,A10052)</f>
        <v>227C081-O</v>
      </c>
      <c r="C10052" s="17"/>
      <c r="D10052" s="184"/>
      <c r="E10052" s="197"/>
      <c r="F10052" s="19"/>
      <c r="G10052" s="20"/>
    </row>
    <row r="10053" spans="1:7">
      <c r="A10053" s="211" t="s">
        <v>499</v>
      </c>
      <c r="B10053" s="216" t="str">
        <f ca="1">_xlfn.CONCAT(B10036,A10053)</f>
        <v>227C081-P</v>
      </c>
      <c r="C10053" s="17"/>
      <c r="D10053" s="184"/>
      <c r="E10053" s="197"/>
      <c r="F10053" s="19"/>
      <c r="G10053" s="20"/>
    </row>
    <row r="10054" spans="1:7">
      <c r="A10054" s="211" t="s">
        <v>500</v>
      </c>
      <c r="B10054" s="216" t="str">
        <f ca="1">_xlfn.CONCAT(B10036,A10054)</f>
        <v>227C081-Q</v>
      </c>
      <c r="C10054" s="17"/>
      <c r="D10054" s="184"/>
      <c r="E10054" s="197"/>
      <c r="F10054" s="19"/>
      <c r="G10054" s="20"/>
    </row>
    <row r="10055" spans="1:7">
      <c r="A10055" s="211" t="s">
        <v>501</v>
      </c>
      <c r="B10055" s="216" t="str">
        <f ca="1">_xlfn.CONCAT(B10036,A10055)</f>
        <v>227C081-R</v>
      </c>
      <c r="C10055" s="17"/>
      <c r="D10055" s="184"/>
      <c r="E10055" s="197"/>
      <c r="F10055" s="19"/>
      <c r="G10055" s="20"/>
    </row>
    <row r="10056" spans="1:7">
      <c r="A10056" s="211" t="s">
        <v>502</v>
      </c>
      <c r="B10056" s="216" t="str">
        <f ca="1">_xlfn.CONCAT(B10036,A10056)</f>
        <v>227C081-S</v>
      </c>
      <c r="C10056" s="17"/>
      <c r="D10056" s="184"/>
      <c r="E10056" s="197"/>
      <c r="F10056" s="19"/>
      <c r="G10056" s="20"/>
    </row>
    <row r="10057" spans="1:7">
      <c r="A10057" s="211" t="s">
        <v>503</v>
      </c>
      <c r="B10057" s="216" t="str">
        <f ca="1">_xlfn.CONCAT(B10036,A10057)</f>
        <v>227C081-T</v>
      </c>
      <c r="C10057" s="17"/>
      <c r="D10057" s="184"/>
      <c r="E10057" s="197"/>
      <c r="F10057" s="19"/>
      <c r="G10057" s="20"/>
    </row>
    <row r="10058" spans="1:7" ht="14.25" thickBot="1">
      <c r="A10058" s="211" t="s">
        <v>504</v>
      </c>
      <c r="B10058" s="216" t="str">
        <f ca="1">_xlfn.CONCAT(B10036,A10058)</f>
        <v>227C081-U</v>
      </c>
      <c r="C10058" s="17"/>
      <c r="D10058" s="184"/>
      <c r="E10058" s="197"/>
      <c r="F10058" s="19"/>
      <c r="G10058" s="20"/>
    </row>
    <row r="10059" spans="1:7" ht="14.25" thickBot="1">
      <c r="A10059" s="211" t="s">
        <v>505</v>
      </c>
      <c r="B10059" s="216" t="str">
        <f ca="1">_xlfn.CONCAT(B10036,A10059)</f>
        <v>227C081-V</v>
      </c>
      <c r="C10059" s="17" t="s">
        <v>17</v>
      </c>
      <c r="D10059" s="192" t="s">
        <v>17</v>
      </c>
      <c r="E10059" s="18"/>
      <c r="F10059" s="22" t="s">
        <v>18</v>
      </c>
      <c r="G10059" s="23">
        <f>SUM(G10038:G10058)</f>
        <v>21094.6</v>
      </c>
    </row>
    <row r="10060" spans="1:7" ht="15.75" thickBot="1">
      <c r="A10060" s="211" t="s">
        <v>506</v>
      </c>
      <c r="B10060" s="216" t="str">
        <f ca="1">_xlfn.CONCAT(B10036,A10060)</f>
        <v>227C081-W</v>
      </c>
      <c r="C10060" s="10" t="s">
        <v>19</v>
      </c>
      <c r="D10060" s="190"/>
      <c r="E10060" s="11"/>
      <c r="F10060" s="12"/>
      <c r="G10060" s="13"/>
    </row>
    <row r="10061" spans="1:7" ht="14.25" thickBot="1">
      <c r="A10061" s="211" t="s">
        <v>507</v>
      </c>
      <c r="B10061" s="216" t="str">
        <f ca="1">_xlfn.CONCAT(B10036,A10061)</f>
        <v>227C081-X</v>
      </c>
      <c r="C10061" s="14" t="s">
        <v>1</v>
      </c>
      <c r="D10061" s="15"/>
      <c r="E10061" s="15" t="s">
        <v>20</v>
      </c>
      <c r="F10061" s="16" t="s">
        <v>21</v>
      </c>
      <c r="G10061" s="15" t="s">
        <v>5</v>
      </c>
    </row>
    <row r="10062" spans="1:7">
      <c r="A10062" s="211" t="s">
        <v>508</v>
      </c>
      <c r="B10062" s="216" t="str">
        <f ca="1">_xlfn.CONCAT(B10036,A10062)</f>
        <v>227C081-Y</v>
      </c>
      <c r="C10062" s="24" t="s">
        <v>22</v>
      </c>
      <c r="D10062" s="184"/>
      <c r="E10062" s="25">
        <f>_xlfn.XLOOKUP(C10062,'H-MO'!B$7:B$30,'H-MO'!D$7:D$30,,0,1)</f>
        <v>2436.5624999999995</v>
      </c>
      <c r="F10062" s="19">
        <v>0.5</v>
      </c>
      <c r="G10062" s="33">
        <f t="shared" ref="G10062:G10067" si="287">+E10062*F10062</f>
        <v>1218.2812499999998</v>
      </c>
    </row>
    <row r="10063" spans="1:7">
      <c r="A10063" s="211" t="s">
        <v>509</v>
      </c>
      <c r="B10063" s="216" t="str">
        <f ca="1">_xlfn.CONCAT(B10036,A10063)</f>
        <v>227C081-Z</v>
      </c>
      <c r="C10063" s="24" t="s">
        <v>23</v>
      </c>
      <c r="D10063" s="184"/>
      <c r="E10063" s="25">
        <f>_xlfn.XLOOKUP(C10063,'H-MO'!B$7:B$30,'H-MO'!D$7:D$30,,0,1)</f>
        <v>1461.9374999999998</v>
      </c>
      <c r="F10063" s="19">
        <v>0.04</v>
      </c>
      <c r="G10063" s="33">
        <f t="shared" si="287"/>
        <v>58.477499999999992</v>
      </c>
    </row>
    <row r="10064" spans="1:7">
      <c r="A10064" s="211" t="s">
        <v>510</v>
      </c>
      <c r="B10064" s="216" t="str">
        <f ca="1">_xlfn.CONCAT(B10036,A10064)</f>
        <v>227C081-aa</v>
      </c>
      <c r="C10064" s="24" t="s">
        <v>24</v>
      </c>
      <c r="D10064" s="185"/>
      <c r="E10064" s="25">
        <f>_xlfn.XLOOKUP(C10064,'H-MO'!B$7:B$30,'H-MO'!D$7:D$30,,0,1)</f>
        <v>29238.749999999996</v>
      </c>
      <c r="F10064" s="28">
        <v>0.1</v>
      </c>
      <c r="G10064" s="33">
        <f t="shared" si="287"/>
        <v>2923.875</v>
      </c>
    </row>
    <row r="10065" spans="1:7">
      <c r="A10065" s="211" t="s">
        <v>511</v>
      </c>
      <c r="B10065" s="216" t="str">
        <f ca="1">_xlfn.CONCAT(B10036,A10065)</f>
        <v>227C081-ab</v>
      </c>
      <c r="C10065" s="24" t="s">
        <v>25</v>
      </c>
      <c r="D10065" s="185"/>
      <c r="E10065" s="25">
        <f>_xlfn.XLOOKUP(C10065,'H-MO'!B$7:B$30,'H-MO'!D$7:D$30,,0,1)</f>
        <v>2761.4374999999995</v>
      </c>
      <c r="F10065" s="28">
        <v>0.5</v>
      </c>
      <c r="G10065" s="33">
        <f t="shared" si="287"/>
        <v>1380.7187499999998</v>
      </c>
    </row>
    <row r="10066" spans="1:7">
      <c r="A10066" s="211" t="s">
        <v>512</v>
      </c>
      <c r="B10066" s="216" t="str">
        <f ca="1">_xlfn.CONCAT(B10036,A10066)</f>
        <v>227C081-ac</v>
      </c>
      <c r="C10066" s="24"/>
      <c r="D10066" s="185"/>
      <c r="E10066" s="29"/>
      <c r="F10066" s="28"/>
      <c r="G10066" s="33">
        <f t="shared" si="287"/>
        <v>0</v>
      </c>
    </row>
    <row r="10067" spans="1:7" ht="14.25" thickBot="1">
      <c r="A10067" s="211" t="s">
        <v>513</v>
      </c>
      <c r="B10067" s="216" t="str">
        <f ca="1">_xlfn.CONCAT(B10036,A10067)</f>
        <v>227C081-ad</v>
      </c>
      <c r="C10067" s="24"/>
      <c r="D10067" s="185"/>
      <c r="E10067" s="29"/>
      <c r="F10067" s="28"/>
      <c r="G10067" s="33">
        <f t="shared" si="287"/>
        <v>0</v>
      </c>
    </row>
    <row r="10068" spans="1:7" ht="14.25" thickBot="1">
      <c r="A10068" s="211" t="s">
        <v>514</v>
      </c>
      <c r="B10068" s="216" t="str">
        <f ca="1">_xlfn.CONCAT(B10036,A10068)</f>
        <v>227C081-ae</v>
      </c>
      <c r="C10068" s="17"/>
      <c r="D10068" s="192"/>
      <c r="E10068" s="18"/>
      <c r="F10068" s="22" t="s">
        <v>26</v>
      </c>
      <c r="G10068" s="23">
        <f>SUM(G10062:G10067)</f>
        <v>5581.3525</v>
      </c>
    </row>
    <row r="10069" spans="1:7" ht="15.75" thickBot="1">
      <c r="A10069" s="211" t="s">
        <v>515</v>
      </c>
      <c r="B10069" s="216" t="str">
        <f ca="1">_xlfn.CONCAT(B10036,A10069)</f>
        <v>227C081-af</v>
      </c>
      <c r="C10069" s="10" t="s">
        <v>27</v>
      </c>
      <c r="D10069" s="190"/>
      <c r="E10069" s="11"/>
      <c r="F10069" s="12"/>
      <c r="G10069" s="13"/>
    </row>
    <row r="10070" spans="1:7" ht="14.25" thickBot="1">
      <c r="A10070" s="211" t="s">
        <v>516</v>
      </c>
      <c r="B10070" s="216" t="str">
        <f ca="1">_xlfn.CONCAT(B10036,A10070)</f>
        <v>227C081-ag</v>
      </c>
      <c r="C10070" s="14" t="s">
        <v>1</v>
      </c>
      <c r="D10070" s="15" t="s">
        <v>28</v>
      </c>
      <c r="E10070" s="15" t="s">
        <v>20</v>
      </c>
      <c r="F10070" s="16" t="s">
        <v>21</v>
      </c>
      <c r="G10070" s="15" t="s">
        <v>5</v>
      </c>
    </row>
    <row r="10071" spans="1:7">
      <c r="A10071" s="211" t="s">
        <v>517</v>
      </c>
      <c r="B10071" s="216" t="str">
        <f ca="1">_xlfn.CONCAT(B10036,A10071)</f>
        <v>227C081-ah</v>
      </c>
      <c r="C10071" s="30" t="s">
        <v>29</v>
      </c>
      <c r="D10071" s="186">
        <f>'H-MO'!$N$77</f>
        <v>725918.52892505517</v>
      </c>
      <c r="E10071" s="31">
        <f>+D10071/8</f>
        <v>90739.816115631897</v>
      </c>
      <c r="F10071" s="32">
        <v>0.16</v>
      </c>
      <c r="G10071" s="33">
        <f>+E10071*F10071</f>
        <v>14518.370578501104</v>
      </c>
    </row>
    <row r="10072" spans="1:7">
      <c r="A10072" s="211" t="s">
        <v>518</v>
      </c>
      <c r="B10072" s="216" t="str">
        <f ca="1">_xlfn.CONCAT(B10036,A10072)</f>
        <v>227C081-ai</v>
      </c>
      <c r="C10072" s="34" t="s">
        <v>30</v>
      </c>
      <c r="D10072" s="187">
        <f>'H-MO'!$N$86</f>
        <v>685561.39085756091</v>
      </c>
      <c r="E10072" s="29">
        <f>+D10072/8</f>
        <v>85695.173857195114</v>
      </c>
      <c r="F10072" s="28"/>
      <c r="G10072" s="33">
        <f>+E10072*F10072</f>
        <v>0</v>
      </c>
    </row>
    <row r="10073" spans="1:7" ht="14.25" thickBot="1">
      <c r="A10073" s="211" t="s">
        <v>519</v>
      </c>
      <c r="B10073" s="216" t="str">
        <f ca="1">_xlfn.CONCAT(B10036,A10073)</f>
        <v>227C081-aj</v>
      </c>
      <c r="C10073" s="34"/>
      <c r="D10073" s="187"/>
      <c r="E10073" s="29"/>
      <c r="F10073" s="28"/>
      <c r="G10073" s="33">
        <f>+E10073*F10073</f>
        <v>0</v>
      </c>
    </row>
    <row r="10074" spans="1:7" ht="14.25" thickBot="1">
      <c r="A10074" s="211" t="s">
        <v>520</v>
      </c>
      <c r="B10074" s="216" t="str">
        <f ca="1">_xlfn.CONCAT(B10036,A10074)</f>
        <v>227C081-ak</v>
      </c>
      <c r="C10074" s="34"/>
      <c r="D10074" s="185"/>
      <c r="E10074" s="26"/>
      <c r="F10074" s="36" t="s">
        <v>31</v>
      </c>
      <c r="G10074" s="23">
        <f>SUM(G10071:G10073)</f>
        <v>14518.370578501104</v>
      </c>
    </row>
    <row r="10075" spans="1:7" ht="14.25" thickBot="1">
      <c r="A10075" s="211" t="s">
        <v>521</v>
      </c>
      <c r="B10075" s="216" t="str">
        <f ca="1">_xlfn.CONCAT(B10036,A10075)</f>
        <v>227C081-al</v>
      </c>
      <c r="C10075" s="37"/>
      <c r="E10075" s="38"/>
      <c r="F10075" s="22"/>
      <c r="G10075" s="39"/>
    </row>
    <row r="10076" spans="1:7" ht="16.5" thickBot="1">
      <c r="A10076" s="211" t="s">
        <v>522</v>
      </c>
      <c r="B10076" s="216" t="str">
        <f ca="1">_xlfn.CONCAT(B10036,A10076)</f>
        <v>227C081-am</v>
      </c>
      <c r="C10076" s="40"/>
      <c r="D10076" s="193"/>
      <c r="E10076" s="41"/>
      <c r="F10076" s="42"/>
      <c r="G10076" s="43">
        <f>+G10059+G10068+G10074</f>
        <v>41194.323078501104</v>
      </c>
    </row>
    <row r="10077" spans="1:7" ht="21.75" thickBot="1">
      <c r="B10077" s="212" t="s">
        <v>550</v>
      </c>
      <c r="C10077" s="2"/>
      <c r="D10077" s="183"/>
      <c r="F10077" s="4"/>
      <c r="G10077" s="5"/>
    </row>
    <row r="10078" spans="1:7" ht="18.75">
      <c r="A10078" s="213"/>
      <c r="B10078" s="214">
        <v>229</v>
      </c>
      <c r="C10078" s="242" t="str">
        <f ca="1">_xlfn.XLOOKUP(B10078,Cantidades!$A$10:$A$314,Cantidades!$C$10:$C$314,,0,1)</f>
        <v>Suministro e instalación de alambron de aluminio 8 mm anillo superior y conexionado. Incluye elementos de conexionado y soporte.</v>
      </c>
      <c r="D10078" s="243"/>
      <c r="E10078" s="243"/>
      <c r="F10078" s="243"/>
      <c r="G10078" s="244"/>
    </row>
    <row r="10079" spans="1:7" ht="19.5" thickBot="1">
      <c r="A10079" s="215"/>
      <c r="B10079" s="216" t="s">
        <v>550</v>
      </c>
      <c r="C10079" s="177"/>
      <c r="D10079" s="189"/>
      <c r="E10079" s="178"/>
      <c r="F10079" s="179" t="s">
        <v>636</v>
      </c>
      <c r="G10079" s="209" t="str">
        <f ca="1">B10080</f>
        <v>2264E124-</v>
      </c>
    </row>
    <row r="10080" spans="1:7" ht="15.75" thickBot="1">
      <c r="B10080" s="212" t="str">
        <f ca="1">_xlfn.XLOOKUP(C10078,Cantidades!$C$1:$C$314,Cantidades!$B$1:$B$314,"",0,1)</f>
        <v>2264E124-</v>
      </c>
      <c r="C10080" s="10" t="s">
        <v>0</v>
      </c>
      <c r="D10080" s="190"/>
      <c r="E10080" s="11"/>
      <c r="F10080" s="12"/>
      <c r="G10080" s="13"/>
    </row>
    <row r="10081" spans="1:8" ht="14.25" thickBot="1">
      <c r="A10081" s="215"/>
      <c r="B10081" s="216" t="s">
        <v>550</v>
      </c>
      <c r="C10081" s="14" t="s">
        <v>1</v>
      </c>
      <c r="D10081" s="15" t="s">
        <v>2</v>
      </c>
      <c r="E10081" s="15" t="s">
        <v>3</v>
      </c>
      <c r="F10081" s="16" t="s">
        <v>4</v>
      </c>
      <c r="G10081" s="15" t="s">
        <v>5</v>
      </c>
    </row>
    <row r="10082" spans="1:8">
      <c r="A10082" s="211" t="s">
        <v>484</v>
      </c>
      <c r="B10082" s="216" t="str">
        <f ca="1">_xlfn.CONCAT(B10080,A10082)</f>
        <v>2264E124-A</v>
      </c>
      <c r="C10082" s="17" t="str">
        <f>_xlfn.XLOOKUP(H10082,'Materiales unitario'!$A$1:$A$2500,'Materiales unitario'!B$1:B$2500,,0,1)</f>
        <v>Alambron de aluminio 8mm</v>
      </c>
      <c r="D10082" s="184" t="str">
        <f>_xlfn.XLOOKUP(H10082,'Materiales unitario'!A$1:A$2500,'Materiales unitario'!C$1:C$2500,,0,1)</f>
        <v>ml</v>
      </c>
      <c r="E10082" s="197">
        <f>_xlfn.XLOOKUP(H10082,'Materiales unitario'!$A$1:$A$2500,'Materiales unitario'!D$1:D$2500,,0,1)</f>
        <v>5270</v>
      </c>
      <c r="F10082" s="19">
        <v>1</v>
      </c>
      <c r="G10082" s="20">
        <f>+E10082*F10082</f>
        <v>5270</v>
      </c>
      <c r="H10082" s="211" t="s">
        <v>228</v>
      </c>
    </row>
    <row r="10083" spans="1:8">
      <c r="A10083" s="211" t="s">
        <v>485</v>
      </c>
      <c r="B10083" s="216" t="str">
        <f ca="1">_xlfn.CONCAT(B10080,A10083)</f>
        <v>2264E124-B</v>
      </c>
      <c r="C10083" s="17" t="str">
        <f>_xlfn.XLOOKUP(H10083,'Materiales unitario'!$A$1:$A$2500,'Materiales unitario'!B$1:B$2500,,0,1)</f>
        <v>Accesorios de anclaje y fijacion.</v>
      </c>
      <c r="D10083" s="184" t="str">
        <f>_xlfn.XLOOKUP(H10083,'Materiales unitario'!A$1:A$2500,'Materiales unitario'!C$1:C$2500,,0,1)</f>
        <v>un</v>
      </c>
      <c r="E10083" s="197">
        <f>_xlfn.XLOOKUP(H10083,'Materiales unitario'!$A$1:$A$2500,'Materiales unitario'!D$1:D$2500,,0,1)</f>
        <v>10000</v>
      </c>
      <c r="F10083" s="19">
        <v>0.3</v>
      </c>
      <c r="G10083" s="20">
        <f>+E10083*F10083</f>
        <v>3000</v>
      </c>
      <c r="H10083" s="211" t="s">
        <v>222</v>
      </c>
    </row>
    <row r="10084" spans="1:8">
      <c r="A10084" s="211" t="s">
        <v>486</v>
      </c>
      <c r="B10084" s="216" t="str">
        <f ca="1">_xlfn.CONCAT(B10080,A10084)</f>
        <v>2264E124-C</v>
      </c>
      <c r="C10084" s="17" t="str">
        <f>_xlfn.XLOOKUP(H10084,'Materiales unitario'!$A$1:$A$2500,'Materiales unitario'!B$1:B$2500,,0,1)</f>
        <v>Soporte Anillo Plastico 55mm RD 8 - 10 M8</v>
      </c>
      <c r="D10084" s="184" t="str">
        <f>_xlfn.XLOOKUP(H10084,'Materiales unitario'!A$1:A$2500,'Materiales unitario'!C$1:C$2500,,0,1)</f>
        <v>un</v>
      </c>
      <c r="E10084" s="197">
        <f>_xlfn.XLOOKUP(H10084,'Materiales unitario'!$A$1:$A$2500,'Materiales unitario'!D$1:D$2500,,0,1)</f>
        <v>12900</v>
      </c>
      <c r="F10084" s="19">
        <v>1</v>
      </c>
      <c r="G10084" s="20">
        <f>+E10084*F10084</f>
        <v>12900</v>
      </c>
      <c r="H10084" s="211" t="s">
        <v>1231</v>
      </c>
    </row>
    <row r="10085" spans="1:8">
      <c r="A10085" s="211" t="s">
        <v>487</v>
      </c>
      <c r="B10085" s="216" t="str">
        <f ca="1">_xlfn.CONCAT(B10080,A10085)</f>
        <v>2264E124-D</v>
      </c>
      <c r="C10085" s="17"/>
      <c r="D10085" s="184"/>
      <c r="E10085" s="197"/>
      <c r="F10085" s="19"/>
      <c r="G10085" s="20"/>
    </row>
    <row r="10086" spans="1:8">
      <c r="A10086" s="211" t="s">
        <v>488</v>
      </c>
      <c r="B10086" s="216" t="str">
        <f ca="1">_xlfn.CONCAT(B10080,A10086)</f>
        <v>2264E124-E</v>
      </c>
      <c r="C10086" s="17"/>
      <c r="D10086" s="184"/>
      <c r="E10086" s="197"/>
      <c r="F10086" s="19"/>
      <c r="G10086" s="20"/>
    </row>
    <row r="10087" spans="1:8">
      <c r="A10087" s="211" t="s">
        <v>489</v>
      </c>
      <c r="B10087" s="216" t="str">
        <f ca="1">_xlfn.CONCAT(B10080,A10087)</f>
        <v>2264E124-F</v>
      </c>
      <c r="C10087" s="17"/>
      <c r="D10087" s="184"/>
      <c r="E10087" s="197"/>
      <c r="F10087" s="19"/>
      <c r="G10087" s="20"/>
    </row>
    <row r="10088" spans="1:8">
      <c r="A10088" s="211" t="s">
        <v>490</v>
      </c>
      <c r="B10088" s="216" t="str">
        <f ca="1">_xlfn.CONCAT(B10080,A10088)</f>
        <v>2264E124-G</v>
      </c>
      <c r="C10088" s="17"/>
      <c r="D10088" s="184"/>
      <c r="E10088" s="197"/>
      <c r="F10088" s="19"/>
      <c r="G10088" s="20"/>
    </row>
    <row r="10089" spans="1:8">
      <c r="A10089" s="211" t="s">
        <v>491</v>
      </c>
      <c r="B10089" s="216" t="str">
        <f ca="1">_xlfn.CONCAT(B10080,A10089)</f>
        <v>2264E124-H</v>
      </c>
      <c r="C10089" s="17"/>
      <c r="D10089" s="184"/>
      <c r="E10089" s="197"/>
      <c r="F10089" s="19"/>
      <c r="G10089" s="20"/>
    </row>
    <row r="10090" spans="1:8">
      <c r="A10090" s="211" t="s">
        <v>492</v>
      </c>
      <c r="B10090" s="216" t="str">
        <f ca="1">_xlfn.CONCAT(B10080,A10090)</f>
        <v>2264E124-I</v>
      </c>
      <c r="C10090" s="17"/>
      <c r="D10090" s="184"/>
      <c r="E10090" s="197"/>
      <c r="F10090" s="19"/>
      <c r="G10090" s="20"/>
    </row>
    <row r="10091" spans="1:8">
      <c r="A10091" s="211" t="s">
        <v>493</v>
      </c>
      <c r="B10091" s="216" t="str">
        <f ca="1">_xlfn.CONCAT(B10080,A10091)</f>
        <v>2264E124-J</v>
      </c>
      <c r="C10091" s="17"/>
      <c r="D10091" s="184"/>
      <c r="E10091" s="197"/>
      <c r="F10091" s="19"/>
      <c r="G10091" s="20"/>
    </row>
    <row r="10092" spans="1:8">
      <c r="A10092" s="211" t="s">
        <v>494</v>
      </c>
      <c r="B10092" s="216" t="str">
        <f ca="1">_xlfn.CONCAT(B10080,A10092)</f>
        <v>2264E124-K</v>
      </c>
      <c r="C10092" s="17"/>
      <c r="D10092" s="184"/>
      <c r="E10092" s="197"/>
      <c r="F10092" s="19"/>
      <c r="G10092" s="20"/>
    </row>
    <row r="10093" spans="1:8">
      <c r="A10093" s="211" t="s">
        <v>495</v>
      </c>
      <c r="B10093" s="216" t="str">
        <f ca="1">_xlfn.CONCAT(B10080,A10093)</f>
        <v>2264E124-L</v>
      </c>
      <c r="C10093" s="17"/>
      <c r="D10093" s="184"/>
      <c r="E10093" s="197"/>
      <c r="F10093" s="19"/>
      <c r="G10093" s="20"/>
    </row>
    <row r="10094" spans="1:8">
      <c r="A10094" s="211" t="s">
        <v>496</v>
      </c>
      <c r="B10094" s="216" t="str">
        <f ca="1">_xlfn.CONCAT(B10080,A10094)</f>
        <v>2264E124-M</v>
      </c>
      <c r="C10094" s="17"/>
      <c r="D10094" s="184"/>
      <c r="E10094" s="197"/>
      <c r="F10094" s="19"/>
      <c r="G10094" s="20"/>
    </row>
    <row r="10095" spans="1:8">
      <c r="A10095" s="211" t="s">
        <v>497</v>
      </c>
      <c r="B10095" s="216" t="str">
        <f ca="1">_xlfn.CONCAT(B10080,A10095)</f>
        <v>2264E124-N</v>
      </c>
      <c r="C10095" s="17"/>
      <c r="D10095" s="184"/>
      <c r="E10095" s="197"/>
      <c r="F10095" s="19"/>
      <c r="G10095" s="20"/>
    </row>
    <row r="10096" spans="1:8">
      <c r="A10096" s="211" t="s">
        <v>498</v>
      </c>
      <c r="B10096" s="216" t="str">
        <f ca="1">_xlfn.CONCAT(B10080,A10096)</f>
        <v>2264E124-O</v>
      </c>
      <c r="C10096" s="17"/>
      <c r="D10096" s="184"/>
      <c r="E10096" s="197"/>
      <c r="F10096" s="19"/>
      <c r="G10096" s="20"/>
    </row>
    <row r="10097" spans="1:7">
      <c r="A10097" s="211" t="s">
        <v>499</v>
      </c>
      <c r="B10097" s="216" t="str">
        <f ca="1">_xlfn.CONCAT(B10080,A10097)</f>
        <v>2264E124-P</v>
      </c>
      <c r="C10097" s="17"/>
      <c r="D10097" s="184"/>
      <c r="E10097" s="197"/>
      <c r="F10097" s="19"/>
      <c r="G10097" s="20"/>
    </row>
    <row r="10098" spans="1:7">
      <c r="A10098" s="211" t="s">
        <v>500</v>
      </c>
      <c r="B10098" s="216" t="str">
        <f ca="1">_xlfn.CONCAT(B10080,A10098)</f>
        <v>2264E124-Q</v>
      </c>
      <c r="C10098" s="17"/>
      <c r="D10098" s="184"/>
      <c r="E10098" s="197"/>
      <c r="F10098" s="19"/>
      <c r="G10098" s="20"/>
    </row>
    <row r="10099" spans="1:7">
      <c r="A10099" s="211" t="s">
        <v>501</v>
      </c>
      <c r="B10099" s="216" t="str">
        <f ca="1">_xlfn.CONCAT(B10080,A10099)</f>
        <v>2264E124-R</v>
      </c>
      <c r="C10099" s="17"/>
      <c r="D10099" s="184"/>
      <c r="E10099" s="197"/>
      <c r="F10099" s="19"/>
      <c r="G10099" s="20"/>
    </row>
    <row r="10100" spans="1:7">
      <c r="A10100" s="211" t="s">
        <v>502</v>
      </c>
      <c r="B10100" s="216" t="str">
        <f ca="1">_xlfn.CONCAT(B10080,A10100)</f>
        <v>2264E124-S</v>
      </c>
      <c r="C10100" s="17"/>
      <c r="D10100" s="184"/>
      <c r="E10100" s="197"/>
      <c r="F10100" s="19"/>
      <c r="G10100" s="20"/>
    </row>
    <row r="10101" spans="1:7">
      <c r="A10101" s="211" t="s">
        <v>503</v>
      </c>
      <c r="B10101" s="216" t="str">
        <f ca="1">_xlfn.CONCAT(B10080,A10101)</f>
        <v>2264E124-T</v>
      </c>
      <c r="C10101" s="17"/>
      <c r="D10101" s="184"/>
      <c r="E10101" s="197"/>
      <c r="F10101" s="19"/>
      <c r="G10101" s="20"/>
    </row>
    <row r="10102" spans="1:7" ht="14.25" thickBot="1">
      <c r="A10102" s="211" t="s">
        <v>504</v>
      </c>
      <c r="B10102" s="216" t="str">
        <f ca="1">_xlfn.CONCAT(B10080,A10102)</f>
        <v>2264E124-U</v>
      </c>
      <c r="C10102" s="17"/>
      <c r="D10102" s="184"/>
      <c r="E10102" s="197"/>
      <c r="F10102" s="19"/>
      <c r="G10102" s="20"/>
    </row>
    <row r="10103" spans="1:7" ht="14.25" thickBot="1">
      <c r="A10103" s="211" t="s">
        <v>505</v>
      </c>
      <c r="B10103" s="216" t="str">
        <f ca="1">_xlfn.CONCAT(B10080,A10103)</f>
        <v>2264E124-V</v>
      </c>
      <c r="C10103" s="17" t="s">
        <v>17</v>
      </c>
      <c r="D10103" s="192" t="s">
        <v>17</v>
      </c>
      <c r="E10103" s="18"/>
      <c r="F10103" s="22" t="s">
        <v>18</v>
      </c>
      <c r="G10103" s="23">
        <f>SUM(G10082:G10102)</f>
        <v>21170</v>
      </c>
    </row>
    <row r="10104" spans="1:7" ht="15.75" thickBot="1">
      <c r="A10104" s="211" t="s">
        <v>506</v>
      </c>
      <c r="B10104" s="216" t="str">
        <f ca="1">_xlfn.CONCAT(B10080,A10104)</f>
        <v>2264E124-W</v>
      </c>
      <c r="C10104" s="10" t="s">
        <v>19</v>
      </c>
      <c r="D10104" s="190"/>
      <c r="E10104" s="11"/>
      <c r="F10104" s="12"/>
      <c r="G10104" s="13"/>
    </row>
    <row r="10105" spans="1:7" ht="14.25" thickBot="1">
      <c r="A10105" s="211" t="s">
        <v>507</v>
      </c>
      <c r="B10105" s="216" t="str">
        <f ca="1">_xlfn.CONCAT(B10080,A10105)</f>
        <v>2264E124-X</v>
      </c>
      <c r="C10105" s="14" t="s">
        <v>1</v>
      </c>
      <c r="D10105" s="15"/>
      <c r="E10105" s="15" t="s">
        <v>20</v>
      </c>
      <c r="F10105" s="16" t="s">
        <v>21</v>
      </c>
      <c r="G10105" s="15" t="s">
        <v>5</v>
      </c>
    </row>
    <row r="10106" spans="1:7">
      <c r="A10106" s="211" t="s">
        <v>508</v>
      </c>
      <c r="B10106" s="216" t="str">
        <f ca="1">_xlfn.CONCAT(B10080,A10106)</f>
        <v>2264E124-Y</v>
      </c>
      <c r="C10106" s="24" t="s">
        <v>22</v>
      </c>
      <c r="D10106" s="184"/>
      <c r="E10106" s="25">
        <f>_xlfn.XLOOKUP(C10106,'H-MO'!B$7:B$30,'H-MO'!D$7:D$30,,0,1)</f>
        <v>2436.5624999999995</v>
      </c>
      <c r="F10106" s="19">
        <v>0.2</v>
      </c>
      <c r="G10106" s="33">
        <f t="shared" ref="G10106:G10111" si="288">+E10106*F10106</f>
        <v>487.31249999999994</v>
      </c>
    </row>
    <row r="10107" spans="1:7">
      <c r="A10107" s="211" t="s">
        <v>509</v>
      </c>
      <c r="B10107" s="216" t="str">
        <f ca="1">_xlfn.CONCAT(B10080,A10107)</f>
        <v>2264E124-Z</v>
      </c>
      <c r="C10107" s="24" t="s">
        <v>23</v>
      </c>
      <c r="D10107" s="184"/>
      <c r="E10107" s="25">
        <f>_xlfn.XLOOKUP(C10107,'H-MO'!B$7:B$30,'H-MO'!D$7:D$30,,0,1)</f>
        <v>1461.9374999999998</v>
      </c>
      <c r="F10107" s="19">
        <v>5.0000000000000001E-3</v>
      </c>
      <c r="G10107" s="33">
        <f t="shared" si="288"/>
        <v>7.309687499999999</v>
      </c>
    </row>
    <row r="10108" spans="1:7">
      <c r="A10108" s="211" t="s">
        <v>510</v>
      </c>
      <c r="B10108" s="216" t="str">
        <f ca="1">_xlfn.CONCAT(B10080,A10108)</f>
        <v>2264E124-aa</v>
      </c>
      <c r="C10108" s="24" t="s">
        <v>24</v>
      </c>
      <c r="D10108" s="185"/>
      <c r="E10108" s="25">
        <f>_xlfn.XLOOKUP(C10108,'H-MO'!B$7:B$30,'H-MO'!D$7:D$30,,0,1)</f>
        <v>29238.749999999996</v>
      </c>
      <c r="F10108" s="28">
        <v>0.02</v>
      </c>
      <c r="G10108" s="33">
        <f t="shared" si="288"/>
        <v>584.77499999999998</v>
      </c>
    </row>
    <row r="10109" spans="1:7">
      <c r="A10109" s="211" t="s">
        <v>511</v>
      </c>
      <c r="B10109" s="216" t="str">
        <f ca="1">_xlfn.CONCAT(B10080,A10109)</f>
        <v>2264E124-ab</v>
      </c>
      <c r="C10109" s="24" t="s">
        <v>25</v>
      </c>
      <c r="D10109" s="185"/>
      <c r="E10109" s="25">
        <f>_xlfn.XLOOKUP(C10109,'H-MO'!B$7:B$30,'H-MO'!D$7:D$30,,0,1)</f>
        <v>2761.4374999999995</v>
      </c>
      <c r="F10109" s="28">
        <v>0.7</v>
      </c>
      <c r="G10109" s="33">
        <f t="shared" si="288"/>
        <v>1933.0062499999995</v>
      </c>
    </row>
    <row r="10110" spans="1:7">
      <c r="A10110" s="211" t="s">
        <v>512</v>
      </c>
      <c r="B10110" s="216" t="str">
        <f ca="1">_xlfn.CONCAT(B10080,A10110)</f>
        <v>2264E124-ac</v>
      </c>
      <c r="C10110" s="24"/>
      <c r="D10110" s="185"/>
      <c r="E10110" s="29"/>
      <c r="F10110" s="28"/>
      <c r="G10110" s="33">
        <f t="shared" si="288"/>
        <v>0</v>
      </c>
    </row>
    <row r="10111" spans="1:7" ht="14.25" thickBot="1">
      <c r="A10111" s="211" t="s">
        <v>513</v>
      </c>
      <c r="B10111" s="216" t="str">
        <f ca="1">_xlfn.CONCAT(B10080,A10111)</f>
        <v>2264E124-ad</v>
      </c>
      <c r="C10111" s="24"/>
      <c r="D10111" s="185"/>
      <c r="E10111" s="29"/>
      <c r="F10111" s="28"/>
      <c r="G10111" s="33">
        <f t="shared" si="288"/>
        <v>0</v>
      </c>
    </row>
    <row r="10112" spans="1:7" ht="14.25" thickBot="1">
      <c r="A10112" s="211" t="s">
        <v>514</v>
      </c>
      <c r="B10112" s="216" t="str">
        <f ca="1">_xlfn.CONCAT(B10080,A10112)</f>
        <v>2264E124-ae</v>
      </c>
      <c r="C10112" s="17"/>
      <c r="D10112" s="192"/>
      <c r="E10112" s="18"/>
      <c r="F10112" s="22" t="s">
        <v>26</v>
      </c>
      <c r="G10112" s="23">
        <f>SUM(G10106:G10111)</f>
        <v>3012.4034374999992</v>
      </c>
    </row>
    <row r="10113" spans="1:8" ht="15.75" thickBot="1">
      <c r="A10113" s="211" t="s">
        <v>515</v>
      </c>
      <c r="B10113" s="216" t="str">
        <f ca="1">_xlfn.CONCAT(B10080,A10113)</f>
        <v>2264E124-af</v>
      </c>
      <c r="C10113" s="10" t="s">
        <v>27</v>
      </c>
      <c r="D10113" s="190"/>
      <c r="E10113" s="11"/>
      <c r="F10113" s="12"/>
      <c r="G10113" s="13"/>
    </row>
    <row r="10114" spans="1:8" ht="14.25" thickBot="1">
      <c r="A10114" s="211" t="s">
        <v>516</v>
      </c>
      <c r="B10114" s="216" t="str">
        <f ca="1">_xlfn.CONCAT(B10080,A10114)</f>
        <v>2264E124-ag</v>
      </c>
      <c r="C10114" s="14" t="s">
        <v>1</v>
      </c>
      <c r="D10114" s="15" t="s">
        <v>28</v>
      </c>
      <c r="E10114" s="15" t="s">
        <v>20</v>
      </c>
      <c r="F10114" s="16" t="s">
        <v>21</v>
      </c>
      <c r="G10114" s="15" t="s">
        <v>5</v>
      </c>
    </row>
    <row r="10115" spans="1:8">
      <c r="A10115" s="211" t="s">
        <v>517</v>
      </c>
      <c r="B10115" s="216" t="str">
        <f ca="1">_xlfn.CONCAT(B10080,A10115)</f>
        <v>2264E124-ah</v>
      </c>
      <c r="C10115" s="30" t="s">
        <v>29</v>
      </c>
      <c r="D10115" s="186">
        <f>'H-MO'!$N$77</f>
        <v>725918.52892505517</v>
      </c>
      <c r="E10115" s="31">
        <f>+D10115/8</f>
        <v>90739.816115631897</v>
      </c>
      <c r="F10115" s="32">
        <v>0.14000000000000001</v>
      </c>
      <c r="G10115" s="33">
        <f>+E10115*F10115</f>
        <v>12703.574256188467</v>
      </c>
    </row>
    <row r="10116" spans="1:8">
      <c r="A10116" s="211" t="s">
        <v>518</v>
      </c>
      <c r="B10116" s="216" t="str">
        <f ca="1">_xlfn.CONCAT(B10080,A10116)</f>
        <v>2264E124-ai</v>
      </c>
      <c r="C10116" s="34" t="s">
        <v>30</v>
      </c>
      <c r="D10116" s="187">
        <f>'H-MO'!$N$86</f>
        <v>685561.39085756091</v>
      </c>
      <c r="E10116" s="29">
        <f>+D10116/8</f>
        <v>85695.173857195114</v>
      </c>
      <c r="F10116" s="28">
        <v>0</v>
      </c>
      <c r="G10116" s="33">
        <f>+E10116*F10116</f>
        <v>0</v>
      </c>
    </row>
    <row r="10117" spans="1:8" ht="14.25" thickBot="1">
      <c r="A10117" s="211" t="s">
        <v>519</v>
      </c>
      <c r="B10117" s="216" t="str">
        <f ca="1">_xlfn.CONCAT(B10080,A10117)</f>
        <v>2264E124-aj</v>
      </c>
      <c r="C10117" s="34"/>
      <c r="D10117" s="187"/>
      <c r="E10117" s="29"/>
      <c r="F10117" s="28"/>
      <c r="G10117" s="33">
        <f>+E10117*F10117</f>
        <v>0</v>
      </c>
    </row>
    <row r="10118" spans="1:8" ht="14.25" thickBot="1">
      <c r="A10118" s="211" t="s">
        <v>520</v>
      </c>
      <c r="B10118" s="216" t="str">
        <f ca="1">_xlfn.CONCAT(B10080,A10118)</f>
        <v>2264E124-ak</v>
      </c>
      <c r="C10118" s="34"/>
      <c r="D10118" s="185"/>
      <c r="E10118" s="26"/>
      <c r="F10118" s="36" t="s">
        <v>31</v>
      </c>
      <c r="G10118" s="23">
        <f>SUM(G10115:G10117)</f>
        <v>12703.574256188467</v>
      </c>
    </row>
    <row r="10119" spans="1:8" ht="14.25" thickBot="1">
      <c r="A10119" s="211" t="s">
        <v>521</v>
      </c>
      <c r="B10119" s="216" t="str">
        <f ca="1">_xlfn.CONCAT(B10080,A10119)</f>
        <v>2264E124-al</v>
      </c>
      <c r="C10119" s="37"/>
      <c r="E10119" s="38"/>
      <c r="F10119" s="22"/>
      <c r="G10119" s="39"/>
    </row>
    <row r="10120" spans="1:8" ht="16.5" thickBot="1">
      <c r="A10120" s="211" t="s">
        <v>522</v>
      </c>
      <c r="B10120" s="216" t="str">
        <f ca="1">_xlfn.CONCAT(B10080,A10120)</f>
        <v>2264E124-am</v>
      </c>
      <c r="C10120" s="40"/>
      <c r="D10120" s="193"/>
      <c r="E10120" s="41"/>
      <c r="F10120" s="42"/>
      <c r="G10120" s="43">
        <f>+G10103+G10112+G10118</f>
        <v>36885.977693688466</v>
      </c>
    </row>
    <row r="10121" spans="1:8" ht="21.75" thickBot="1">
      <c r="B10121" s="212" t="s">
        <v>550</v>
      </c>
      <c r="C10121" s="2"/>
      <c r="D10121" s="183"/>
      <c r="F10121" s="4"/>
      <c r="G10121" s="5"/>
    </row>
    <row r="10122" spans="1:8" ht="18.75">
      <c r="A10122" s="213"/>
      <c r="B10122" s="214">
        <v>230</v>
      </c>
      <c r="C10122" s="242" t="str">
        <f ca="1">_xlfn.XLOOKUP(B10122,Cantidades!$A$10:$A$314,Cantidades!$C$10:$C$314,,0,1)</f>
        <v>Suministro e instalación de bajante en alambrón de aluminio 8 mm. Incluye tubo PVC de 1" y elementos de conexionado y soporte.</v>
      </c>
      <c r="D10122" s="243"/>
      <c r="E10122" s="243"/>
      <c r="F10122" s="243"/>
      <c r="G10122" s="244"/>
    </row>
    <row r="10123" spans="1:8" ht="19.5" thickBot="1">
      <c r="A10123" s="215"/>
      <c r="B10123" s="216" t="s">
        <v>550</v>
      </c>
      <c r="C10123" s="177"/>
      <c r="D10123" s="189"/>
      <c r="E10123" s="178"/>
      <c r="F10123" s="179" t="s">
        <v>636</v>
      </c>
      <c r="G10123" s="209" t="str">
        <f ca="1">B10124</f>
        <v>3A4A4E80-</v>
      </c>
    </row>
    <row r="10124" spans="1:8" ht="15.75" thickBot="1">
      <c r="B10124" s="212" t="str">
        <f ca="1">_xlfn.XLOOKUP(C10122,Cantidades!$C$1:$C$314,Cantidades!$B$1:$B$314,"",0,1)</f>
        <v>3A4A4E80-</v>
      </c>
      <c r="C10124" s="10" t="s">
        <v>0</v>
      </c>
      <c r="D10124" s="190"/>
      <c r="E10124" s="11"/>
      <c r="F10124" s="12"/>
      <c r="G10124" s="13"/>
    </row>
    <row r="10125" spans="1:8" ht="14.25" thickBot="1">
      <c r="A10125" s="215"/>
      <c r="B10125" s="216" t="s">
        <v>550</v>
      </c>
      <c r="C10125" s="14" t="s">
        <v>1</v>
      </c>
      <c r="D10125" s="15" t="s">
        <v>2</v>
      </c>
      <c r="E10125" s="15" t="s">
        <v>3</v>
      </c>
      <c r="F10125" s="16" t="s">
        <v>4</v>
      </c>
      <c r="G10125" s="15" t="s">
        <v>5</v>
      </c>
    </row>
    <row r="10126" spans="1:8">
      <c r="A10126" s="211" t="s">
        <v>484</v>
      </c>
      <c r="B10126" s="216" t="str">
        <f ca="1">_xlfn.CONCAT(B10124,A10126)</f>
        <v>3A4A4E80-A</v>
      </c>
      <c r="C10126" s="17" t="str">
        <f>_xlfn.XLOOKUP(H10126,'Materiales unitario'!$A$1:$A$2500,'Materiales unitario'!B$1:B$2500,,0,1)</f>
        <v>Alambron de aluminio 8mm</v>
      </c>
      <c r="D10126" s="184" t="str">
        <f>_xlfn.XLOOKUP(H10126,'Materiales unitario'!A$1:A$2500,'Materiales unitario'!C$1:C$2500,,0,1)</f>
        <v>ml</v>
      </c>
      <c r="E10126" s="197">
        <f>_xlfn.XLOOKUP(H10126,'Materiales unitario'!$A$1:$A$2500,'Materiales unitario'!D$1:D$2500,,0,1)</f>
        <v>5270</v>
      </c>
      <c r="F10126" s="19">
        <v>1.05</v>
      </c>
      <c r="G10126" s="20">
        <f>+E10126*F10126</f>
        <v>5533.5</v>
      </c>
      <c r="H10126" s="211" t="s">
        <v>228</v>
      </c>
    </row>
    <row r="10127" spans="1:8">
      <c r="A10127" s="211" t="s">
        <v>485</v>
      </c>
      <c r="B10127" s="216" t="str">
        <f ca="1">_xlfn.CONCAT(B10124,A10127)</f>
        <v>3A4A4E80-B</v>
      </c>
      <c r="C10127" s="17" t="str">
        <f>_xlfn.XLOOKUP(H10127,'Materiales unitario'!$A$1:$A$2500,'Materiales unitario'!B$1:B$2500,,0,1)</f>
        <v>Accesorios de anclaje y fijacion.</v>
      </c>
      <c r="D10127" s="184" t="str">
        <f>_xlfn.XLOOKUP(H10127,'Materiales unitario'!A$1:A$2500,'Materiales unitario'!C$1:C$2500,,0,1)</f>
        <v>un</v>
      </c>
      <c r="E10127" s="197">
        <f>_xlfn.XLOOKUP(H10127,'Materiales unitario'!$A$1:$A$2500,'Materiales unitario'!D$1:D$2500,,0,1)</f>
        <v>10000</v>
      </c>
      <c r="F10127" s="19">
        <v>0.3</v>
      </c>
      <c r="G10127" s="20">
        <f>+E10127*F10127</f>
        <v>3000</v>
      </c>
      <c r="H10127" s="211" t="s">
        <v>222</v>
      </c>
    </row>
    <row r="10128" spans="1:8">
      <c r="A10128" s="211" t="s">
        <v>486</v>
      </c>
      <c r="B10128" s="216" t="str">
        <f ca="1">_xlfn.CONCAT(B10124,A10128)</f>
        <v>3A4A4E80-C</v>
      </c>
      <c r="C10128" s="17" t="str">
        <f>_xlfn.XLOOKUP(H10128,'Materiales unitario'!$A$1:$A$2500,'Materiales unitario'!B$1:B$2500,,0,1)</f>
        <v>Tubo Conduit PVC 3-4 Pulgadas</v>
      </c>
      <c r="D10128" s="184" t="str">
        <f>_xlfn.XLOOKUP(H10128,'Materiales unitario'!A$1:A$2500,'Materiales unitario'!C$1:C$2500,,0,1)</f>
        <v>ml</v>
      </c>
      <c r="E10128" s="197">
        <f>_xlfn.XLOOKUP(H10128,'Materiales unitario'!$A$1:$A$2500,'Materiales unitario'!D$1:D$2500,,0,1)</f>
        <v>2066.6666666666665</v>
      </c>
      <c r="F10128" s="19">
        <v>1.05</v>
      </c>
      <c r="G10128" s="20">
        <f>+E10128*F10128</f>
        <v>2170</v>
      </c>
      <c r="H10128" s="211" t="s">
        <v>614</v>
      </c>
    </row>
    <row r="10129" spans="1:7">
      <c r="A10129" s="211" t="s">
        <v>487</v>
      </c>
      <c r="B10129" s="216" t="str">
        <f ca="1">_xlfn.CONCAT(B10124,A10129)</f>
        <v>3A4A4E80-D</v>
      </c>
      <c r="C10129" s="17"/>
      <c r="D10129" s="184"/>
      <c r="E10129" s="197"/>
      <c r="F10129" s="19"/>
      <c r="G10129" s="20"/>
    </row>
    <row r="10130" spans="1:7">
      <c r="A10130" s="211" t="s">
        <v>488</v>
      </c>
      <c r="B10130" s="216" t="str">
        <f ca="1">_xlfn.CONCAT(B10124,A10130)</f>
        <v>3A4A4E80-E</v>
      </c>
      <c r="C10130" s="17"/>
      <c r="D10130" s="184"/>
      <c r="E10130" s="197"/>
      <c r="F10130" s="19"/>
      <c r="G10130" s="20"/>
    </row>
    <row r="10131" spans="1:7">
      <c r="A10131" s="211" t="s">
        <v>489</v>
      </c>
      <c r="B10131" s="216" t="str">
        <f ca="1">_xlfn.CONCAT(B10124,A10131)</f>
        <v>3A4A4E80-F</v>
      </c>
      <c r="C10131" s="17"/>
      <c r="D10131" s="184"/>
      <c r="E10131" s="197"/>
      <c r="F10131" s="19"/>
      <c r="G10131" s="20"/>
    </row>
    <row r="10132" spans="1:7">
      <c r="A10132" s="211" t="s">
        <v>490</v>
      </c>
      <c r="B10132" s="216" t="str">
        <f ca="1">_xlfn.CONCAT(B10124,A10132)</f>
        <v>3A4A4E80-G</v>
      </c>
      <c r="C10132" s="17"/>
      <c r="D10132" s="184"/>
      <c r="E10132" s="197"/>
      <c r="F10132" s="19"/>
      <c r="G10132" s="20"/>
    </row>
    <row r="10133" spans="1:7">
      <c r="A10133" s="211" t="s">
        <v>491</v>
      </c>
      <c r="B10133" s="216" t="str">
        <f ca="1">_xlfn.CONCAT(B10124,A10133)</f>
        <v>3A4A4E80-H</v>
      </c>
      <c r="C10133" s="17"/>
      <c r="D10133" s="184"/>
      <c r="E10133" s="197"/>
      <c r="F10133" s="19"/>
      <c r="G10133" s="20"/>
    </row>
    <row r="10134" spans="1:7">
      <c r="A10134" s="211" t="s">
        <v>492</v>
      </c>
      <c r="B10134" s="216" t="str">
        <f ca="1">_xlfn.CONCAT(B10124,A10134)</f>
        <v>3A4A4E80-I</v>
      </c>
      <c r="C10134" s="17"/>
      <c r="D10134" s="184"/>
      <c r="E10134" s="197"/>
      <c r="F10134" s="19"/>
      <c r="G10134" s="20"/>
    </row>
    <row r="10135" spans="1:7">
      <c r="A10135" s="211" t="s">
        <v>493</v>
      </c>
      <c r="B10135" s="216" t="str">
        <f ca="1">_xlfn.CONCAT(B10124,A10135)</f>
        <v>3A4A4E80-J</v>
      </c>
      <c r="C10135" s="17"/>
      <c r="D10135" s="184"/>
      <c r="E10135" s="197"/>
      <c r="F10135" s="19"/>
      <c r="G10135" s="20"/>
    </row>
    <row r="10136" spans="1:7">
      <c r="A10136" s="211" t="s">
        <v>494</v>
      </c>
      <c r="B10136" s="216" t="str">
        <f ca="1">_xlfn.CONCAT(B10124,A10136)</f>
        <v>3A4A4E80-K</v>
      </c>
      <c r="C10136" s="17"/>
      <c r="D10136" s="184"/>
      <c r="E10136" s="197"/>
      <c r="F10136" s="19"/>
      <c r="G10136" s="20"/>
    </row>
    <row r="10137" spans="1:7">
      <c r="A10137" s="211" t="s">
        <v>495</v>
      </c>
      <c r="B10137" s="216" t="str">
        <f ca="1">_xlfn.CONCAT(B10124,A10137)</f>
        <v>3A4A4E80-L</v>
      </c>
      <c r="C10137" s="17"/>
      <c r="D10137" s="184"/>
      <c r="E10137" s="197"/>
      <c r="F10137" s="19"/>
      <c r="G10137" s="20"/>
    </row>
    <row r="10138" spans="1:7">
      <c r="A10138" s="211" t="s">
        <v>496</v>
      </c>
      <c r="B10138" s="216" t="str">
        <f ca="1">_xlfn.CONCAT(B10124,A10138)</f>
        <v>3A4A4E80-M</v>
      </c>
      <c r="C10138" s="17"/>
      <c r="D10138" s="184"/>
      <c r="E10138" s="197"/>
      <c r="F10138" s="19"/>
      <c r="G10138" s="20"/>
    </row>
    <row r="10139" spans="1:7">
      <c r="A10139" s="211" t="s">
        <v>497</v>
      </c>
      <c r="B10139" s="216" t="str">
        <f ca="1">_xlfn.CONCAT(B10124,A10139)</f>
        <v>3A4A4E80-N</v>
      </c>
      <c r="C10139" s="17"/>
      <c r="D10139" s="184"/>
      <c r="E10139" s="197"/>
      <c r="F10139" s="19"/>
      <c r="G10139" s="20"/>
    </row>
    <row r="10140" spans="1:7">
      <c r="A10140" s="211" t="s">
        <v>498</v>
      </c>
      <c r="B10140" s="216" t="str">
        <f ca="1">_xlfn.CONCAT(B10124,A10140)</f>
        <v>3A4A4E80-O</v>
      </c>
      <c r="C10140" s="17"/>
      <c r="D10140" s="184"/>
      <c r="E10140" s="197"/>
      <c r="F10140" s="19"/>
      <c r="G10140" s="20"/>
    </row>
    <row r="10141" spans="1:7">
      <c r="A10141" s="211" t="s">
        <v>499</v>
      </c>
      <c r="B10141" s="216" t="str">
        <f ca="1">_xlfn.CONCAT(B10124,A10141)</f>
        <v>3A4A4E80-P</v>
      </c>
      <c r="C10141" s="17"/>
      <c r="D10141" s="184"/>
      <c r="E10141" s="197"/>
      <c r="F10141" s="19"/>
      <c r="G10141" s="20"/>
    </row>
    <row r="10142" spans="1:7">
      <c r="A10142" s="211" t="s">
        <v>500</v>
      </c>
      <c r="B10142" s="216" t="str">
        <f ca="1">_xlfn.CONCAT(B10124,A10142)</f>
        <v>3A4A4E80-Q</v>
      </c>
      <c r="C10142" s="17"/>
      <c r="D10142" s="184"/>
      <c r="E10142" s="197"/>
      <c r="F10142" s="19"/>
      <c r="G10142" s="20"/>
    </row>
    <row r="10143" spans="1:7">
      <c r="A10143" s="211" t="s">
        <v>501</v>
      </c>
      <c r="B10143" s="216" t="str">
        <f ca="1">_xlfn.CONCAT(B10124,A10143)</f>
        <v>3A4A4E80-R</v>
      </c>
      <c r="C10143" s="17"/>
      <c r="D10143" s="184"/>
      <c r="E10143" s="197"/>
      <c r="F10143" s="19"/>
      <c r="G10143" s="20"/>
    </row>
    <row r="10144" spans="1:7">
      <c r="A10144" s="211" t="s">
        <v>502</v>
      </c>
      <c r="B10144" s="216" t="str">
        <f ca="1">_xlfn.CONCAT(B10124,A10144)</f>
        <v>3A4A4E80-S</v>
      </c>
      <c r="C10144" s="17"/>
      <c r="D10144" s="184"/>
      <c r="E10144" s="197"/>
      <c r="F10144" s="19"/>
      <c r="G10144" s="20"/>
    </row>
    <row r="10145" spans="1:7">
      <c r="A10145" s="211" t="s">
        <v>503</v>
      </c>
      <c r="B10145" s="216" t="str">
        <f ca="1">_xlfn.CONCAT(B10124,A10145)</f>
        <v>3A4A4E80-T</v>
      </c>
      <c r="C10145" s="17"/>
      <c r="D10145" s="184"/>
      <c r="E10145" s="197"/>
      <c r="F10145" s="19"/>
      <c r="G10145" s="20"/>
    </row>
    <row r="10146" spans="1:7" ht="14.25" thickBot="1">
      <c r="A10146" s="211" t="s">
        <v>504</v>
      </c>
      <c r="B10146" s="216" t="str">
        <f ca="1">_xlfn.CONCAT(B10124,A10146)</f>
        <v>3A4A4E80-U</v>
      </c>
      <c r="C10146" s="17"/>
      <c r="D10146" s="184"/>
      <c r="E10146" s="197"/>
      <c r="F10146" s="19"/>
      <c r="G10146" s="20"/>
    </row>
    <row r="10147" spans="1:7" ht="14.25" thickBot="1">
      <c r="A10147" s="211" t="s">
        <v>505</v>
      </c>
      <c r="B10147" s="216" t="str">
        <f ca="1">_xlfn.CONCAT(B10124,A10147)</f>
        <v>3A4A4E80-V</v>
      </c>
      <c r="C10147" s="17" t="s">
        <v>17</v>
      </c>
      <c r="D10147" s="192" t="s">
        <v>17</v>
      </c>
      <c r="E10147" s="18"/>
      <c r="F10147" s="22" t="s">
        <v>18</v>
      </c>
      <c r="G10147" s="23">
        <f>SUM(G10126:G10146)</f>
        <v>10703.5</v>
      </c>
    </row>
    <row r="10148" spans="1:7" ht="15.75" thickBot="1">
      <c r="A10148" s="211" t="s">
        <v>506</v>
      </c>
      <c r="B10148" s="216" t="str">
        <f ca="1">_xlfn.CONCAT(B10124,A10148)</f>
        <v>3A4A4E80-W</v>
      </c>
      <c r="C10148" s="10" t="s">
        <v>19</v>
      </c>
      <c r="D10148" s="190"/>
      <c r="E10148" s="11"/>
      <c r="F10148" s="12"/>
      <c r="G10148" s="13"/>
    </row>
    <row r="10149" spans="1:7" ht="14.25" thickBot="1">
      <c r="A10149" s="211" t="s">
        <v>507</v>
      </c>
      <c r="B10149" s="216" t="str">
        <f ca="1">_xlfn.CONCAT(B10124,A10149)</f>
        <v>3A4A4E80-X</v>
      </c>
      <c r="C10149" s="14" t="s">
        <v>1</v>
      </c>
      <c r="D10149" s="15"/>
      <c r="E10149" s="15" t="s">
        <v>20</v>
      </c>
      <c r="F10149" s="16" t="s">
        <v>21</v>
      </c>
      <c r="G10149" s="15" t="s">
        <v>5</v>
      </c>
    </row>
    <row r="10150" spans="1:7">
      <c r="A10150" s="211" t="s">
        <v>508</v>
      </c>
      <c r="B10150" s="216" t="str">
        <f ca="1">_xlfn.CONCAT(B10124,A10150)</f>
        <v>3A4A4E80-Y</v>
      </c>
      <c r="C10150" s="24" t="s">
        <v>22</v>
      </c>
      <c r="D10150" s="184"/>
      <c r="E10150" s="25">
        <f>_xlfn.XLOOKUP(C10150,'H-MO'!B$7:B$30,'H-MO'!D$7:D$30,,0,1)</f>
        <v>2436.5624999999995</v>
      </c>
      <c r="F10150" s="19">
        <v>0.2</v>
      </c>
      <c r="G10150" s="33">
        <f t="shared" ref="G10150:G10155" si="289">+E10150*F10150</f>
        <v>487.31249999999994</v>
      </c>
    </row>
    <row r="10151" spans="1:7">
      <c r="A10151" s="211" t="s">
        <v>509</v>
      </c>
      <c r="B10151" s="216" t="str">
        <f ca="1">_xlfn.CONCAT(B10124,A10151)</f>
        <v>3A4A4E80-Z</v>
      </c>
      <c r="C10151" s="24" t="s">
        <v>23</v>
      </c>
      <c r="D10151" s="184"/>
      <c r="E10151" s="25">
        <f>_xlfn.XLOOKUP(C10151,'H-MO'!B$7:B$30,'H-MO'!D$7:D$30,,0,1)</f>
        <v>1461.9374999999998</v>
      </c>
      <c r="F10151" s="19">
        <v>5.0000000000000001E-3</v>
      </c>
      <c r="G10151" s="33">
        <f t="shared" si="289"/>
        <v>7.309687499999999</v>
      </c>
    </row>
    <row r="10152" spans="1:7">
      <c r="A10152" s="211" t="s">
        <v>510</v>
      </c>
      <c r="B10152" s="216" t="str">
        <f ca="1">_xlfn.CONCAT(B10124,A10152)</f>
        <v>3A4A4E80-aa</v>
      </c>
      <c r="C10152" s="24" t="s">
        <v>24</v>
      </c>
      <c r="D10152" s="185"/>
      <c r="E10152" s="25">
        <f>_xlfn.XLOOKUP(C10152,'H-MO'!B$7:B$30,'H-MO'!D$7:D$30,,0,1)</f>
        <v>29238.749999999996</v>
      </c>
      <c r="F10152" s="28">
        <v>0.02</v>
      </c>
      <c r="G10152" s="33">
        <f t="shared" si="289"/>
        <v>584.77499999999998</v>
      </c>
    </row>
    <row r="10153" spans="1:7">
      <c r="A10153" s="211" t="s">
        <v>511</v>
      </c>
      <c r="B10153" s="216" t="str">
        <f ca="1">_xlfn.CONCAT(B10124,A10153)</f>
        <v>3A4A4E80-ab</v>
      </c>
      <c r="C10153" s="24" t="s">
        <v>25</v>
      </c>
      <c r="D10153" s="185"/>
      <c r="E10153" s="25">
        <f>_xlfn.XLOOKUP(C10153,'H-MO'!B$7:B$30,'H-MO'!D$7:D$30,,0,1)</f>
        <v>2761.4374999999995</v>
      </c>
      <c r="F10153" s="28">
        <v>0.7</v>
      </c>
      <c r="G10153" s="33">
        <f t="shared" si="289"/>
        <v>1933.0062499999995</v>
      </c>
    </row>
    <row r="10154" spans="1:7">
      <c r="A10154" s="211" t="s">
        <v>512</v>
      </c>
      <c r="B10154" s="216" t="str">
        <f ca="1">_xlfn.CONCAT(B10124,A10154)</f>
        <v>3A4A4E80-ac</v>
      </c>
      <c r="C10154" s="24"/>
      <c r="D10154" s="185"/>
      <c r="E10154" s="29"/>
      <c r="F10154" s="28"/>
      <c r="G10154" s="33">
        <f t="shared" si="289"/>
        <v>0</v>
      </c>
    </row>
    <row r="10155" spans="1:7" ht="14.25" thickBot="1">
      <c r="A10155" s="211" t="s">
        <v>513</v>
      </c>
      <c r="B10155" s="216" t="str">
        <f ca="1">_xlfn.CONCAT(B10124,A10155)</f>
        <v>3A4A4E80-ad</v>
      </c>
      <c r="C10155" s="24"/>
      <c r="D10155" s="185"/>
      <c r="E10155" s="29"/>
      <c r="F10155" s="28"/>
      <c r="G10155" s="33">
        <f t="shared" si="289"/>
        <v>0</v>
      </c>
    </row>
    <row r="10156" spans="1:7" ht="14.25" thickBot="1">
      <c r="A10156" s="211" t="s">
        <v>514</v>
      </c>
      <c r="B10156" s="216" t="str">
        <f ca="1">_xlfn.CONCAT(B10124,A10156)</f>
        <v>3A4A4E80-ae</v>
      </c>
      <c r="C10156" s="17"/>
      <c r="D10156" s="192"/>
      <c r="E10156" s="18"/>
      <c r="F10156" s="22" t="s">
        <v>26</v>
      </c>
      <c r="G10156" s="23">
        <f>SUM(G10150:G10155)</f>
        <v>3012.4034374999992</v>
      </c>
    </row>
    <row r="10157" spans="1:7" ht="15.75" thickBot="1">
      <c r="A10157" s="211" t="s">
        <v>515</v>
      </c>
      <c r="B10157" s="216" t="str">
        <f ca="1">_xlfn.CONCAT(B10124,A10157)</f>
        <v>3A4A4E80-af</v>
      </c>
      <c r="C10157" s="10" t="s">
        <v>27</v>
      </c>
      <c r="D10157" s="190"/>
      <c r="E10157" s="11"/>
      <c r="F10157" s="12"/>
      <c r="G10157" s="13"/>
    </row>
    <row r="10158" spans="1:7" ht="14.25" thickBot="1">
      <c r="A10158" s="211" t="s">
        <v>516</v>
      </c>
      <c r="B10158" s="216" t="str">
        <f ca="1">_xlfn.CONCAT(B10124,A10158)</f>
        <v>3A4A4E80-ag</v>
      </c>
      <c r="C10158" s="14" t="s">
        <v>1</v>
      </c>
      <c r="D10158" s="15" t="s">
        <v>28</v>
      </c>
      <c r="E10158" s="15" t="s">
        <v>20</v>
      </c>
      <c r="F10158" s="16" t="s">
        <v>21</v>
      </c>
      <c r="G10158" s="15" t="s">
        <v>5</v>
      </c>
    </row>
    <row r="10159" spans="1:7">
      <c r="A10159" s="211" t="s">
        <v>517</v>
      </c>
      <c r="B10159" s="216" t="str">
        <f ca="1">_xlfn.CONCAT(B10124,A10159)</f>
        <v>3A4A4E80-ah</v>
      </c>
      <c r="C10159" s="30" t="s">
        <v>29</v>
      </c>
      <c r="D10159" s="186">
        <f>'H-MO'!$N$77</f>
        <v>725918.52892505517</v>
      </c>
      <c r="E10159" s="31">
        <f>+D10159/8</f>
        <v>90739.816115631897</v>
      </c>
      <c r="F10159" s="32">
        <v>0.14000000000000001</v>
      </c>
      <c r="G10159" s="33">
        <f>+E10159*F10159</f>
        <v>12703.574256188467</v>
      </c>
    </row>
    <row r="10160" spans="1:7">
      <c r="A10160" s="211" t="s">
        <v>518</v>
      </c>
      <c r="B10160" s="216" t="str">
        <f ca="1">_xlfn.CONCAT(B10124,A10160)</f>
        <v>3A4A4E80-ai</v>
      </c>
      <c r="C10160" s="34" t="s">
        <v>30</v>
      </c>
      <c r="D10160" s="187">
        <f>'H-MO'!$N$86</f>
        <v>685561.39085756091</v>
      </c>
      <c r="E10160" s="29">
        <f>+D10160/8</f>
        <v>85695.173857195114</v>
      </c>
      <c r="F10160" s="28">
        <v>0</v>
      </c>
      <c r="G10160" s="33">
        <f>+E10160*F10160</f>
        <v>0</v>
      </c>
    </row>
    <row r="10161" spans="1:8" ht="14.25" thickBot="1">
      <c r="A10161" s="211" t="s">
        <v>519</v>
      </c>
      <c r="B10161" s="216" t="str">
        <f ca="1">_xlfn.CONCAT(B10124,A10161)</f>
        <v>3A4A4E80-aj</v>
      </c>
      <c r="C10161" s="34"/>
      <c r="D10161" s="187"/>
      <c r="E10161" s="29"/>
      <c r="F10161" s="28"/>
      <c r="G10161" s="33">
        <f>+E10161*F10161</f>
        <v>0</v>
      </c>
    </row>
    <row r="10162" spans="1:8" ht="14.25" thickBot="1">
      <c r="A10162" s="211" t="s">
        <v>520</v>
      </c>
      <c r="B10162" s="216" t="str">
        <f ca="1">_xlfn.CONCAT(B10124,A10162)</f>
        <v>3A4A4E80-ak</v>
      </c>
      <c r="C10162" s="34"/>
      <c r="D10162" s="185"/>
      <c r="E10162" s="26"/>
      <c r="F10162" s="36" t="s">
        <v>31</v>
      </c>
      <c r="G10162" s="23">
        <f>SUM(G10159:G10161)</f>
        <v>12703.574256188467</v>
      </c>
    </row>
    <row r="10163" spans="1:8" ht="14.25" thickBot="1">
      <c r="A10163" s="211" t="s">
        <v>521</v>
      </c>
      <c r="B10163" s="216" t="str">
        <f ca="1">_xlfn.CONCAT(B10124,A10163)</f>
        <v>3A4A4E80-al</v>
      </c>
      <c r="C10163" s="37"/>
      <c r="E10163" s="38"/>
      <c r="F10163" s="22"/>
      <c r="G10163" s="39"/>
    </row>
    <row r="10164" spans="1:8" ht="16.5" thickBot="1">
      <c r="A10164" s="211" t="s">
        <v>522</v>
      </c>
      <c r="B10164" s="216" t="str">
        <f ca="1">_xlfn.CONCAT(B10124,A10164)</f>
        <v>3A4A4E80-am</v>
      </c>
      <c r="C10164" s="40"/>
      <c r="D10164" s="193"/>
      <c r="E10164" s="41"/>
      <c r="F10164" s="42"/>
      <c r="G10164" s="43">
        <f>+G10147+G10156+G10162</f>
        <v>26419.477693688466</v>
      </c>
    </row>
    <row r="10165" spans="1:8" ht="21.75" thickBot="1">
      <c r="B10165" s="212" t="s">
        <v>550</v>
      </c>
      <c r="C10165" s="2"/>
      <c r="D10165" s="183"/>
      <c r="F10165" s="4"/>
      <c r="G10165" s="5"/>
    </row>
    <row r="10166" spans="1:8" ht="18.75">
      <c r="A10166" s="213"/>
      <c r="B10166" s="214">
        <v>231</v>
      </c>
      <c r="C10166" s="242" t="str">
        <f ca="1">_xlfn.XLOOKUP(B10166,Cantidades!$A$10:$A$314,Cantidades!$C$10:$C$314,,0,1)</f>
        <v>Suministro e instalación de caja plástica IP 65.  Incluye elementos de soporte y señalización.</v>
      </c>
      <c r="D10166" s="243"/>
      <c r="E10166" s="243"/>
      <c r="F10166" s="243"/>
      <c r="G10166" s="244"/>
    </row>
    <row r="10167" spans="1:8" ht="19.5" thickBot="1">
      <c r="A10167" s="215"/>
      <c r="B10167" s="216" t="s">
        <v>550</v>
      </c>
      <c r="C10167" s="177"/>
      <c r="D10167" s="189"/>
      <c r="E10167" s="178"/>
      <c r="F10167" s="179" t="s">
        <v>636</v>
      </c>
      <c r="G10167" s="209" t="str">
        <f ca="1">B10168</f>
        <v>170D7FFB-</v>
      </c>
    </row>
    <row r="10168" spans="1:8" ht="15.75" thickBot="1">
      <c r="B10168" s="212" t="str">
        <f ca="1">_xlfn.XLOOKUP(C10166,Cantidades!$C$1:$C$314,Cantidades!$B$1:$B$314,"",0,1)</f>
        <v>170D7FFB-</v>
      </c>
      <c r="C10168" s="10" t="s">
        <v>0</v>
      </c>
      <c r="D10168" s="190"/>
      <c r="E10168" s="11"/>
      <c r="F10168" s="12"/>
      <c r="G10168" s="13"/>
    </row>
    <row r="10169" spans="1:8" ht="14.25" thickBot="1">
      <c r="A10169" s="215"/>
      <c r="B10169" s="216" t="s">
        <v>550</v>
      </c>
      <c r="C10169" s="14" t="s">
        <v>1</v>
      </c>
      <c r="D10169" s="15" t="s">
        <v>2</v>
      </c>
      <c r="E10169" s="15" t="s">
        <v>3</v>
      </c>
      <c r="F10169" s="16" t="s">
        <v>4</v>
      </c>
      <c r="G10169" s="15" t="s">
        <v>5</v>
      </c>
    </row>
    <row r="10170" spans="1:8">
      <c r="A10170" s="211" t="s">
        <v>484</v>
      </c>
      <c r="B10170" s="216" t="str">
        <f ca="1">_xlfn.CONCAT(B10168,A10170)</f>
        <v>170D7FFB-A</v>
      </c>
      <c r="C10170" s="17" t="str">
        <f>_xlfn.XLOOKUP(H10170,'Materiales unitario'!$A$1:$A$2500,'Materiales unitario'!B$1:B$2500,,0,1)</f>
        <v>Caja plastica de paso ip 65 polipropileno 114x114x107mm</v>
      </c>
      <c r="D10170" s="184" t="str">
        <f>_xlfn.XLOOKUP(H10170,'Materiales unitario'!A$1:A$2500,'Materiales unitario'!C$1:C$2500,,0,1)</f>
        <v>un</v>
      </c>
      <c r="E10170" s="197">
        <f>_xlfn.XLOOKUP(H10170,'Materiales unitario'!$A$1:$A$2500,'Materiales unitario'!D$1:D$2500,,0,1)</f>
        <v>40215</v>
      </c>
      <c r="F10170" s="19">
        <v>1</v>
      </c>
      <c r="G10170" s="20">
        <f>+E10170*F10170</f>
        <v>40215</v>
      </c>
      <c r="H10170" s="211" t="s">
        <v>1654</v>
      </c>
    </row>
    <row r="10171" spans="1:8">
      <c r="A10171" s="211" t="s">
        <v>485</v>
      </c>
      <c r="B10171" s="216" t="str">
        <f ca="1">_xlfn.CONCAT(B10168,A10171)</f>
        <v>170D7FFB-B</v>
      </c>
      <c r="C10171" s="17" t="str">
        <f>_xlfn.XLOOKUP(H10171,'Materiales unitario'!$A$1:$A$2500,'Materiales unitario'!B$1:B$2500,,0,1)</f>
        <v>Accesorios de anclaje y fijacion.</v>
      </c>
      <c r="D10171" s="184" t="str">
        <f>_xlfn.XLOOKUP(H10171,'Materiales unitario'!A$1:A$2500,'Materiales unitario'!C$1:C$2500,,0,1)</f>
        <v>un</v>
      </c>
      <c r="E10171" s="197">
        <f>_xlfn.XLOOKUP(H10171,'Materiales unitario'!$A$1:$A$2500,'Materiales unitario'!D$1:D$2500,,0,1)</f>
        <v>10000</v>
      </c>
      <c r="F10171" s="19">
        <v>0.2</v>
      </c>
      <c r="G10171" s="20">
        <f>+E10171*F10171</f>
        <v>2000</v>
      </c>
      <c r="H10171" s="211" t="s">
        <v>222</v>
      </c>
    </row>
    <row r="10172" spans="1:8">
      <c r="A10172" s="211" t="s">
        <v>486</v>
      </c>
      <c r="B10172" s="216" t="str">
        <f ca="1">_xlfn.CONCAT(B10168,A10172)</f>
        <v>170D7FFB-C</v>
      </c>
      <c r="C10172" s="17"/>
      <c r="D10172" s="184"/>
      <c r="E10172" s="197"/>
      <c r="F10172" s="19"/>
      <c r="G10172" s="20"/>
    </row>
    <row r="10173" spans="1:8">
      <c r="A10173" s="211" t="s">
        <v>487</v>
      </c>
      <c r="B10173" s="216" t="str">
        <f ca="1">_xlfn.CONCAT(B10168,A10173)</f>
        <v>170D7FFB-D</v>
      </c>
      <c r="C10173" s="17"/>
      <c r="D10173" s="184"/>
      <c r="E10173" s="197"/>
      <c r="F10173" s="19"/>
      <c r="G10173" s="20"/>
    </row>
    <row r="10174" spans="1:8">
      <c r="A10174" s="211" t="s">
        <v>488</v>
      </c>
      <c r="B10174" s="216" t="str">
        <f ca="1">_xlfn.CONCAT(B10168,A10174)</f>
        <v>170D7FFB-E</v>
      </c>
      <c r="C10174" s="17"/>
      <c r="D10174" s="184"/>
      <c r="E10174" s="197"/>
      <c r="F10174" s="19"/>
      <c r="G10174" s="20"/>
    </row>
    <row r="10175" spans="1:8">
      <c r="A10175" s="211" t="s">
        <v>489</v>
      </c>
      <c r="B10175" s="216" t="str">
        <f ca="1">_xlfn.CONCAT(B10168,A10175)</f>
        <v>170D7FFB-F</v>
      </c>
      <c r="C10175" s="17"/>
      <c r="D10175" s="184"/>
      <c r="E10175" s="197"/>
      <c r="F10175" s="19"/>
      <c r="G10175" s="20"/>
    </row>
    <row r="10176" spans="1:8">
      <c r="A10176" s="211" t="s">
        <v>490</v>
      </c>
      <c r="B10176" s="216" t="str">
        <f ca="1">_xlfn.CONCAT(B10168,A10176)</f>
        <v>170D7FFB-G</v>
      </c>
      <c r="C10176" s="17"/>
      <c r="D10176" s="184"/>
      <c r="E10176" s="197"/>
      <c r="F10176" s="19"/>
      <c r="G10176" s="20"/>
    </row>
    <row r="10177" spans="1:7">
      <c r="A10177" s="211" t="s">
        <v>491</v>
      </c>
      <c r="B10177" s="216" t="str">
        <f ca="1">_xlfn.CONCAT(B10168,A10177)</f>
        <v>170D7FFB-H</v>
      </c>
      <c r="C10177" s="17"/>
      <c r="D10177" s="184"/>
      <c r="E10177" s="197"/>
      <c r="F10177" s="19"/>
      <c r="G10177" s="20"/>
    </row>
    <row r="10178" spans="1:7">
      <c r="A10178" s="211" t="s">
        <v>492</v>
      </c>
      <c r="B10178" s="216" t="str">
        <f ca="1">_xlfn.CONCAT(B10168,A10178)</f>
        <v>170D7FFB-I</v>
      </c>
      <c r="C10178" s="17"/>
      <c r="D10178" s="184"/>
      <c r="E10178" s="197"/>
      <c r="F10178" s="19"/>
      <c r="G10178" s="20"/>
    </row>
    <row r="10179" spans="1:7">
      <c r="A10179" s="211" t="s">
        <v>493</v>
      </c>
      <c r="B10179" s="216" t="str">
        <f ca="1">_xlfn.CONCAT(B10168,A10179)</f>
        <v>170D7FFB-J</v>
      </c>
      <c r="C10179" s="17"/>
      <c r="D10179" s="184"/>
      <c r="E10179" s="197"/>
      <c r="F10179" s="19"/>
      <c r="G10179" s="20"/>
    </row>
    <row r="10180" spans="1:7">
      <c r="A10180" s="211" t="s">
        <v>494</v>
      </c>
      <c r="B10180" s="216" t="str">
        <f ca="1">_xlfn.CONCAT(B10168,A10180)</f>
        <v>170D7FFB-K</v>
      </c>
      <c r="C10180" s="17"/>
      <c r="D10180" s="184"/>
      <c r="E10180" s="197"/>
      <c r="F10180" s="19"/>
      <c r="G10180" s="20"/>
    </row>
    <row r="10181" spans="1:7">
      <c r="A10181" s="211" t="s">
        <v>495</v>
      </c>
      <c r="B10181" s="216" t="str">
        <f ca="1">_xlfn.CONCAT(B10168,A10181)</f>
        <v>170D7FFB-L</v>
      </c>
      <c r="C10181" s="17"/>
      <c r="D10181" s="184"/>
      <c r="E10181" s="197"/>
      <c r="F10181" s="19"/>
      <c r="G10181" s="20"/>
    </row>
    <row r="10182" spans="1:7">
      <c r="A10182" s="211" t="s">
        <v>496</v>
      </c>
      <c r="B10182" s="216" t="str">
        <f ca="1">_xlfn.CONCAT(B10168,A10182)</f>
        <v>170D7FFB-M</v>
      </c>
      <c r="C10182" s="17"/>
      <c r="D10182" s="184"/>
      <c r="E10182" s="197"/>
      <c r="F10182" s="19"/>
      <c r="G10182" s="20"/>
    </row>
    <row r="10183" spans="1:7">
      <c r="A10183" s="211" t="s">
        <v>497</v>
      </c>
      <c r="B10183" s="216" t="str">
        <f ca="1">_xlfn.CONCAT(B10168,A10183)</f>
        <v>170D7FFB-N</v>
      </c>
      <c r="C10183" s="17"/>
      <c r="D10183" s="184"/>
      <c r="E10183" s="197"/>
      <c r="F10183" s="19"/>
      <c r="G10183" s="20"/>
    </row>
    <row r="10184" spans="1:7">
      <c r="A10184" s="211" t="s">
        <v>498</v>
      </c>
      <c r="B10184" s="216" t="str">
        <f ca="1">_xlfn.CONCAT(B10168,A10184)</f>
        <v>170D7FFB-O</v>
      </c>
      <c r="C10184" s="17"/>
      <c r="D10184" s="184"/>
      <c r="E10184" s="197"/>
      <c r="F10184" s="19"/>
      <c r="G10184" s="20"/>
    </row>
    <row r="10185" spans="1:7">
      <c r="A10185" s="211" t="s">
        <v>499</v>
      </c>
      <c r="B10185" s="216" t="str">
        <f ca="1">_xlfn.CONCAT(B10168,A10185)</f>
        <v>170D7FFB-P</v>
      </c>
      <c r="C10185" s="17"/>
      <c r="D10185" s="184"/>
      <c r="E10185" s="197"/>
      <c r="F10185" s="19"/>
      <c r="G10185" s="20"/>
    </row>
    <row r="10186" spans="1:7">
      <c r="A10186" s="211" t="s">
        <v>500</v>
      </c>
      <c r="B10186" s="216" t="str">
        <f ca="1">_xlfn.CONCAT(B10168,A10186)</f>
        <v>170D7FFB-Q</v>
      </c>
      <c r="C10186" s="17"/>
      <c r="D10186" s="184"/>
      <c r="E10186" s="197"/>
      <c r="F10186" s="19"/>
      <c r="G10186" s="20"/>
    </row>
    <row r="10187" spans="1:7">
      <c r="A10187" s="211" t="s">
        <v>501</v>
      </c>
      <c r="B10187" s="216" t="str">
        <f ca="1">_xlfn.CONCAT(B10168,A10187)</f>
        <v>170D7FFB-R</v>
      </c>
      <c r="C10187" s="17"/>
      <c r="D10187" s="184"/>
      <c r="E10187" s="197"/>
      <c r="F10187" s="19"/>
      <c r="G10187" s="20"/>
    </row>
    <row r="10188" spans="1:7">
      <c r="A10188" s="211" t="s">
        <v>502</v>
      </c>
      <c r="B10188" s="216" t="str">
        <f ca="1">_xlfn.CONCAT(B10168,A10188)</f>
        <v>170D7FFB-S</v>
      </c>
      <c r="C10188" s="17"/>
      <c r="D10188" s="184"/>
      <c r="E10188" s="197"/>
      <c r="F10188" s="19"/>
      <c r="G10188" s="20"/>
    </row>
    <row r="10189" spans="1:7">
      <c r="A10189" s="211" t="s">
        <v>503</v>
      </c>
      <c r="B10189" s="216" t="str">
        <f ca="1">_xlfn.CONCAT(B10168,A10189)</f>
        <v>170D7FFB-T</v>
      </c>
      <c r="C10189" s="17"/>
      <c r="D10189" s="184"/>
      <c r="E10189" s="197"/>
      <c r="F10189" s="19"/>
      <c r="G10189" s="20"/>
    </row>
    <row r="10190" spans="1:7" ht="14.25" thickBot="1">
      <c r="A10190" s="211" t="s">
        <v>504</v>
      </c>
      <c r="B10190" s="216" t="str">
        <f ca="1">_xlfn.CONCAT(B10168,A10190)</f>
        <v>170D7FFB-U</v>
      </c>
      <c r="C10190" s="17"/>
      <c r="D10190" s="184"/>
      <c r="E10190" s="197"/>
      <c r="F10190" s="19"/>
      <c r="G10190" s="20"/>
    </row>
    <row r="10191" spans="1:7" ht="14.25" thickBot="1">
      <c r="A10191" s="211" t="s">
        <v>505</v>
      </c>
      <c r="B10191" s="216" t="str">
        <f ca="1">_xlfn.CONCAT(B10168,A10191)</f>
        <v>170D7FFB-V</v>
      </c>
      <c r="C10191" s="17" t="s">
        <v>17</v>
      </c>
      <c r="D10191" s="192" t="s">
        <v>17</v>
      </c>
      <c r="E10191" s="18"/>
      <c r="F10191" s="22" t="s">
        <v>18</v>
      </c>
      <c r="G10191" s="23">
        <f>SUM(G10170:G10190)</f>
        <v>42215</v>
      </c>
    </row>
    <row r="10192" spans="1:7" ht="15.75" thickBot="1">
      <c r="A10192" s="211" t="s">
        <v>506</v>
      </c>
      <c r="B10192" s="216" t="str">
        <f ca="1">_xlfn.CONCAT(B10168,A10192)</f>
        <v>170D7FFB-W</v>
      </c>
      <c r="C10192" s="10" t="s">
        <v>19</v>
      </c>
      <c r="D10192" s="190"/>
      <c r="E10192" s="11"/>
      <c r="F10192" s="12"/>
      <c r="G10192" s="13"/>
    </row>
    <row r="10193" spans="1:7" ht="14.25" thickBot="1">
      <c r="A10193" s="211" t="s">
        <v>507</v>
      </c>
      <c r="B10193" s="216" t="str">
        <f ca="1">_xlfn.CONCAT(B10168,A10193)</f>
        <v>170D7FFB-X</v>
      </c>
      <c r="C10193" s="14" t="s">
        <v>1</v>
      </c>
      <c r="D10193" s="15"/>
      <c r="E10193" s="15" t="s">
        <v>20</v>
      </c>
      <c r="F10193" s="16" t="s">
        <v>21</v>
      </c>
      <c r="G10193" s="15" t="s">
        <v>5</v>
      </c>
    </row>
    <row r="10194" spans="1:7">
      <c r="A10194" s="211" t="s">
        <v>508</v>
      </c>
      <c r="B10194" s="216" t="str">
        <f ca="1">_xlfn.CONCAT(B10168,A10194)</f>
        <v>170D7FFB-Y</v>
      </c>
      <c r="C10194" s="24" t="s">
        <v>22</v>
      </c>
      <c r="D10194" s="184"/>
      <c r="E10194" s="25">
        <f>_xlfn.XLOOKUP(C10194,'H-MO'!B$7:B$30,'H-MO'!D$7:D$30,,0,1)</f>
        <v>2436.5624999999995</v>
      </c>
      <c r="F10194" s="19">
        <v>0.1</v>
      </c>
      <c r="G10194" s="33">
        <f t="shared" ref="G10194:G10199" si="290">+E10194*F10194</f>
        <v>243.65624999999997</v>
      </c>
    </row>
    <row r="10195" spans="1:7">
      <c r="A10195" s="211" t="s">
        <v>509</v>
      </c>
      <c r="B10195" s="216" t="str">
        <f ca="1">_xlfn.CONCAT(B10168,A10195)</f>
        <v>170D7FFB-Z</v>
      </c>
      <c r="C10195" s="24" t="s">
        <v>23</v>
      </c>
      <c r="D10195" s="184"/>
      <c r="E10195" s="25">
        <f>_xlfn.XLOOKUP(C10195,'H-MO'!B$7:B$30,'H-MO'!D$7:D$30,,0,1)</f>
        <v>1461.9374999999998</v>
      </c>
      <c r="F10195" s="19">
        <v>0.02</v>
      </c>
      <c r="G10195" s="33">
        <f t="shared" si="290"/>
        <v>29.238749999999996</v>
      </c>
    </row>
    <row r="10196" spans="1:7">
      <c r="A10196" s="211" t="s">
        <v>510</v>
      </c>
      <c r="B10196" s="216" t="str">
        <f ca="1">_xlfn.CONCAT(B10168,A10196)</f>
        <v>170D7FFB-aa</v>
      </c>
      <c r="C10196" s="24" t="s">
        <v>24</v>
      </c>
      <c r="D10196" s="185"/>
      <c r="E10196" s="25">
        <f>_xlfn.XLOOKUP(C10196,'H-MO'!B$7:B$30,'H-MO'!D$7:D$30,,0,1)</f>
        <v>29238.749999999996</v>
      </c>
      <c r="F10196" s="28">
        <v>0.01</v>
      </c>
      <c r="G10196" s="33">
        <f t="shared" si="290"/>
        <v>292.38749999999999</v>
      </c>
    </row>
    <row r="10197" spans="1:7">
      <c r="A10197" s="211" t="s">
        <v>511</v>
      </c>
      <c r="B10197" s="216" t="str">
        <f ca="1">_xlfn.CONCAT(B10168,A10197)</f>
        <v>170D7FFB-ab</v>
      </c>
      <c r="C10197" s="24" t="s">
        <v>25</v>
      </c>
      <c r="D10197" s="185"/>
      <c r="E10197" s="25">
        <f>_xlfn.XLOOKUP(C10197,'H-MO'!B$7:B$30,'H-MO'!D$7:D$30,,0,1)</f>
        <v>2761.4374999999995</v>
      </c>
      <c r="F10197" s="28">
        <v>0.5</v>
      </c>
      <c r="G10197" s="33">
        <f t="shared" si="290"/>
        <v>1380.7187499999998</v>
      </c>
    </row>
    <row r="10198" spans="1:7">
      <c r="A10198" s="211" t="s">
        <v>512</v>
      </c>
      <c r="B10198" s="216" t="str">
        <f ca="1">_xlfn.CONCAT(B10168,A10198)</f>
        <v>170D7FFB-ac</v>
      </c>
      <c r="C10198" s="24"/>
      <c r="D10198" s="185"/>
      <c r="E10198" s="29"/>
      <c r="F10198" s="28"/>
      <c r="G10198" s="33">
        <f t="shared" si="290"/>
        <v>0</v>
      </c>
    </row>
    <row r="10199" spans="1:7" ht="14.25" thickBot="1">
      <c r="A10199" s="211" t="s">
        <v>513</v>
      </c>
      <c r="B10199" s="216" t="str">
        <f ca="1">_xlfn.CONCAT(B10168,A10199)</f>
        <v>170D7FFB-ad</v>
      </c>
      <c r="C10199" s="24"/>
      <c r="D10199" s="185"/>
      <c r="E10199" s="29"/>
      <c r="F10199" s="28"/>
      <c r="G10199" s="33">
        <f t="shared" si="290"/>
        <v>0</v>
      </c>
    </row>
    <row r="10200" spans="1:7" ht="14.25" thickBot="1">
      <c r="A10200" s="211" t="s">
        <v>514</v>
      </c>
      <c r="B10200" s="216" t="str">
        <f ca="1">_xlfn.CONCAT(B10168,A10200)</f>
        <v>170D7FFB-ae</v>
      </c>
      <c r="C10200" s="17"/>
      <c r="D10200" s="192"/>
      <c r="E10200" s="18"/>
      <c r="F10200" s="22" t="s">
        <v>26</v>
      </c>
      <c r="G10200" s="23">
        <f>SUM(G10194:G10199)</f>
        <v>1946.0012499999998</v>
      </c>
    </row>
    <row r="10201" spans="1:7" ht="15.75" thickBot="1">
      <c r="A10201" s="211" t="s">
        <v>515</v>
      </c>
      <c r="B10201" s="216" t="str">
        <f ca="1">_xlfn.CONCAT(B10168,A10201)</f>
        <v>170D7FFB-af</v>
      </c>
      <c r="C10201" s="10" t="s">
        <v>27</v>
      </c>
      <c r="D10201" s="190"/>
      <c r="E10201" s="11"/>
      <c r="F10201" s="12"/>
      <c r="G10201" s="13"/>
    </row>
    <row r="10202" spans="1:7" ht="14.25" thickBot="1">
      <c r="A10202" s="211" t="s">
        <v>516</v>
      </c>
      <c r="B10202" s="216" t="str">
        <f ca="1">_xlfn.CONCAT(B10168,A10202)</f>
        <v>170D7FFB-ag</v>
      </c>
      <c r="C10202" s="14" t="s">
        <v>1</v>
      </c>
      <c r="D10202" s="15" t="s">
        <v>28</v>
      </c>
      <c r="E10202" s="15" t="s">
        <v>20</v>
      </c>
      <c r="F10202" s="16" t="s">
        <v>21</v>
      </c>
      <c r="G10202" s="15" t="s">
        <v>5</v>
      </c>
    </row>
    <row r="10203" spans="1:7">
      <c r="A10203" s="211" t="s">
        <v>517</v>
      </c>
      <c r="B10203" s="216" t="str">
        <f ca="1">_xlfn.CONCAT(B10168,A10203)</f>
        <v>170D7FFB-ah</v>
      </c>
      <c r="C10203" s="30" t="s">
        <v>29</v>
      </c>
      <c r="D10203" s="186">
        <f>'H-MO'!$N$77</f>
        <v>725918.52892505517</v>
      </c>
      <c r="E10203" s="31">
        <f>+D10203/8</f>
        <v>90739.816115631897</v>
      </c>
      <c r="F10203" s="32">
        <v>0.12</v>
      </c>
      <c r="G10203" s="33">
        <f>+E10203*F10203</f>
        <v>10888.777933875826</v>
      </c>
    </row>
    <row r="10204" spans="1:7">
      <c r="A10204" s="211" t="s">
        <v>518</v>
      </c>
      <c r="B10204" s="216" t="str">
        <f ca="1">_xlfn.CONCAT(B10168,A10204)</f>
        <v>170D7FFB-ai</v>
      </c>
      <c r="C10204" s="34" t="s">
        <v>30</v>
      </c>
      <c r="D10204" s="187">
        <f>'H-MO'!$N$86</f>
        <v>685561.39085756091</v>
      </c>
      <c r="E10204" s="29">
        <f>+D10204/8</f>
        <v>85695.173857195114</v>
      </c>
      <c r="F10204" s="28">
        <v>0</v>
      </c>
      <c r="G10204" s="33">
        <f>+E10204*F10204</f>
        <v>0</v>
      </c>
    </row>
    <row r="10205" spans="1:7" ht="14.25" thickBot="1">
      <c r="A10205" s="211" t="s">
        <v>519</v>
      </c>
      <c r="B10205" s="216" t="str">
        <f ca="1">_xlfn.CONCAT(B10168,A10205)</f>
        <v>170D7FFB-aj</v>
      </c>
      <c r="C10205" s="34"/>
      <c r="D10205" s="187"/>
      <c r="E10205" s="29"/>
      <c r="F10205" s="28"/>
      <c r="G10205" s="33">
        <f>+E10205*F10205</f>
        <v>0</v>
      </c>
    </row>
    <row r="10206" spans="1:7" ht="14.25" thickBot="1">
      <c r="A10206" s="211" t="s">
        <v>520</v>
      </c>
      <c r="B10206" s="216" t="str">
        <f ca="1">_xlfn.CONCAT(B10168,A10206)</f>
        <v>170D7FFB-ak</v>
      </c>
      <c r="C10206" s="34"/>
      <c r="D10206" s="185"/>
      <c r="E10206" s="26"/>
      <c r="F10206" s="36" t="s">
        <v>31</v>
      </c>
      <c r="G10206" s="23">
        <f>SUM(G10203:G10205)</f>
        <v>10888.777933875826</v>
      </c>
    </row>
    <row r="10207" spans="1:7" ht="14.25" thickBot="1">
      <c r="A10207" s="211" t="s">
        <v>521</v>
      </c>
      <c r="B10207" s="216" t="str">
        <f ca="1">_xlfn.CONCAT(B10168,A10207)</f>
        <v>170D7FFB-al</v>
      </c>
      <c r="C10207" s="37"/>
      <c r="E10207" s="38"/>
      <c r="F10207" s="22"/>
      <c r="G10207" s="39"/>
    </row>
    <row r="10208" spans="1:7" ht="16.5" thickBot="1">
      <c r="A10208" s="211" t="s">
        <v>522</v>
      </c>
      <c r="B10208" s="216" t="str">
        <f ca="1">_xlfn.CONCAT(B10168,A10208)</f>
        <v>170D7FFB-am</v>
      </c>
      <c r="C10208" s="40"/>
      <c r="D10208" s="193"/>
      <c r="E10208" s="41"/>
      <c r="F10208" s="42"/>
      <c r="G10208" s="43">
        <f>+G10191+G10200+G10206</f>
        <v>55049.779183875828</v>
      </c>
    </row>
    <row r="10209" spans="1:8" ht="21.75" thickBot="1">
      <c r="B10209" s="212" t="s">
        <v>550</v>
      </c>
      <c r="C10209" s="2"/>
      <c r="D10209" s="183"/>
      <c r="F10209" s="4"/>
      <c r="G10209" s="5"/>
    </row>
    <row r="10210" spans="1:8" ht="18.75">
      <c r="A10210" s="213"/>
      <c r="B10210" s="214">
        <v>232</v>
      </c>
      <c r="C10210" s="242" t="str">
        <f ca="1">_xlfn.XLOOKUP(B10210,Cantidades!$A$10:$A$314,Cantidades!$C$10:$C$314,,0,1)</f>
        <v>Suministro e instalación de cable 1/0 AWG de cobre.  Incluye tubo IMC de 1" y elementos de conexionado y soporte.</v>
      </c>
      <c r="D10210" s="243"/>
      <c r="E10210" s="243"/>
      <c r="F10210" s="243"/>
      <c r="G10210" s="244"/>
    </row>
    <row r="10211" spans="1:8" ht="19.5" thickBot="1">
      <c r="A10211" s="215"/>
      <c r="B10211" s="216" t="s">
        <v>550</v>
      </c>
      <c r="C10211" s="177"/>
      <c r="D10211" s="189"/>
      <c r="E10211" s="178"/>
      <c r="F10211" s="179" t="s">
        <v>636</v>
      </c>
      <c r="G10211" s="209" t="str">
        <f ca="1">B10212</f>
        <v>4EFF172-</v>
      </c>
    </row>
    <row r="10212" spans="1:8" ht="15.75" thickBot="1">
      <c r="B10212" s="212" t="str">
        <f ca="1">_xlfn.XLOOKUP(C10210,Cantidades!$C$1:$C$314,Cantidades!$B$1:$B$314,"",0,1)</f>
        <v>4EFF172-</v>
      </c>
      <c r="C10212" s="10" t="s">
        <v>0</v>
      </c>
      <c r="D10212" s="190"/>
      <c r="E10212" s="11"/>
      <c r="F10212" s="12"/>
      <c r="G10212" s="13"/>
    </row>
    <row r="10213" spans="1:8" ht="14.25" thickBot="1">
      <c r="A10213" s="215"/>
      <c r="B10213" s="216" t="s">
        <v>550</v>
      </c>
      <c r="C10213" s="14" t="s">
        <v>1</v>
      </c>
      <c r="D10213" s="15" t="s">
        <v>2</v>
      </c>
      <c r="E10213" s="15" t="s">
        <v>3</v>
      </c>
      <c r="F10213" s="16" t="s">
        <v>4</v>
      </c>
      <c r="G10213" s="15" t="s">
        <v>5</v>
      </c>
    </row>
    <row r="10214" spans="1:8">
      <c r="A10214" s="211" t="s">
        <v>484</v>
      </c>
      <c r="B10214" s="216" t="str">
        <f ca="1">_xlfn.CONCAT(B10212,A10214)</f>
        <v>4EFF172-A</v>
      </c>
      <c r="C10214" s="17" t="str">
        <f>_xlfn.XLOOKUP(H10214,'Materiales unitario'!$A$1:$A$2500,'Materiales unitario'!B$1:B$2500,,0,1)</f>
        <v>Cable de cobre aislado #1/0 AWG-THHN/THWN Color negro</v>
      </c>
      <c r="D10214" s="184" t="str">
        <f>_xlfn.XLOOKUP(H10214,'Materiales unitario'!A$1:A$2500,'Materiales unitario'!C$1:C$2500,,0,1)</f>
        <v>ml</v>
      </c>
      <c r="E10214" s="197">
        <f>_xlfn.XLOOKUP(H10214,'Materiales unitario'!$A$1:$A$2500,'Materiales unitario'!D$1:D$2500,,0,1)</f>
        <v>39250</v>
      </c>
      <c r="F10214" s="19">
        <v>1</v>
      </c>
      <c r="G10214" s="20">
        <f>+E10214*F10214</f>
        <v>39250</v>
      </c>
      <c r="H10214" s="211" t="s">
        <v>264</v>
      </c>
    </row>
    <row r="10215" spans="1:8">
      <c r="A10215" s="211" t="s">
        <v>485</v>
      </c>
      <c r="B10215" s="216" t="str">
        <f ca="1">_xlfn.CONCAT(B10212,A10215)</f>
        <v>4EFF172-B</v>
      </c>
      <c r="C10215" s="17" t="str">
        <f>_xlfn.XLOOKUP(H10215,'Materiales unitario'!$A$1:$A$2500,'Materiales unitario'!B$1:B$2500,,0,1)</f>
        <v>Tubo metalico galv. IMC 1"</v>
      </c>
      <c r="D10215" s="184" t="str">
        <f>_xlfn.XLOOKUP(H10215,'Materiales unitario'!A$1:A$2500,'Materiales unitario'!C$1:C$2500,,0,1)</f>
        <v>ml</v>
      </c>
      <c r="E10215" s="197">
        <f>_xlfn.XLOOKUP(H10215,'Materiales unitario'!$A$1:$A$2500,'Materiales unitario'!D$1:D$2500,,0,1)</f>
        <v>29322</v>
      </c>
      <c r="F10215" s="19">
        <v>1.05</v>
      </c>
      <c r="G10215" s="20">
        <f>+E10215*F10215</f>
        <v>30788.100000000002</v>
      </c>
      <c r="H10215" s="211" t="s">
        <v>1377</v>
      </c>
    </row>
    <row r="10216" spans="1:8">
      <c r="A10216" s="211" t="s">
        <v>486</v>
      </c>
      <c r="B10216" s="216" t="str">
        <f ca="1">_xlfn.CONCAT(B10212,A10216)</f>
        <v>4EFF172-C</v>
      </c>
      <c r="C10216" s="17" t="str">
        <f>_xlfn.XLOOKUP(H10216,'Materiales unitario'!$A$1:$A$2500,'Materiales unitario'!B$1:B$2500,,0,1)</f>
        <v>Union metalica galv. IMC 1"</v>
      </c>
      <c r="D10216" s="184" t="str">
        <f>_xlfn.XLOOKUP(H10216,'Materiales unitario'!A$1:A$2500,'Materiales unitario'!C$1:C$2500,,0,1)</f>
        <v>un</v>
      </c>
      <c r="E10216" s="197">
        <f>_xlfn.XLOOKUP(H10216,'Materiales unitario'!$A$1:$A$2500,'Materiales unitario'!D$1:D$2500,,0,1)</f>
        <v>3670</v>
      </c>
      <c r="F10216" s="19">
        <v>0.1</v>
      </c>
      <c r="G10216" s="20">
        <f t="shared" ref="G10216" si="291">+E10216*F10216</f>
        <v>367</v>
      </c>
      <c r="H10216" s="211" t="s">
        <v>1379</v>
      </c>
    </row>
    <row r="10217" spans="1:8">
      <c r="A10217" s="211" t="s">
        <v>487</v>
      </c>
      <c r="B10217" s="216" t="str">
        <f ca="1">_xlfn.CONCAT(B10212,A10217)</f>
        <v>4EFF172-D</v>
      </c>
      <c r="C10217" s="17"/>
      <c r="D10217" s="184"/>
      <c r="E10217" s="197"/>
      <c r="F10217" s="19"/>
      <c r="G10217" s="20"/>
    </row>
    <row r="10218" spans="1:8">
      <c r="A10218" s="211" t="s">
        <v>488</v>
      </c>
      <c r="B10218" s="216" t="str">
        <f ca="1">_xlfn.CONCAT(B10212,A10218)</f>
        <v>4EFF172-E</v>
      </c>
      <c r="C10218" s="17"/>
      <c r="D10218" s="184"/>
      <c r="E10218" s="197"/>
      <c r="F10218" s="19"/>
      <c r="G10218" s="20"/>
    </row>
    <row r="10219" spans="1:8">
      <c r="A10219" s="211" t="s">
        <v>489</v>
      </c>
      <c r="B10219" s="216" t="str">
        <f ca="1">_xlfn.CONCAT(B10212,A10219)</f>
        <v>4EFF172-F</v>
      </c>
      <c r="C10219" s="17"/>
      <c r="D10219" s="184"/>
      <c r="E10219" s="197"/>
      <c r="F10219" s="19"/>
      <c r="G10219" s="20"/>
    </row>
    <row r="10220" spans="1:8">
      <c r="A10220" s="211" t="s">
        <v>490</v>
      </c>
      <c r="B10220" s="216" t="str">
        <f ca="1">_xlfn.CONCAT(B10212,A10220)</f>
        <v>4EFF172-G</v>
      </c>
      <c r="C10220" s="17"/>
      <c r="D10220" s="184"/>
      <c r="E10220" s="197"/>
      <c r="F10220" s="19"/>
      <c r="G10220" s="20"/>
    </row>
    <row r="10221" spans="1:8">
      <c r="A10221" s="211" t="s">
        <v>491</v>
      </c>
      <c r="B10221" s="216" t="str">
        <f ca="1">_xlfn.CONCAT(B10212,A10221)</f>
        <v>4EFF172-H</v>
      </c>
      <c r="C10221" s="17"/>
      <c r="D10221" s="184"/>
      <c r="E10221" s="197"/>
      <c r="F10221" s="19"/>
      <c r="G10221" s="20"/>
    </row>
    <row r="10222" spans="1:8">
      <c r="A10222" s="211" t="s">
        <v>492</v>
      </c>
      <c r="B10222" s="216" t="str">
        <f ca="1">_xlfn.CONCAT(B10212,A10222)</f>
        <v>4EFF172-I</v>
      </c>
      <c r="C10222" s="17"/>
      <c r="D10222" s="184"/>
      <c r="E10222" s="197"/>
      <c r="F10222" s="19"/>
      <c r="G10222" s="20"/>
    </row>
    <row r="10223" spans="1:8">
      <c r="A10223" s="211" t="s">
        <v>493</v>
      </c>
      <c r="B10223" s="216" t="str">
        <f ca="1">_xlfn.CONCAT(B10212,A10223)</f>
        <v>4EFF172-J</v>
      </c>
      <c r="C10223" s="17"/>
      <c r="D10223" s="184"/>
      <c r="E10223" s="197"/>
      <c r="F10223" s="19"/>
      <c r="G10223" s="20"/>
    </row>
    <row r="10224" spans="1:8">
      <c r="A10224" s="211" t="s">
        <v>494</v>
      </c>
      <c r="B10224" s="216" t="str">
        <f ca="1">_xlfn.CONCAT(B10212,A10224)</f>
        <v>4EFF172-K</v>
      </c>
      <c r="C10224" s="17"/>
      <c r="D10224" s="184"/>
      <c r="E10224" s="197"/>
      <c r="F10224" s="19"/>
      <c r="G10224" s="20"/>
    </row>
    <row r="10225" spans="1:7">
      <c r="A10225" s="211" t="s">
        <v>495</v>
      </c>
      <c r="B10225" s="216" t="str">
        <f ca="1">_xlfn.CONCAT(B10212,A10225)</f>
        <v>4EFF172-L</v>
      </c>
      <c r="C10225" s="17"/>
      <c r="D10225" s="184"/>
      <c r="E10225" s="197"/>
      <c r="F10225" s="19"/>
      <c r="G10225" s="20"/>
    </row>
    <row r="10226" spans="1:7">
      <c r="A10226" s="211" t="s">
        <v>496</v>
      </c>
      <c r="B10226" s="216" t="str">
        <f ca="1">_xlfn.CONCAT(B10212,A10226)</f>
        <v>4EFF172-M</v>
      </c>
      <c r="C10226" s="17"/>
      <c r="D10226" s="184"/>
      <c r="E10226" s="197"/>
      <c r="F10226" s="19"/>
      <c r="G10226" s="20"/>
    </row>
    <row r="10227" spans="1:7">
      <c r="A10227" s="211" t="s">
        <v>497</v>
      </c>
      <c r="B10227" s="216" t="str">
        <f ca="1">_xlfn.CONCAT(B10212,A10227)</f>
        <v>4EFF172-N</v>
      </c>
      <c r="C10227" s="17"/>
      <c r="D10227" s="184"/>
      <c r="E10227" s="197"/>
      <c r="F10227" s="19"/>
      <c r="G10227" s="20"/>
    </row>
    <row r="10228" spans="1:7">
      <c r="A10228" s="211" t="s">
        <v>498</v>
      </c>
      <c r="B10228" s="216" t="str">
        <f ca="1">_xlfn.CONCAT(B10212,A10228)</f>
        <v>4EFF172-O</v>
      </c>
      <c r="C10228" s="17"/>
      <c r="D10228" s="184"/>
      <c r="E10228" s="197"/>
      <c r="F10228" s="19"/>
      <c r="G10228" s="20"/>
    </row>
    <row r="10229" spans="1:7">
      <c r="A10229" s="211" t="s">
        <v>499</v>
      </c>
      <c r="B10229" s="216" t="str">
        <f ca="1">_xlfn.CONCAT(B10212,A10229)</f>
        <v>4EFF172-P</v>
      </c>
      <c r="C10229" s="17"/>
      <c r="D10229" s="184"/>
      <c r="E10229" s="197"/>
      <c r="F10229" s="19"/>
      <c r="G10229" s="20"/>
    </row>
    <row r="10230" spans="1:7">
      <c r="A10230" s="211" t="s">
        <v>500</v>
      </c>
      <c r="B10230" s="216" t="str">
        <f ca="1">_xlfn.CONCAT(B10212,A10230)</f>
        <v>4EFF172-Q</v>
      </c>
      <c r="C10230" s="17"/>
      <c r="D10230" s="184"/>
      <c r="E10230" s="197"/>
      <c r="F10230" s="19"/>
      <c r="G10230" s="20"/>
    </row>
    <row r="10231" spans="1:7">
      <c r="A10231" s="211" t="s">
        <v>501</v>
      </c>
      <c r="B10231" s="216" t="str">
        <f ca="1">_xlfn.CONCAT(B10212,A10231)</f>
        <v>4EFF172-R</v>
      </c>
      <c r="C10231" s="17"/>
      <c r="D10231" s="184"/>
      <c r="E10231" s="197"/>
      <c r="F10231" s="19"/>
      <c r="G10231" s="20"/>
    </row>
    <row r="10232" spans="1:7">
      <c r="A10232" s="211" t="s">
        <v>502</v>
      </c>
      <c r="B10232" s="216" t="str">
        <f ca="1">_xlfn.CONCAT(B10212,A10232)</f>
        <v>4EFF172-S</v>
      </c>
      <c r="C10232" s="17"/>
      <c r="D10232" s="184"/>
      <c r="E10232" s="197"/>
      <c r="F10232" s="19"/>
      <c r="G10232" s="20"/>
    </row>
    <row r="10233" spans="1:7">
      <c r="A10233" s="211" t="s">
        <v>503</v>
      </c>
      <c r="B10233" s="216" t="str">
        <f ca="1">_xlfn.CONCAT(B10212,A10233)</f>
        <v>4EFF172-T</v>
      </c>
      <c r="C10233" s="17"/>
      <c r="D10233" s="184"/>
      <c r="E10233" s="197"/>
      <c r="F10233" s="19"/>
      <c r="G10233" s="20"/>
    </row>
    <row r="10234" spans="1:7" ht="14.25" thickBot="1">
      <c r="A10234" s="211" t="s">
        <v>504</v>
      </c>
      <c r="B10234" s="216" t="str">
        <f ca="1">_xlfn.CONCAT(B10212,A10234)</f>
        <v>4EFF172-U</v>
      </c>
      <c r="C10234" s="17"/>
      <c r="D10234" s="184"/>
      <c r="E10234" s="197"/>
      <c r="F10234" s="19"/>
      <c r="G10234" s="20"/>
    </row>
    <row r="10235" spans="1:7" ht="14.25" thickBot="1">
      <c r="A10235" s="211" t="s">
        <v>505</v>
      </c>
      <c r="B10235" s="216" t="str">
        <f ca="1">_xlfn.CONCAT(B10212,A10235)</f>
        <v>4EFF172-V</v>
      </c>
      <c r="C10235" s="17" t="s">
        <v>17</v>
      </c>
      <c r="D10235" s="192" t="s">
        <v>17</v>
      </c>
      <c r="E10235" s="18"/>
      <c r="F10235" s="22" t="s">
        <v>18</v>
      </c>
      <c r="G10235" s="23">
        <f>SUM(G10214:G10234)</f>
        <v>70405.100000000006</v>
      </c>
    </row>
    <row r="10236" spans="1:7" ht="15.75" thickBot="1">
      <c r="A10236" s="211" t="s">
        <v>506</v>
      </c>
      <c r="B10236" s="216" t="str">
        <f ca="1">_xlfn.CONCAT(B10212,A10236)</f>
        <v>4EFF172-W</v>
      </c>
      <c r="C10236" s="10" t="s">
        <v>19</v>
      </c>
      <c r="D10236" s="190"/>
      <c r="E10236" s="11"/>
      <c r="F10236" s="12"/>
      <c r="G10236" s="13"/>
    </row>
    <row r="10237" spans="1:7" ht="14.25" thickBot="1">
      <c r="A10237" s="211" t="s">
        <v>507</v>
      </c>
      <c r="B10237" s="216" t="str">
        <f ca="1">_xlfn.CONCAT(B10212,A10237)</f>
        <v>4EFF172-X</v>
      </c>
      <c r="C10237" s="14" t="s">
        <v>1</v>
      </c>
      <c r="D10237" s="15"/>
      <c r="E10237" s="15" t="s">
        <v>20</v>
      </c>
      <c r="F10237" s="16" t="s">
        <v>21</v>
      </c>
      <c r="G10237" s="15" t="s">
        <v>5</v>
      </c>
    </row>
    <row r="10238" spans="1:7">
      <c r="A10238" s="211" t="s">
        <v>508</v>
      </c>
      <c r="B10238" s="216" t="str">
        <f ca="1">_xlfn.CONCAT(B10212,A10238)</f>
        <v>4EFF172-Y</v>
      </c>
      <c r="C10238" s="24" t="s">
        <v>22</v>
      </c>
      <c r="D10238" s="184"/>
      <c r="E10238" s="25">
        <f>_xlfn.XLOOKUP(C10238,'H-MO'!B$7:B$30,'H-MO'!D$7:D$30,,0,1)</f>
        <v>2436.5624999999995</v>
      </c>
      <c r="F10238" s="19">
        <v>0.3</v>
      </c>
      <c r="G10238" s="33">
        <f t="shared" ref="G10238:G10243" si="292">+E10238*F10238</f>
        <v>730.96874999999989</v>
      </c>
    </row>
    <row r="10239" spans="1:7">
      <c r="A10239" s="211" t="s">
        <v>509</v>
      </c>
      <c r="B10239" s="216" t="str">
        <f ca="1">_xlfn.CONCAT(B10212,A10239)</f>
        <v>4EFF172-Z</v>
      </c>
      <c r="C10239" s="24" t="s">
        <v>23</v>
      </c>
      <c r="D10239" s="184"/>
      <c r="E10239" s="25">
        <f>_xlfn.XLOOKUP(C10239,'H-MO'!B$7:B$30,'H-MO'!D$7:D$30,,0,1)</f>
        <v>1461.9374999999998</v>
      </c>
      <c r="F10239" s="19">
        <v>0.06</v>
      </c>
      <c r="G10239" s="33">
        <f t="shared" si="292"/>
        <v>87.716249999999988</v>
      </c>
    </row>
    <row r="10240" spans="1:7">
      <c r="A10240" s="211" t="s">
        <v>510</v>
      </c>
      <c r="B10240" s="216" t="str">
        <f ca="1">_xlfn.CONCAT(B10212,A10240)</f>
        <v>4EFF172-aa</v>
      </c>
      <c r="C10240" s="24" t="s">
        <v>24</v>
      </c>
      <c r="D10240" s="185"/>
      <c r="E10240" s="25">
        <f>_xlfn.XLOOKUP(C10240,'H-MO'!B$7:B$30,'H-MO'!D$7:D$30,,0,1)</f>
        <v>29238.749999999996</v>
      </c>
      <c r="F10240" s="28">
        <v>0.01</v>
      </c>
      <c r="G10240" s="33">
        <f t="shared" si="292"/>
        <v>292.38749999999999</v>
      </c>
    </row>
    <row r="10241" spans="1:7">
      <c r="A10241" s="211" t="s">
        <v>511</v>
      </c>
      <c r="B10241" s="216" t="str">
        <f ca="1">_xlfn.CONCAT(B10212,A10241)</f>
        <v>4EFF172-ab</v>
      </c>
      <c r="C10241" s="24" t="s">
        <v>25</v>
      </c>
      <c r="D10241" s="185"/>
      <c r="E10241" s="25">
        <f>_xlfn.XLOOKUP(C10241,'H-MO'!B$7:B$30,'H-MO'!D$7:D$30,,0,1)</f>
        <v>2761.4374999999995</v>
      </c>
      <c r="F10241" s="28">
        <v>0.3</v>
      </c>
      <c r="G10241" s="33">
        <f t="shared" si="292"/>
        <v>828.43124999999986</v>
      </c>
    </row>
    <row r="10242" spans="1:7">
      <c r="A10242" s="211" t="s">
        <v>512</v>
      </c>
      <c r="B10242" s="216" t="str">
        <f ca="1">_xlfn.CONCAT(B10212,A10242)</f>
        <v>4EFF172-ac</v>
      </c>
      <c r="C10242" s="24"/>
      <c r="D10242" s="185"/>
      <c r="E10242" s="29"/>
      <c r="F10242" s="28"/>
      <c r="G10242" s="33">
        <f t="shared" si="292"/>
        <v>0</v>
      </c>
    </row>
    <row r="10243" spans="1:7" ht="14.25" thickBot="1">
      <c r="A10243" s="211" t="s">
        <v>513</v>
      </c>
      <c r="B10243" s="216" t="str">
        <f ca="1">_xlfn.CONCAT(B10212,A10243)</f>
        <v>4EFF172-ad</v>
      </c>
      <c r="C10243" s="24"/>
      <c r="D10243" s="185"/>
      <c r="E10243" s="29"/>
      <c r="F10243" s="28"/>
      <c r="G10243" s="33">
        <f t="shared" si="292"/>
        <v>0</v>
      </c>
    </row>
    <row r="10244" spans="1:7" ht="14.25" thickBot="1">
      <c r="A10244" s="211" t="s">
        <v>514</v>
      </c>
      <c r="B10244" s="216" t="str">
        <f ca="1">_xlfn.CONCAT(B10212,A10244)</f>
        <v>4EFF172-ae</v>
      </c>
      <c r="C10244" s="17"/>
      <c r="D10244" s="192"/>
      <c r="E10244" s="18"/>
      <c r="F10244" s="22" t="s">
        <v>26</v>
      </c>
      <c r="G10244" s="23">
        <f>SUM(G10238:G10243)</f>
        <v>1939.5037499999996</v>
      </c>
    </row>
    <row r="10245" spans="1:7" ht="15.75" thickBot="1">
      <c r="A10245" s="211" t="s">
        <v>515</v>
      </c>
      <c r="B10245" s="216" t="str">
        <f ca="1">_xlfn.CONCAT(B10212,A10245)</f>
        <v>4EFF172-af</v>
      </c>
      <c r="C10245" s="10" t="s">
        <v>27</v>
      </c>
      <c r="D10245" s="190"/>
      <c r="E10245" s="11"/>
      <c r="F10245" s="12"/>
      <c r="G10245" s="13"/>
    </row>
    <row r="10246" spans="1:7" ht="14.25" thickBot="1">
      <c r="A10246" s="211" t="s">
        <v>516</v>
      </c>
      <c r="B10246" s="216" t="str">
        <f ca="1">_xlfn.CONCAT(B10212,A10246)</f>
        <v>4EFF172-ag</v>
      </c>
      <c r="C10246" s="14" t="s">
        <v>1</v>
      </c>
      <c r="D10246" s="15" t="s">
        <v>28</v>
      </c>
      <c r="E10246" s="15" t="s">
        <v>20</v>
      </c>
      <c r="F10246" s="16" t="s">
        <v>21</v>
      </c>
      <c r="G10246" s="15" t="s">
        <v>5</v>
      </c>
    </row>
    <row r="10247" spans="1:7">
      <c r="A10247" s="211" t="s">
        <v>517</v>
      </c>
      <c r="B10247" s="216" t="str">
        <f ca="1">_xlfn.CONCAT(B10212,A10247)</f>
        <v>4EFF172-ah</v>
      </c>
      <c r="C10247" s="30" t="s">
        <v>29</v>
      </c>
      <c r="D10247" s="186">
        <f>'H-MO'!$N$77</f>
        <v>725918.52892505517</v>
      </c>
      <c r="E10247" s="31">
        <f>+D10247/8</f>
        <v>90739.816115631897</v>
      </c>
      <c r="F10247" s="32">
        <v>0.36</v>
      </c>
      <c r="G10247" s="33">
        <f>+E10247*F10247</f>
        <v>32666.333801627483</v>
      </c>
    </row>
    <row r="10248" spans="1:7">
      <c r="A10248" s="211" t="s">
        <v>518</v>
      </c>
      <c r="B10248" s="216" t="str">
        <f ca="1">_xlfn.CONCAT(B10212,A10248)</f>
        <v>4EFF172-ai</v>
      </c>
      <c r="C10248" s="34" t="s">
        <v>30</v>
      </c>
      <c r="D10248" s="187">
        <f>'H-MO'!$N$86</f>
        <v>685561.39085756091</v>
      </c>
      <c r="E10248" s="29">
        <f>+D10248/8</f>
        <v>85695.173857195114</v>
      </c>
      <c r="F10248" s="28">
        <v>0</v>
      </c>
      <c r="G10248" s="33">
        <f>+E10248*F10248</f>
        <v>0</v>
      </c>
    </row>
    <row r="10249" spans="1:7" ht="14.25" thickBot="1">
      <c r="A10249" s="211" t="s">
        <v>519</v>
      </c>
      <c r="B10249" s="216" t="str">
        <f ca="1">_xlfn.CONCAT(B10212,A10249)</f>
        <v>4EFF172-aj</v>
      </c>
      <c r="C10249" s="34"/>
      <c r="D10249" s="187"/>
      <c r="E10249" s="29"/>
      <c r="F10249" s="28"/>
      <c r="G10249" s="33">
        <f>+E10249*F10249</f>
        <v>0</v>
      </c>
    </row>
    <row r="10250" spans="1:7" ht="14.25" thickBot="1">
      <c r="A10250" s="211" t="s">
        <v>520</v>
      </c>
      <c r="B10250" s="216" t="str">
        <f ca="1">_xlfn.CONCAT(B10212,A10250)</f>
        <v>4EFF172-ak</v>
      </c>
      <c r="C10250" s="34"/>
      <c r="D10250" s="185"/>
      <c r="E10250" s="26"/>
      <c r="F10250" s="36" t="s">
        <v>31</v>
      </c>
      <c r="G10250" s="23">
        <f>SUM(G10247:G10249)</f>
        <v>32666.333801627483</v>
      </c>
    </row>
    <row r="10251" spans="1:7" ht="14.25" thickBot="1">
      <c r="A10251" s="211" t="s">
        <v>521</v>
      </c>
      <c r="B10251" s="216" t="str">
        <f ca="1">_xlfn.CONCAT(B10212,A10251)</f>
        <v>4EFF172-al</v>
      </c>
      <c r="C10251" s="37"/>
      <c r="E10251" s="38"/>
      <c r="F10251" s="22"/>
      <c r="G10251" s="39"/>
    </row>
    <row r="10252" spans="1:7" ht="16.5" thickBot="1">
      <c r="A10252" s="211" t="s">
        <v>522</v>
      </c>
      <c r="B10252" s="216" t="str">
        <f ca="1">_xlfn.CONCAT(B10212,A10252)</f>
        <v>4EFF172-am</v>
      </c>
      <c r="C10252" s="40"/>
      <c r="D10252" s="193"/>
      <c r="E10252" s="41"/>
      <c r="F10252" s="42"/>
      <c r="G10252" s="43">
        <f>+G10235+G10244+G10250</f>
        <v>105010.93755162749</v>
      </c>
    </row>
    <row r="10253" spans="1:7" ht="21.75" thickBot="1">
      <c r="B10253" s="212" t="s">
        <v>550</v>
      </c>
      <c r="C10253" s="2"/>
      <c r="D10253" s="183"/>
      <c r="F10253" s="4"/>
      <c r="G10253" s="5"/>
    </row>
    <row r="10254" spans="1:7" ht="18.75">
      <c r="A10254" s="213"/>
      <c r="B10254" s="214">
        <v>233</v>
      </c>
      <c r="C10254" s="242" t="str">
        <f ca="1">_xlfn.XLOOKUP(B10254,Cantidades!$A$10:$A$314,Cantidades!$C$10:$C$314,,0,1)</f>
        <v>Alquiler, uso y recopilacion de datos con Analizador de redes.</v>
      </c>
      <c r="D10254" s="243"/>
      <c r="E10254" s="243"/>
      <c r="F10254" s="243"/>
      <c r="G10254" s="244"/>
    </row>
    <row r="10255" spans="1:7" ht="19.5" thickBot="1">
      <c r="A10255" s="215"/>
      <c r="B10255" s="216" t="s">
        <v>550</v>
      </c>
      <c r="C10255" s="177"/>
      <c r="D10255" s="189"/>
      <c r="E10255" s="178"/>
      <c r="F10255" s="179" t="s">
        <v>636</v>
      </c>
      <c r="G10255" s="209" t="str">
        <f ca="1">B10256</f>
        <v>11FB6D2-</v>
      </c>
    </row>
    <row r="10256" spans="1:7" ht="15.75" thickBot="1">
      <c r="B10256" s="212" t="str">
        <f ca="1">_xlfn.XLOOKUP(C10254,Cantidades!$C$1:$C$314,Cantidades!$B$1:$B$314,"",0,1)</f>
        <v>11FB6D2-</v>
      </c>
      <c r="C10256" s="10" t="s">
        <v>0</v>
      </c>
      <c r="D10256" s="190"/>
      <c r="E10256" s="11"/>
      <c r="F10256" s="12"/>
      <c r="G10256" s="13"/>
    </row>
    <row r="10257" spans="1:8" ht="14.25" thickBot="1">
      <c r="A10257" s="215"/>
      <c r="B10257" s="216" t="s">
        <v>550</v>
      </c>
      <c r="C10257" s="14" t="s">
        <v>1</v>
      </c>
      <c r="D10257" s="15" t="s">
        <v>2</v>
      </c>
      <c r="E10257" s="15" t="s">
        <v>3</v>
      </c>
      <c r="F10257" s="16" t="s">
        <v>4</v>
      </c>
      <c r="G10257" s="15" t="s">
        <v>5</v>
      </c>
    </row>
    <row r="10258" spans="1:8">
      <c r="A10258" s="211" t="s">
        <v>484</v>
      </c>
      <c r="B10258" s="216" t="str">
        <f ca="1">_xlfn.CONCAT(B10256,A10258)</f>
        <v>11FB6D2-A</v>
      </c>
      <c r="C10258" s="17" t="str">
        <f>_xlfn.XLOOKUP(H10258,'Materiales unitario'!$A$1:$A$2500,'Materiales unitario'!B$1:B$2500,,0,1)</f>
        <v>Alquiler de Analizador de redes</v>
      </c>
      <c r="D10258" s="184" t="str">
        <f>_xlfn.XLOOKUP(H10258,'Materiales unitario'!A$1:A$2500,'Materiales unitario'!C$1:C$2500,,0,1)</f>
        <v>dia</v>
      </c>
      <c r="E10258" s="197">
        <f>_xlfn.XLOOKUP(H10258,'Materiales unitario'!$A$1:$A$2500,'Materiales unitario'!D$1:D$2500,,0,1)</f>
        <v>785740</v>
      </c>
      <c r="F10258" s="19">
        <v>1</v>
      </c>
      <c r="G10258" s="20">
        <f>+E10258*F10258</f>
        <v>785740</v>
      </c>
      <c r="H10258" s="211" t="s">
        <v>1661</v>
      </c>
    </row>
    <row r="10259" spans="1:8">
      <c r="A10259" s="211" t="s">
        <v>485</v>
      </c>
      <c r="B10259" s="216" t="str">
        <f ca="1">_xlfn.CONCAT(B10256,A10259)</f>
        <v>11FB6D2-B</v>
      </c>
      <c r="C10259" s="17"/>
      <c r="D10259" s="184"/>
      <c r="E10259" s="197"/>
      <c r="F10259" s="19"/>
      <c r="G10259" s="20"/>
      <c r="H10259" s="211" t="s">
        <v>1377</v>
      </c>
    </row>
    <row r="10260" spans="1:8">
      <c r="A10260" s="211" t="s">
        <v>486</v>
      </c>
      <c r="B10260" s="216" t="str">
        <f ca="1">_xlfn.CONCAT(B10256,A10260)</f>
        <v>11FB6D2-C</v>
      </c>
      <c r="C10260" s="17"/>
      <c r="D10260" s="184"/>
      <c r="E10260" s="197"/>
      <c r="F10260" s="19"/>
      <c r="G10260" s="20"/>
      <c r="H10260" s="211" t="s">
        <v>1379</v>
      </c>
    </row>
    <row r="10261" spans="1:8">
      <c r="A10261" s="211" t="s">
        <v>487</v>
      </c>
      <c r="B10261" s="216" t="str">
        <f ca="1">_xlfn.CONCAT(B10256,A10261)</f>
        <v>11FB6D2-D</v>
      </c>
      <c r="C10261" s="17"/>
      <c r="D10261" s="184"/>
      <c r="E10261" s="197"/>
      <c r="F10261" s="19"/>
      <c r="G10261" s="20"/>
    </row>
    <row r="10262" spans="1:8">
      <c r="A10262" s="211" t="s">
        <v>488</v>
      </c>
      <c r="B10262" s="216" t="str">
        <f ca="1">_xlfn.CONCAT(B10256,A10262)</f>
        <v>11FB6D2-E</v>
      </c>
      <c r="C10262" s="17"/>
      <c r="D10262" s="184"/>
      <c r="E10262" s="197"/>
      <c r="F10262" s="19"/>
      <c r="G10262" s="20"/>
    </row>
    <row r="10263" spans="1:8">
      <c r="A10263" s="211" t="s">
        <v>489</v>
      </c>
      <c r="B10263" s="216" t="str">
        <f ca="1">_xlfn.CONCAT(B10256,A10263)</f>
        <v>11FB6D2-F</v>
      </c>
      <c r="C10263" s="17"/>
      <c r="D10263" s="184"/>
      <c r="E10263" s="197"/>
      <c r="F10263" s="19"/>
      <c r="G10263" s="20"/>
    </row>
    <row r="10264" spans="1:8">
      <c r="A10264" s="211" t="s">
        <v>490</v>
      </c>
      <c r="B10264" s="216" t="str">
        <f ca="1">_xlfn.CONCAT(B10256,A10264)</f>
        <v>11FB6D2-G</v>
      </c>
      <c r="C10264" s="17"/>
      <c r="D10264" s="184"/>
      <c r="E10264" s="197"/>
      <c r="F10264" s="19"/>
      <c r="G10264" s="20"/>
    </row>
    <row r="10265" spans="1:8">
      <c r="A10265" s="211" t="s">
        <v>491</v>
      </c>
      <c r="B10265" s="216" t="str">
        <f ca="1">_xlfn.CONCAT(B10256,A10265)</f>
        <v>11FB6D2-H</v>
      </c>
      <c r="C10265" s="17"/>
      <c r="D10265" s="184"/>
      <c r="E10265" s="197"/>
      <c r="F10265" s="19"/>
      <c r="G10265" s="20"/>
    </row>
    <row r="10266" spans="1:8">
      <c r="A10266" s="211" t="s">
        <v>492</v>
      </c>
      <c r="B10266" s="216" t="str">
        <f ca="1">_xlfn.CONCAT(B10256,A10266)</f>
        <v>11FB6D2-I</v>
      </c>
      <c r="C10266" s="17"/>
      <c r="D10266" s="184"/>
      <c r="E10266" s="197"/>
      <c r="F10266" s="19"/>
      <c r="G10266" s="20"/>
    </row>
    <row r="10267" spans="1:8">
      <c r="A10267" s="211" t="s">
        <v>493</v>
      </c>
      <c r="B10267" s="216" t="str">
        <f ca="1">_xlfn.CONCAT(B10256,A10267)</f>
        <v>11FB6D2-J</v>
      </c>
      <c r="C10267" s="17"/>
      <c r="D10267" s="184"/>
      <c r="E10267" s="197"/>
      <c r="F10267" s="19"/>
      <c r="G10267" s="20"/>
    </row>
    <row r="10268" spans="1:8">
      <c r="A10268" s="211" t="s">
        <v>494</v>
      </c>
      <c r="B10268" s="216" t="str">
        <f ca="1">_xlfn.CONCAT(B10256,A10268)</f>
        <v>11FB6D2-K</v>
      </c>
      <c r="C10268" s="17"/>
      <c r="D10268" s="184"/>
      <c r="E10268" s="197"/>
      <c r="F10268" s="19"/>
      <c r="G10268" s="20"/>
    </row>
    <row r="10269" spans="1:8">
      <c r="A10269" s="211" t="s">
        <v>495</v>
      </c>
      <c r="B10269" s="216" t="str">
        <f ca="1">_xlfn.CONCAT(B10256,A10269)</f>
        <v>11FB6D2-L</v>
      </c>
      <c r="C10269" s="17"/>
      <c r="D10269" s="184"/>
      <c r="E10269" s="197"/>
      <c r="F10269" s="19"/>
      <c r="G10269" s="20"/>
    </row>
    <row r="10270" spans="1:8">
      <c r="A10270" s="211" t="s">
        <v>496</v>
      </c>
      <c r="B10270" s="216" t="str">
        <f ca="1">_xlfn.CONCAT(B10256,A10270)</f>
        <v>11FB6D2-M</v>
      </c>
      <c r="C10270" s="17"/>
      <c r="D10270" s="184"/>
      <c r="E10270" s="197"/>
      <c r="F10270" s="19"/>
      <c r="G10270" s="20"/>
    </row>
    <row r="10271" spans="1:8">
      <c r="A10271" s="211" t="s">
        <v>497</v>
      </c>
      <c r="B10271" s="216" t="str">
        <f ca="1">_xlfn.CONCAT(B10256,A10271)</f>
        <v>11FB6D2-N</v>
      </c>
      <c r="C10271" s="17"/>
      <c r="D10271" s="184"/>
      <c r="E10271" s="197"/>
      <c r="F10271" s="19"/>
      <c r="G10271" s="20"/>
    </row>
    <row r="10272" spans="1:8">
      <c r="A10272" s="211" t="s">
        <v>498</v>
      </c>
      <c r="B10272" s="216" t="str">
        <f ca="1">_xlfn.CONCAT(B10256,A10272)</f>
        <v>11FB6D2-O</v>
      </c>
      <c r="C10272" s="17"/>
      <c r="D10272" s="184"/>
      <c r="E10272" s="197"/>
      <c r="F10272" s="19"/>
      <c r="G10272" s="20"/>
    </row>
    <row r="10273" spans="1:7">
      <c r="A10273" s="211" t="s">
        <v>499</v>
      </c>
      <c r="B10273" s="216" t="str">
        <f ca="1">_xlfn.CONCAT(B10256,A10273)</f>
        <v>11FB6D2-P</v>
      </c>
      <c r="C10273" s="17"/>
      <c r="D10273" s="184"/>
      <c r="E10273" s="197"/>
      <c r="F10273" s="19"/>
      <c r="G10273" s="20"/>
    </row>
    <row r="10274" spans="1:7">
      <c r="A10274" s="211" t="s">
        <v>500</v>
      </c>
      <c r="B10274" s="216" t="str">
        <f ca="1">_xlfn.CONCAT(B10256,A10274)</f>
        <v>11FB6D2-Q</v>
      </c>
      <c r="C10274" s="17"/>
      <c r="D10274" s="184"/>
      <c r="E10274" s="197"/>
      <c r="F10274" s="19"/>
      <c r="G10274" s="20"/>
    </row>
    <row r="10275" spans="1:7">
      <c r="A10275" s="211" t="s">
        <v>501</v>
      </c>
      <c r="B10275" s="216" t="str">
        <f ca="1">_xlfn.CONCAT(B10256,A10275)</f>
        <v>11FB6D2-R</v>
      </c>
      <c r="C10275" s="17"/>
      <c r="D10275" s="184"/>
      <c r="E10275" s="197"/>
      <c r="F10275" s="19"/>
      <c r="G10275" s="20"/>
    </row>
    <row r="10276" spans="1:7">
      <c r="A10276" s="211" t="s">
        <v>502</v>
      </c>
      <c r="B10276" s="216" t="str">
        <f ca="1">_xlfn.CONCAT(B10256,A10276)</f>
        <v>11FB6D2-S</v>
      </c>
      <c r="C10276" s="17"/>
      <c r="D10276" s="184"/>
      <c r="E10276" s="197"/>
      <c r="F10276" s="19"/>
      <c r="G10276" s="20"/>
    </row>
    <row r="10277" spans="1:7">
      <c r="A10277" s="211" t="s">
        <v>503</v>
      </c>
      <c r="B10277" s="216" t="str">
        <f ca="1">_xlfn.CONCAT(B10256,A10277)</f>
        <v>11FB6D2-T</v>
      </c>
      <c r="C10277" s="17"/>
      <c r="D10277" s="184"/>
      <c r="E10277" s="197"/>
      <c r="F10277" s="19"/>
      <c r="G10277" s="20"/>
    </row>
    <row r="10278" spans="1:7" ht="14.25" thickBot="1">
      <c r="A10278" s="211" t="s">
        <v>504</v>
      </c>
      <c r="B10278" s="216" t="str">
        <f ca="1">_xlfn.CONCAT(B10256,A10278)</f>
        <v>11FB6D2-U</v>
      </c>
      <c r="C10278" s="17"/>
      <c r="D10278" s="184"/>
      <c r="E10278" s="197"/>
      <c r="F10278" s="19"/>
      <c r="G10278" s="20"/>
    </row>
    <row r="10279" spans="1:7" ht="14.25" thickBot="1">
      <c r="A10279" s="211" t="s">
        <v>505</v>
      </c>
      <c r="B10279" s="216" t="str">
        <f ca="1">_xlfn.CONCAT(B10256,A10279)</f>
        <v>11FB6D2-V</v>
      </c>
      <c r="C10279" s="17" t="s">
        <v>17</v>
      </c>
      <c r="D10279" s="192" t="s">
        <v>17</v>
      </c>
      <c r="E10279" s="18"/>
      <c r="F10279" s="22" t="s">
        <v>18</v>
      </c>
      <c r="G10279" s="23">
        <f>SUM(G10258:G10278)</f>
        <v>785740</v>
      </c>
    </row>
    <row r="10280" spans="1:7" ht="15.75" thickBot="1">
      <c r="A10280" s="211" t="s">
        <v>506</v>
      </c>
      <c r="B10280" s="216" t="str">
        <f ca="1">_xlfn.CONCAT(B10256,A10280)</f>
        <v>11FB6D2-W</v>
      </c>
      <c r="C10280" s="10" t="s">
        <v>19</v>
      </c>
      <c r="D10280" s="190"/>
      <c r="E10280" s="11"/>
      <c r="F10280" s="12"/>
      <c r="G10280" s="13"/>
    </row>
    <row r="10281" spans="1:7" ht="14.25" thickBot="1">
      <c r="A10281" s="211" t="s">
        <v>507</v>
      </c>
      <c r="B10281" s="216" t="str">
        <f ca="1">_xlfn.CONCAT(B10256,A10281)</f>
        <v>11FB6D2-X</v>
      </c>
      <c r="C10281" s="14" t="s">
        <v>1</v>
      </c>
      <c r="D10281" s="15"/>
      <c r="E10281" s="15" t="s">
        <v>20</v>
      </c>
      <c r="F10281" s="16" t="s">
        <v>21</v>
      </c>
      <c r="G10281" s="15" t="s">
        <v>5</v>
      </c>
    </row>
    <row r="10282" spans="1:7">
      <c r="A10282" s="211" t="s">
        <v>508</v>
      </c>
      <c r="B10282" s="216" t="str">
        <f ca="1">_xlfn.CONCAT(B10256,A10282)</f>
        <v>11FB6D2-Y</v>
      </c>
      <c r="C10282" s="24" t="s">
        <v>22</v>
      </c>
      <c r="D10282" s="184"/>
      <c r="E10282" s="25">
        <f>_xlfn.XLOOKUP(C10282,'H-MO'!B$7:B$30,'H-MO'!D$7:D$30,,0,1)</f>
        <v>2436.5624999999995</v>
      </c>
      <c r="F10282" s="19">
        <v>1</v>
      </c>
      <c r="G10282" s="33">
        <f t="shared" ref="G10282:G10287" si="293">+E10282*F10282</f>
        <v>2436.5624999999995</v>
      </c>
    </row>
    <row r="10283" spans="1:7">
      <c r="A10283" s="211" t="s">
        <v>509</v>
      </c>
      <c r="B10283" s="216" t="str">
        <f ca="1">_xlfn.CONCAT(B10256,A10283)</f>
        <v>11FB6D2-Z</v>
      </c>
      <c r="C10283" s="24" t="s">
        <v>23</v>
      </c>
      <c r="D10283" s="184"/>
      <c r="E10283" s="25">
        <f>_xlfn.XLOOKUP(C10283,'H-MO'!B$7:B$30,'H-MO'!D$7:D$30,,0,1)</f>
        <v>1461.9374999999998</v>
      </c>
      <c r="F10283" s="19">
        <v>0.01</v>
      </c>
      <c r="G10283" s="33">
        <f t="shared" si="293"/>
        <v>14.619374999999998</v>
      </c>
    </row>
    <row r="10284" spans="1:7">
      <c r="A10284" s="211" t="s">
        <v>510</v>
      </c>
      <c r="B10284" s="216" t="str">
        <f ca="1">_xlfn.CONCAT(B10256,A10284)</f>
        <v>11FB6D2-aa</v>
      </c>
      <c r="C10284" s="24" t="s">
        <v>24</v>
      </c>
      <c r="D10284" s="185"/>
      <c r="E10284" s="25">
        <f>_xlfn.XLOOKUP(C10284,'H-MO'!B$7:B$30,'H-MO'!D$7:D$30,,0,1)</f>
        <v>29238.749999999996</v>
      </c>
      <c r="F10284" s="28">
        <v>0.02</v>
      </c>
      <c r="G10284" s="33">
        <f t="shared" si="293"/>
        <v>584.77499999999998</v>
      </c>
    </row>
    <row r="10285" spans="1:7">
      <c r="A10285" s="211" t="s">
        <v>511</v>
      </c>
      <c r="B10285" s="216" t="str">
        <f ca="1">_xlfn.CONCAT(B10256,A10285)</f>
        <v>11FB6D2-ab</v>
      </c>
      <c r="C10285" s="24" t="s">
        <v>25</v>
      </c>
      <c r="D10285" s="185"/>
      <c r="E10285" s="25">
        <f>_xlfn.XLOOKUP(C10285,'H-MO'!B$7:B$30,'H-MO'!D$7:D$30,,0,1)</f>
        <v>2761.4374999999995</v>
      </c>
      <c r="F10285" s="28">
        <v>0.05</v>
      </c>
      <c r="G10285" s="33">
        <f t="shared" si="293"/>
        <v>138.07187499999998</v>
      </c>
    </row>
    <row r="10286" spans="1:7">
      <c r="A10286" s="211" t="s">
        <v>512</v>
      </c>
      <c r="B10286" s="216" t="str">
        <f ca="1">_xlfn.CONCAT(B10256,A10286)</f>
        <v>11FB6D2-ac</v>
      </c>
      <c r="C10286" s="24"/>
      <c r="D10286" s="185"/>
      <c r="E10286" s="29"/>
      <c r="F10286" s="28"/>
      <c r="G10286" s="33">
        <f t="shared" si="293"/>
        <v>0</v>
      </c>
    </row>
    <row r="10287" spans="1:7" ht="14.25" thickBot="1">
      <c r="A10287" s="211" t="s">
        <v>513</v>
      </c>
      <c r="B10287" s="216" t="str">
        <f ca="1">_xlfn.CONCAT(B10256,A10287)</f>
        <v>11FB6D2-ad</v>
      </c>
      <c r="C10287" s="24"/>
      <c r="D10287" s="185"/>
      <c r="E10287" s="29"/>
      <c r="F10287" s="28"/>
      <c r="G10287" s="33">
        <f t="shared" si="293"/>
        <v>0</v>
      </c>
    </row>
    <row r="10288" spans="1:7" ht="14.25" thickBot="1">
      <c r="A10288" s="211" t="s">
        <v>514</v>
      </c>
      <c r="B10288" s="216" t="str">
        <f ca="1">_xlfn.CONCAT(B10256,A10288)</f>
        <v>11FB6D2-ae</v>
      </c>
      <c r="C10288" s="17"/>
      <c r="D10288" s="192"/>
      <c r="E10288" s="18"/>
      <c r="F10288" s="22" t="s">
        <v>26</v>
      </c>
      <c r="G10288" s="23">
        <f>SUM(G10282:G10287)</f>
        <v>3174.0287499999999</v>
      </c>
    </row>
    <row r="10289" spans="1:8" ht="15.75" thickBot="1">
      <c r="A10289" s="211" t="s">
        <v>515</v>
      </c>
      <c r="B10289" s="216" t="str">
        <f ca="1">_xlfn.CONCAT(B10256,A10289)</f>
        <v>11FB6D2-af</v>
      </c>
      <c r="C10289" s="10" t="s">
        <v>27</v>
      </c>
      <c r="D10289" s="190"/>
      <c r="E10289" s="11"/>
      <c r="F10289" s="12"/>
      <c r="G10289" s="13"/>
    </row>
    <row r="10290" spans="1:8" ht="14.25" thickBot="1">
      <c r="A10290" s="211" t="s">
        <v>516</v>
      </c>
      <c r="B10290" s="216" t="str">
        <f ca="1">_xlfn.CONCAT(B10256,A10290)</f>
        <v>11FB6D2-ag</v>
      </c>
      <c r="C10290" s="14" t="s">
        <v>1</v>
      </c>
      <c r="D10290" s="15" t="s">
        <v>28</v>
      </c>
      <c r="E10290" s="15" t="s">
        <v>20</v>
      </c>
      <c r="F10290" s="16" t="s">
        <v>21</v>
      </c>
      <c r="G10290" s="15" t="s">
        <v>5</v>
      </c>
    </row>
    <row r="10291" spans="1:8">
      <c r="A10291" s="211" t="s">
        <v>517</v>
      </c>
      <c r="B10291" s="216" t="str">
        <f ca="1">_xlfn.CONCAT(B10256,A10291)</f>
        <v>11FB6D2-ah</v>
      </c>
      <c r="C10291" s="30" t="s">
        <v>29</v>
      </c>
      <c r="D10291" s="186">
        <f>'H-MO'!$N$77</f>
        <v>725918.52892505517</v>
      </c>
      <c r="E10291" s="31">
        <f>+D10291/8</f>
        <v>90739.816115631897</v>
      </c>
      <c r="F10291" s="32">
        <v>1</v>
      </c>
      <c r="G10291" s="33">
        <f>+E10291*F10291</f>
        <v>90739.816115631897</v>
      </c>
    </row>
    <row r="10292" spans="1:8">
      <c r="A10292" s="211" t="s">
        <v>518</v>
      </c>
      <c r="B10292" s="216" t="str">
        <f ca="1">_xlfn.CONCAT(B10256,A10292)</f>
        <v>11FB6D2-ai</v>
      </c>
      <c r="C10292" s="34" t="s">
        <v>30</v>
      </c>
      <c r="D10292" s="187">
        <f>'H-MO'!$N$86</f>
        <v>685561.39085756091</v>
      </c>
      <c r="E10292" s="29">
        <f>+D10292/8</f>
        <v>85695.173857195114</v>
      </c>
      <c r="F10292" s="28">
        <v>0</v>
      </c>
      <c r="G10292" s="33">
        <f>+E10292*F10292</f>
        <v>0</v>
      </c>
    </row>
    <row r="10293" spans="1:8" ht="14.25" thickBot="1">
      <c r="A10293" s="211" t="s">
        <v>519</v>
      </c>
      <c r="B10293" s="216" t="str">
        <f ca="1">_xlfn.CONCAT(B10256,A10293)</f>
        <v>11FB6D2-aj</v>
      </c>
      <c r="C10293" s="34"/>
      <c r="D10293" s="187"/>
      <c r="E10293" s="29"/>
      <c r="F10293" s="28"/>
      <c r="G10293" s="33">
        <f>+E10293*F10293</f>
        <v>0</v>
      </c>
    </row>
    <row r="10294" spans="1:8" ht="14.25" thickBot="1">
      <c r="A10294" s="211" t="s">
        <v>520</v>
      </c>
      <c r="B10294" s="216" t="str">
        <f ca="1">_xlfn.CONCAT(B10256,A10294)</f>
        <v>11FB6D2-ak</v>
      </c>
      <c r="C10294" s="34"/>
      <c r="D10294" s="185"/>
      <c r="E10294" s="26"/>
      <c r="F10294" s="36" t="s">
        <v>31</v>
      </c>
      <c r="G10294" s="23">
        <f>SUM(G10291:G10293)</f>
        <v>90739.816115631897</v>
      </c>
    </row>
    <row r="10295" spans="1:8" ht="14.25" thickBot="1">
      <c r="A10295" s="211" t="s">
        <v>521</v>
      </c>
      <c r="B10295" s="216" t="str">
        <f ca="1">_xlfn.CONCAT(B10256,A10295)</f>
        <v>11FB6D2-al</v>
      </c>
      <c r="C10295" s="37"/>
      <c r="E10295" s="38"/>
      <c r="F10295" s="22"/>
      <c r="G10295" s="39"/>
    </row>
    <row r="10296" spans="1:8" ht="16.5" thickBot="1">
      <c r="A10296" s="211" t="s">
        <v>522</v>
      </c>
      <c r="B10296" s="216" t="str">
        <f ca="1">_xlfn.CONCAT(B10256,A10296)</f>
        <v>11FB6D2-am</v>
      </c>
      <c r="C10296" s="40"/>
      <c r="D10296" s="193"/>
      <c r="E10296" s="41"/>
      <c r="F10296" s="42"/>
      <c r="G10296" s="43">
        <f>+G10279+G10288+G10294</f>
        <v>879653.84486563201</v>
      </c>
    </row>
    <row r="10297" spans="1:8" ht="21.75" thickBot="1">
      <c r="B10297" s="212" t="s">
        <v>550</v>
      </c>
      <c r="C10297" s="2"/>
      <c r="D10297" s="183"/>
      <c r="F10297" s="4"/>
      <c r="G10297" s="5"/>
    </row>
    <row r="10298" spans="1:8" ht="18.75">
      <c r="A10298" s="213"/>
      <c r="B10298" s="214">
        <v>234</v>
      </c>
      <c r="C10298" s="242" t="str">
        <f ca="1">_xlfn.XLOOKUP(B10298,Cantidades!$A$10:$A$314,Cantidades!$C$10:$C$314,,0,1)</f>
        <v>Suministro e instalacion de planta electrica 400KVA / 440V-240V</v>
      </c>
      <c r="D10298" s="243"/>
      <c r="E10298" s="243"/>
      <c r="F10298" s="243"/>
      <c r="G10298" s="244"/>
      <c r="H10298" s="213"/>
    </row>
    <row r="10299" spans="1:8" ht="19.5" thickBot="1">
      <c r="A10299" s="215"/>
      <c r="B10299" s="216" t="s">
        <v>550</v>
      </c>
      <c r="C10299" s="177"/>
      <c r="D10299" s="189"/>
      <c r="E10299" s="178"/>
      <c r="F10299" s="179" t="s">
        <v>636</v>
      </c>
      <c r="G10299" s="209" t="str">
        <f ca="1">B10300</f>
        <v>2B1062E5-</v>
      </c>
      <c r="H10299" s="215"/>
    </row>
    <row r="10300" spans="1:8" ht="15.75" thickBot="1">
      <c r="B10300" s="212" t="str">
        <f ca="1">_xlfn.XLOOKUP(C10298,Cantidades!$C$1:$C$314,Cantidades!$B$1:$B$314,"",0,1)</f>
        <v>2B1062E5-</v>
      </c>
      <c r="C10300" s="10" t="s">
        <v>0</v>
      </c>
      <c r="D10300" s="190"/>
      <c r="E10300" s="11"/>
      <c r="F10300" s="12"/>
      <c r="G10300" s="13"/>
    </row>
    <row r="10301" spans="1:8" ht="14.25" thickBot="1">
      <c r="A10301" s="215"/>
      <c r="B10301" s="216" t="s">
        <v>550</v>
      </c>
      <c r="C10301" s="14" t="s">
        <v>1</v>
      </c>
      <c r="D10301" s="15" t="s">
        <v>2</v>
      </c>
      <c r="E10301" s="15" t="s">
        <v>3</v>
      </c>
      <c r="F10301" s="16" t="s">
        <v>4</v>
      </c>
      <c r="G10301" s="15" t="s">
        <v>5</v>
      </c>
      <c r="H10301" s="215"/>
    </row>
    <row r="10302" spans="1:8" ht="15">
      <c r="A10302" s="211" t="s">
        <v>484</v>
      </c>
      <c r="B10302" s="216" t="str">
        <f ca="1">_xlfn.CONCAT(B10300,A10302)</f>
        <v>2B1062E5-A</v>
      </c>
      <c r="C10302" s="17" t="str">
        <f>_xlfn.XLOOKUP(H10302,'Materiales unitario'!$A$1:$A$2500,'Materiales unitario'!B$1:B$2500,,0,1)</f>
        <v>Planta electrica Iinsonorizada 400Kva</v>
      </c>
      <c r="D10302" s="184" t="str">
        <f>_xlfn.XLOOKUP(H10302,'Materiales unitario'!A$1:A$2500,'Materiales unitario'!C$1:C$2500,,0,1)</f>
        <v>gb</v>
      </c>
      <c r="E10302" s="197">
        <f>_xlfn.XLOOKUP(H10302,'Materiales unitario'!$A$1:$A$2500,'Materiales unitario'!D$1:D$2500,,0,1)</f>
        <v>260635700</v>
      </c>
      <c r="F10302" s="19">
        <v>1</v>
      </c>
      <c r="G10302" s="20">
        <f>+E10302*F10302</f>
        <v>260635700</v>
      </c>
      <c r="H10302" s="217" t="s">
        <v>1667</v>
      </c>
    </row>
    <row r="10303" spans="1:8">
      <c r="A10303" s="211" t="s">
        <v>485</v>
      </c>
      <c r="B10303" s="216" t="str">
        <f ca="1">_xlfn.CONCAT(B10300,A10303)</f>
        <v>2B1062E5-B</v>
      </c>
      <c r="C10303" s="17"/>
      <c r="D10303" s="184"/>
      <c r="E10303" s="197"/>
      <c r="F10303" s="19"/>
      <c r="G10303" s="20"/>
    </row>
    <row r="10304" spans="1:8">
      <c r="A10304" s="211" t="s">
        <v>486</v>
      </c>
      <c r="B10304" s="216" t="str">
        <f ca="1">_xlfn.CONCAT(B10300,A10304)</f>
        <v>2B1062E5-C</v>
      </c>
      <c r="C10304" s="17"/>
      <c r="D10304" s="184"/>
      <c r="E10304" s="197"/>
      <c r="F10304" s="19"/>
      <c r="G10304" s="20"/>
    </row>
    <row r="10305" spans="1:7">
      <c r="A10305" s="211" t="s">
        <v>487</v>
      </c>
      <c r="B10305" s="216" t="str">
        <f ca="1">_xlfn.CONCAT(B10300,A10305)</f>
        <v>2B1062E5-D</v>
      </c>
      <c r="C10305" s="17"/>
      <c r="D10305" s="184"/>
      <c r="E10305" s="197"/>
      <c r="F10305" s="19"/>
      <c r="G10305" s="20"/>
    </row>
    <row r="10306" spans="1:7">
      <c r="A10306" s="211" t="s">
        <v>488</v>
      </c>
      <c r="B10306" s="216" t="str">
        <f ca="1">_xlfn.CONCAT(B10300,A10306)</f>
        <v>2B1062E5-E</v>
      </c>
      <c r="C10306" s="17"/>
      <c r="D10306" s="184"/>
      <c r="E10306" s="197"/>
      <c r="F10306" s="19"/>
      <c r="G10306" s="20"/>
    </row>
    <row r="10307" spans="1:7">
      <c r="A10307" s="211" t="s">
        <v>489</v>
      </c>
      <c r="B10307" s="216" t="str">
        <f ca="1">_xlfn.CONCAT(B10300,A10307)</f>
        <v>2B1062E5-F</v>
      </c>
      <c r="C10307" s="17"/>
      <c r="D10307" s="184"/>
      <c r="E10307" s="197"/>
      <c r="F10307" s="19"/>
      <c r="G10307" s="20"/>
    </row>
    <row r="10308" spans="1:7">
      <c r="A10308" s="211" t="s">
        <v>490</v>
      </c>
      <c r="B10308" s="216" t="str">
        <f ca="1">_xlfn.CONCAT(B10300,A10308)</f>
        <v>2B1062E5-G</v>
      </c>
      <c r="C10308" s="17"/>
      <c r="D10308" s="184"/>
      <c r="E10308" s="197"/>
      <c r="F10308" s="19"/>
      <c r="G10308" s="20"/>
    </row>
    <row r="10309" spans="1:7">
      <c r="A10309" s="211" t="s">
        <v>491</v>
      </c>
      <c r="B10309" s="216" t="str">
        <f ca="1">_xlfn.CONCAT(B10300,A10309)</f>
        <v>2B1062E5-H</v>
      </c>
      <c r="C10309" s="17"/>
      <c r="D10309" s="184"/>
      <c r="E10309" s="197"/>
      <c r="F10309" s="19"/>
      <c r="G10309" s="20"/>
    </row>
    <row r="10310" spans="1:7">
      <c r="A10310" s="211" t="s">
        <v>492</v>
      </c>
      <c r="B10310" s="216" t="str">
        <f ca="1">_xlfn.CONCAT(B10300,A10310)</f>
        <v>2B1062E5-I</v>
      </c>
      <c r="C10310" s="17"/>
      <c r="D10310" s="184"/>
      <c r="E10310" s="197"/>
      <c r="F10310" s="19"/>
      <c r="G10310" s="20"/>
    </row>
    <row r="10311" spans="1:7">
      <c r="A10311" s="211" t="s">
        <v>493</v>
      </c>
      <c r="B10311" s="216" t="str">
        <f ca="1">_xlfn.CONCAT(B10300,A10311)</f>
        <v>2B1062E5-J</v>
      </c>
      <c r="C10311" s="17"/>
      <c r="D10311" s="184"/>
      <c r="E10311" s="197"/>
      <c r="F10311" s="19"/>
      <c r="G10311" s="20"/>
    </row>
    <row r="10312" spans="1:7">
      <c r="A10312" s="211" t="s">
        <v>494</v>
      </c>
      <c r="B10312" s="216" t="str">
        <f ca="1">_xlfn.CONCAT(B10300,A10312)</f>
        <v>2B1062E5-K</v>
      </c>
      <c r="C10312" s="17"/>
      <c r="D10312" s="184"/>
      <c r="E10312" s="197"/>
      <c r="F10312" s="19"/>
      <c r="G10312" s="20"/>
    </row>
    <row r="10313" spans="1:7">
      <c r="A10313" s="211" t="s">
        <v>495</v>
      </c>
      <c r="B10313" s="216" t="str">
        <f ca="1">_xlfn.CONCAT(B10300,A10313)</f>
        <v>2B1062E5-L</v>
      </c>
      <c r="C10313" s="17"/>
      <c r="D10313" s="184"/>
      <c r="E10313" s="197"/>
      <c r="F10313" s="19"/>
      <c r="G10313" s="20"/>
    </row>
    <row r="10314" spans="1:7">
      <c r="A10314" s="211" t="s">
        <v>496</v>
      </c>
      <c r="B10314" s="216" t="str">
        <f ca="1">_xlfn.CONCAT(B10300,A10314)</f>
        <v>2B1062E5-M</v>
      </c>
      <c r="C10314" s="17"/>
      <c r="D10314" s="184"/>
      <c r="E10314" s="197"/>
      <c r="F10314" s="19"/>
      <c r="G10314" s="20"/>
    </row>
    <row r="10315" spans="1:7">
      <c r="A10315" s="211" t="s">
        <v>497</v>
      </c>
      <c r="B10315" s="216" t="str">
        <f ca="1">_xlfn.CONCAT(B10300,A10315)</f>
        <v>2B1062E5-N</v>
      </c>
      <c r="C10315" s="17"/>
      <c r="D10315" s="184"/>
      <c r="E10315" s="197"/>
      <c r="F10315" s="19"/>
      <c r="G10315" s="20"/>
    </row>
    <row r="10316" spans="1:7">
      <c r="A10316" s="211" t="s">
        <v>498</v>
      </c>
      <c r="B10316" s="216" t="str">
        <f ca="1">_xlfn.CONCAT(B10300,A10316)</f>
        <v>2B1062E5-O</v>
      </c>
      <c r="C10316" s="17"/>
      <c r="D10316" s="184"/>
      <c r="E10316" s="197"/>
      <c r="F10316" s="19"/>
      <c r="G10316" s="20"/>
    </row>
    <row r="10317" spans="1:7">
      <c r="A10317" s="211" t="s">
        <v>499</v>
      </c>
      <c r="B10317" s="216" t="str">
        <f ca="1">_xlfn.CONCAT(B10300,A10317)</f>
        <v>2B1062E5-P</v>
      </c>
      <c r="C10317" s="17"/>
      <c r="D10317" s="184"/>
      <c r="E10317" s="197"/>
      <c r="F10317" s="19"/>
      <c r="G10317" s="20"/>
    </row>
    <row r="10318" spans="1:7">
      <c r="A10318" s="211" t="s">
        <v>500</v>
      </c>
      <c r="B10318" s="216" t="str">
        <f ca="1">_xlfn.CONCAT(B10300,A10318)</f>
        <v>2B1062E5-Q</v>
      </c>
      <c r="C10318" s="17"/>
      <c r="D10318" s="184"/>
      <c r="E10318" s="197"/>
      <c r="F10318" s="19"/>
      <c r="G10318" s="20"/>
    </row>
    <row r="10319" spans="1:7">
      <c r="A10319" s="211" t="s">
        <v>501</v>
      </c>
      <c r="B10319" s="216" t="str">
        <f ca="1">_xlfn.CONCAT(B10300,A10319)</f>
        <v>2B1062E5-R</v>
      </c>
      <c r="C10319" s="17"/>
      <c r="D10319" s="184"/>
      <c r="E10319" s="197"/>
      <c r="F10319" s="19"/>
      <c r="G10319" s="20"/>
    </row>
    <row r="10320" spans="1:7">
      <c r="A10320" s="211" t="s">
        <v>502</v>
      </c>
      <c r="B10320" s="216" t="str">
        <f ca="1">_xlfn.CONCAT(B10300,A10320)</f>
        <v>2B1062E5-S</v>
      </c>
      <c r="C10320" s="17"/>
      <c r="D10320" s="184"/>
      <c r="E10320" s="197"/>
      <c r="F10320" s="19"/>
      <c r="G10320" s="20"/>
    </row>
    <row r="10321" spans="1:8">
      <c r="A10321" s="211" t="s">
        <v>503</v>
      </c>
      <c r="B10321" s="216" t="str">
        <f ca="1">_xlfn.CONCAT(B10300,A10321)</f>
        <v>2B1062E5-T</v>
      </c>
      <c r="C10321" s="17"/>
      <c r="D10321" s="184"/>
      <c r="E10321" s="197"/>
      <c r="F10321" s="19"/>
      <c r="G10321" s="20"/>
    </row>
    <row r="10322" spans="1:8" ht="14.25" thickBot="1">
      <c r="A10322" s="211" t="s">
        <v>504</v>
      </c>
      <c r="B10322" s="216" t="str">
        <f ca="1">_xlfn.CONCAT(B10300,A10322)</f>
        <v>2B1062E5-U</v>
      </c>
      <c r="C10322" s="17"/>
      <c r="D10322" s="184"/>
      <c r="E10322" s="197"/>
      <c r="F10322" s="19"/>
      <c r="G10322" s="20"/>
    </row>
    <row r="10323" spans="1:8" ht="14.25" thickBot="1">
      <c r="A10323" s="211" t="s">
        <v>505</v>
      </c>
      <c r="B10323" s="216" t="str">
        <f ca="1">_xlfn.CONCAT(B10300,A10323)</f>
        <v>2B1062E5-V</v>
      </c>
      <c r="C10323" s="17" t="s">
        <v>17</v>
      </c>
      <c r="D10323" s="192" t="s">
        <v>17</v>
      </c>
      <c r="E10323" s="18"/>
      <c r="F10323" s="22" t="s">
        <v>18</v>
      </c>
      <c r="G10323" s="23">
        <f>SUM(G10302:G10322)</f>
        <v>260635700</v>
      </c>
    </row>
    <row r="10324" spans="1:8" ht="15.75" thickBot="1">
      <c r="A10324" s="211" t="s">
        <v>506</v>
      </c>
      <c r="B10324" s="216" t="str">
        <f ca="1">_xlfn.CONCAT(B10300,A10324)</f>
        <v>2B1062E5-W</v>
      </c>
      <c r="C10324" s="10" t="s">
        <v>19</v>
      </c>
      <c r="D10324" s="190"/>
      <c r="E10324" s="11"/>
      <c r="F10324" s="12"/>
      <c r="G10324" s="13"/>
    </row>
    <row r="10325" spans="1:8" ht="14.25" thickBot="1">
      <c r="A10325" s="211" t="s">
        <v>507</v>
      </c>
      <c r="B10325" s="216" t="str">
        <f ca="1">_xlfn.CONCAT(B10300,A10325)</f>
        <v>2B1062E5-X</v>
      </c>
      <c r="C10325" s="14" t="s">
        <v>1</v>
      </c>
      <c r="D10325" s="15"/>
      <c r="E10325" s="15" t="s">
        <v>20</v>
      </c>
      <c r="F10325" s="16" t="s">
        <v>21</v>
      </c>
      <c r="G10325" s="15" t="s">
        <v>5</v>
      </c>
      <c r="H10325" s="215"/>
    </row>
    <row r="10326" spans="1:8">
      <c r="A10326" s="211" t="s">
        <v>508</v>
      </c>
      <c r="B10326" s="216" t="str">
        <f ca="1">_xlfn.CONCAT(B10300,A10326)</f>
        <v>2B1062E5-Y</v>
      </c>
      <c r="C10326" s="24" t="s">
        <v>22</v>
      </c>
      <c r="D10326" s="184"/>
      <c r="E10326" s="25">
        <f>_xlfn.XLOOKUP(C10326,'H-MO'!B$7:B$30,'H-MO'!D$7:D$30,,0,1)</f>
        <v>2436.5624999999995</v>
      </c>
      <c r="F10326" s="19">
        <v>130</v>
      </c>
      <c r="G10326" s="33">
        <f t="shared" ref="G10326:G10331" si="294">+E10326*F10326</f>
        <v>316753.12499999994</v>
      </c>
    </row>
    <row r="10327" spans="1:8">
      <c r="A10327" s="211" t="s">
        <v>509</v>
      </c>
      <c r="B10327" s="216" t="str">
        <f ca="1">_xlfn.CONCAT(B10300,A10327)</f>
        <v>2B1062E5-Z</v>
      </c>
      <c r="C10327" s="24" t="s">
        <v>23</v>
      </c>
      <c r="D10327" s="184"/>
      <c r="E10327" s="25">
        <f>_xlfn.XLOOKUP(C10327,'H-MO'!B$7:B$30,'H-MO'!D$7:D$30,,0,1)</f>
        <v>1461.9374999999998</v>
      </c>
      <c r="F10327" s="19">
        <v>30</v>
      </c>
      <c r="G10327" s="33">
        <f t="shared" si="294"/>
        <v>43858.124999999993</v>
      </c>
    </row>
    <row r="10328" spans="1:8">
      <c r="A10328" s="211" t="s">
        <v>510</v>
      </c>
      <c r="B10328" s="216" t="str">
        <f ca="1">_xlfn.CONCAT(B10300,A10328)</f>
        <v>2B1062E5-aa</v>
      </c>
      <c r="C10328" s="24" t="s">
        <v>24</v>
      </c>
      <c r="D10328" s="185"/>
      <c r="E10328" s="25">
        <f>_xlfn.XLOOKUP(C10328,'H-MO'!B$7:B$30,'H-MO'!D$7:D$30,,0,1)</f>
        <v>29238.749999999996</v>
      </c>
      <c r="F10328" s="28">
        <v>20</v>
      </c>
      <c r="G10328" s="33">
        <f t="shared" si="294"/>
        <v>584774.99999999988</v>
      </c>
    </row>
    <row r="10329" spans="1:8">
      <c r="A10329" s="211" t="s">
        <v>511</v>
      </c>
      <c r="B10329" s="216" t="str">
        <f ca="1">_xlfn.CONCAT(B10300,A10329)</f>
        <v>2B1062E5-ab</v>
      </c>
      <c r="C10329" s="24" t="s">
        <v>25</v>
      </c>
      <c r="D10329" s="185"/>
      <c r="E10329" s="25">
        <f>_xlfn.XLOOKUP(C10329,'H-MO'!B$7:B$30,'H-MO'!D$7:D$30,,0,1)</f>
        <v>2761.4374999999995</v>
      </c>
      <c r="F10329" s="28">
        <v>15</v>
      </c>
      <c r="G10329" s="33">
        <f t="shared" si="294"/>
        <v>41421.562499999993</v>
      </c>
    </row>
    <row r="10330" spans="1:8">
      <c r="A10330" s="211" t="s">
        <v>512</v>
      </c>
      <c r="B10330" s="216" t="str">
        <f ca="1">_xlfn.CONCAT(B10300,A10330)</f>
        <v>2B1062E5-ac</v>
      </c>
      <c r="C10330" s="24"/>
      <c r="D10330" s="185"/>
      <c r="E10330" s="29"/>
      <c r="F10330" s="28"/>
      <c r="G10330" s="33">
        <f t="shared" si="294"/>
        <v>0</v>
      </c>
    </row>
    <row r="10331" spans="1:8" ht="14.25" thickBot="1">
      <c r="A10331" s="211" t="s">
        <v>513</v>
      </c>
      <c r="B10331" s="216" t="str">
        <f ca="1">_xlfn.CONCAT(B10300,A10331)</f>
        <v>2B1062E5-ad</v>
      </c>
      <c r="C10331" s="24"/>
      <c r="D10331" s="185"/>
      <c r="E10331" s="29"/>
      <c r="F10331" s="28"/>
      <c r="G10331" s="33">
        <f t="shared" si="294"/>
        <v>0</v>
      </c>
    </row>
    <row r="10332" spans="1:8" ht="14.25" thickBot="1">
      <c r="A10332" s="211" t="s">
        <v>514</v>
      </c>
      <c r="B10332" s="216" t="str">
        <f ca="1">_xlfn.CONCAT(B10300,A10332)</f>
        <v>2B1062E5-ae</v>
      </c>
      <c r="C10332" s="17"/>
      <c r="D10332" s="192"/>
      <c r="E10332" s="18"/>
      <c r="F10332" s="22" t="s">
        <v>26</v>
      </c>
      <c r="G10332" s="23">
        <f>SUM(G10326:G10331)</f>
        <v>986807.81249999977</v>
      </c>
    </row>
    <row r="10333" spans="1:8" ht="15.75" thickBot="1">
      <c r="A10333" s="211" t="s">
        <v>515</v>
      </c>
      <c r="B10333" s="216" t="str">
        <f ca="1">_xlfn.CONCAT(B10300,A10333)</f>
        <v>2B1062E5-af</v>
      </c>
      <c r="C10333" s="10" t="s">
        <v>27</v>
      </c>
      <c r="D10333" s="190"/>
      <c r="E10333" s="11"/>
      <c r="F10333" s="12"/>
      <c r="G10333" s="13"/>
    </row>
    <row r="10334" spans="1:8" ht="14.25" thickBot="1">
      <c r="A10334" s="211" t="s">
        <v>516</v>
      </c>
      <c r="B10334" s="216" t="str">
        <f ca="1">_xlfn.CONCAT(B10300,A10334)</f>
        <v>2B1062E5-ag</v>
      </c>
      <c r="C10334" s="14" t="s">
        <v>1</v>
      </c>
      <c r="D10334" s="15" t="s">
        <v>28</v>
      </c>
      <c r="E10334" s="15" t="s">
        <v>20</v>
      </c>
      <c r="F10334" s="16" t="s">
        <v>21</v>
      </c>
      <c r="G10334" s="15" t="s">
        <v>5</v>
      </c>
      <c r="H10334" s="215"/>
    </row>
    <row r="10335" spans="1:8">
      <c r="A10335" s="211" t="s">
        <v>517</v>
      </c>
      <c r="B10335" s="216" t="str">
        <f ca="1">_xlfn.CONCAT(B10300,A10335)</f>
        <v>2B1062E5-ah</v>
      </c>
      <c r="C10335" s="30" t="s">
        <v>29</v>
      </c>
      <c r="D10335" s="186">
        <f>'H-MO'!$N$77</f>
        <v>725918.52892505517</v>
      </c>
      <c r="E10335" s="31">
        <f>+D10335/8</f>
        <v>90739.816115631897</v>
      </c>
      <c r="F10335" s="32">
        <v>40</v>
      </c>
      <c r="G10335" s="33">
        <f>+E10335*F10335</f>
        <v>3629592.6446252759</v>
      </c>
    </row>
    <row r="10336" spans="1:8">
      <c r="A10336" s="211" t="s">
        <v>518</v>
      </c>
      <c r="B10336" s="216" t="str">
        <f ca="1">_xlfn.CONCAT(B10300,A10336)</f>
        <v>2B1062E5-ai</v>
      </c>
      <c r="C10336" s="34" t="s">
        <v>30</v>
      </c>
      <c r="D10336" s="187">
        <f>'H-MO'!$N$86</f>
        <v>685561.39085756091</v>
      </c>
      <c r="E10336" s="29">
        <f>+D10336/8</f>
        <v>85695.173857195114</v>
      </c>
      <c r="F10336" s="28">
        <v>5</v>
      </c>
      <c r="G10336" s="33">
        <f>+E10336*F10336</f>
        <v>428475.86928597558</v>
      </c>
    </row>
    <row r="10337" spans="1:8" ht="14.25" thickBot="1">
      <c r="A10337" s="211" t="s">
        <v>519</v>
      </c>
      <c r="B10337" s="216" t="str">
        <f ca="1">_xlfn.CONCAT(B10300,A10337)</f>
        <v>2B1062E5-aj</v>
      </c>
      <c r="C10337" s="34"/>
      <c r="D10337" s="187"/>
      <c r="E10337" s="29"/>
      <c r="F10337" s="28"/>
      <c r="G10337" s="33">
        <f>+E10337*F10337</f>
        <v>0</v>
      </c>
    </row>
    <row r="10338" spans="1:8" ht="14.25" thickBot="1">
      <c r="A10338" s="211" t="s">
        <v>520</v>
      </c>
      <c r="B10338" s="216" t="str">
        <f ca="1">_xlfn.CONCAT(B10300,A10338)</f>
        <v>2B1062E5-ak</v>
      </c>
      <c r="C10338" s="34"/>
      <c r="D10338" s="185"/>
      <c r="E10338" s="26"/>
      <c r="F10338" s="36" t="s">
        <v>31</v>
      </c>
      <c r="G10338" s="23">
        <f>SUM(G10335:G10337)</f>
        <v>4058068.5139112514</v>
      </c>
    </row>
    <row r="10339" spans="1:8" ht="14.25" thickBot="1">
      <c r="A10339" s="211" t="s">
        <v>521</v>
      </c>
      <c r="B10339" s="216" t="str">
        <f ca="1">_xlfn.CONCAT(B10300,A10339)</f>
        <v>2B1062E5-al</v>
      </c>
      <c r="C10339" s="37"/>
      <c r="E10339" s="38"/>
      <c r="F10339" s="22"/>
      <c r="G10339" s="39"/>
    </row>
    <row r="10340" spans="1:8" ht="16.5" thickBot="1">
      <c r="A10340" s="211" t="s">
        <v>522</v>
      </c>
      <c r="B10340" s="216" t="str">
        <f ca="1">_xlfn.CONCAT(B10300,A10340)</f>
        <v>2B1062E5-am</v>
      </c>
      <c r="C10340" s="40"/>
      <c r="D10340" s="193"/>
      <c r="E10340" s="41"/>
      <c r="F10340" s="42"/>
      <c r="G10340" s="43">
        <f>+G10323+G10332+G10338</f>
        <v>265680576.32641125</v>
      </c>
    </row>
    <row r="10341" spans="1:8" ht="21.75" thickBot="1">
      <c r="B10341" s="212" t="s">
        <v>550</v>
      </c>
      <c r="C10341" s="2"/>
      <c r="D10341" s="183"/>
      <c r="F10341" s="4"/>
      <c r="G10341" s="5"/>
    </row>
    <row r="10342" spans="1:8" ht="18.75">
      <c r="A10342" s="213"/>
      <c r="B10342" s="214">
        <v>235</v>
      </c>
      <c r="C10342" s="242" t="str">
        <f ca="1">_xlfn.XLOOKUP(B10342,Cantidades!$A$10:$A$314,Cantidades!$C$10:$C$314,,0,1)</f>
        <v>Suministro e instalación de ductos  2Ø2" PVC DB</v>
      </c>
      <c r="D10342" s="243"/>
      <c r="E10342" s="243"/>
      <c r="F10342" s="243"/>
      <c r="G10342" s="244"/>
      <c r="H10342" s="213"/>
    </row>
    <row r="10343" spans="1:8" ht="19.5" thickBot="1">
      <c r="A10343" s="215"/>
      <c r="B10343" s="216" t="s">
        <v>550</v>
      </c>
      <c r="C10343" s="177"/>
      <c r="D10343" s="189"/>
      <c r="E10343" s="178"/>
      <c r="F10343" s="179" t="s">
        <v>636</v>
      </c>
      <c r="G10343" s="209" t="str">
        <f ca="1">B10344</f>
        <v>CD2F2DB-</v>
      </c>
      <c r="H10343" s="215"/>
    </row>
    <row r="10344" spans="1:8" ht="15.75" thickBot="1">
      <c r="B10344" s="212" t="str">
        <f ca="1">_xlfn.XLOOKUP(C10342,Cantidades!$C$1:$C$314,Cantidades!$B$1:$B$314,"",0,1)</f>
        <v>CD2F2DB-</v>
      </c>
      <c r="C10344" s="10" t="s">
        <v>0</v>
      </c>
      <c r="D10344" s="190"/>
      <c r="E10344" s="11"/>
      <c r="F10344" s="12"/>
      <c r="G10344" s="13"/>
    </row>
    <row r="10345" spans="1:8" ht="14.25" thickBot="1">
      <c r="A10345" s="215"/>
      <c r="B10345" s="216" t="s">
        <v>550</v>
      </c>
      <c r="C10345" s="14" t="s">
        <v>1</v>
      </c>
      <c r="D10345" s="15" t="s">
        <v>2</v>
      </c>
      <c r="E10345" s="15" t="s">
        <v>3</v>
      </c>
      <c r="F10345" s="16" t="s">
        <v>4</v>
      </c>
      <c r="G10345" s="15" t="s">
        <v>5</v>
      </c>
    </row>
    <row r="10346" spans="1:8">
      <c r="A10346" s="211" t="s">
        <v>484</v>
      </c>
      <c r="B10346" s="216" t="str">
        <f ca="1">_xlfn.CONCAT(B10344,A10346)</f>
        <v>CD2F2DB-A</v>
      </c>
      <c r="C10346" s="17" t="str">
        <f>_xlfn.XLOOKUP(H10346,'Materiales unitario'!$A$1:$A$2500,'Materiales unitario'!B$1:B$2500,,0,1)</f>
        <v>Ducto telef. Y Electric. pesado DB ø2" PVC</v>
      </c>
      <c r="D10346" s="184" t="str">
        <f>_xlfn.XLOOKUP(H10346,'Materiales unitario'!A$1:A$2500,'Materiales unitario'!C$1:C$2500,,0,1)</f>
        <v>ml</v>
      </c>
      <c r="E10346" s="197">
        <f>_xlfn.XLOOKUP(H10346,'Materiales unitario'!$A$1:$A$2500,'Materiales unitario'!D$1:D$2500,,0,1)</f>
        <v>38913</v>
      </c>
      <c r="F10346" s="19">
        <v>2.4</v>
      </c>
      <c r="G10346" s="20">
        <f>+E10346*F10346</f>
        <v>93391.2</v>
      </c>
      <c r="H10346" s="211" t="s">
        <v>317</v>
      </c>
    </row>
    <row r="10347" spans="1:8">
      <c r="A10347" s="211" t="s">
        <v>485</v>
      </c>
      <c r="B10347" s="216" t="str">
        <f ca="1">_xlfn.CONCAT(B10344,A10347)</f>
        <v>CD2F2DB-B</v>
      </c>
      <c r="C10347" s="17" t="str">
        <f>_xlfn.XLOOKUP(H10347,'Materiales unitario'!$A$1:$A$2500,'Materiales unitario'!B$1:B$2500,,0,1)</f>
        <v>Campana terminal ducto ø2" PVC</v>
      </c>
      <c r="D10347" s="184" t="str">
        <f>_xlfn.XLOOKUP(H10347,'Materiales unitario'!A$1:A$2500,'Materiales unitario'!C$1:C$2500,,0,1)</f>
        <v>un</v>
      </c>
      <c r="E10347" s="197">
        <f>_xlfn.XLOOKUP(H10347,'Materiales unitario'!$A$1:$A$2500,'Materiales unitario'!D$1:D$2500,,0,1)</f>
        <v>4046</v>
      </c>
      <c r="F10347" s="19">
        <v>1</v>
      </c>
      <c r="G10347" s="20">
        <f>+E10347*F10347</f>
        <v>4046</v>
      </c>
      <c r="H10347" s="211" t="s">
        <v>286</v>
      </c>
    </row>
    <row r="10348" spans="1:8">
      <c r="A10348" s="211" t="s">
        <v>486</v>
      </c>
      <c r="B10348" s="216" t="str">
        <f ca="1">_xlfn.CONCAT(B10344,A10348)</f>
        <v>CD2F2DB-C</v>
      </c>
      <c r="C10348" s="17" t="str">
        <f>_xlfn.XLOOKUP(H10348,'Materiales unitario'!$A$1:$A$2500,'Materiales unitario'!B$1:B$2500,,0,1)</f>
        <v>Soldadura liquida PVC 1/4 de galón</v>
      </c>
      <c r="D10348" s="184" t="str">
        <f>_xlfn.XLOOKUP(H10348,'Materiales unitario'!A$1:A$2500,'Materiales unitario'!C$1:C$2500,,0,1)</f>
        <v>un</v>
      </c>
      <c r="E10348" s="197">
        <f>_xlfn.XLOOKUP(H10348,'Materiales unitario'!$A$1:$A$2500,'Materiales unitario'!D$1:D$2500,,0,1)</f>
        <v>60900</v>
      </c>
      <c r="F10348" s="19">
        <v>0.08</v>
      </c>
      <c r="G10348" s="20">
        <f>+E10348*F10348</f>
        <v>4872</v>
      </c>
      <c r="H10348" s="211" t="s">
        <v>530</v>
      </c>
    </row>
    <row r="10349" spans="1:8">
      <c r="A10349" s="211" t="s">
        <v>487</v>
      </c>
      <c r="B10349" s="216" t="str">
        <f ca="1">_xlfn.CONCAT(B10344,A10349)</f>
        <v>CD2F2DB-D</v>
      </c>
      <c r="C10349" s="17"/>
      <c r="D10349" s="184"/>
      <c r="E10349" s="197"/>
      <c r="F10349" s="19"/>
      <c r="G10349" s="20"/>
    </row>
    <row r="10350" spans="1:8">
      <c r="A10350" s="211" t="s">
        <v>488</v>
      </c>
      <c r="B10350" s="216" t="str">
        <f ca="1">_xlfn.CONCAT(B10344,A10350)</f>
        <v>CD2F2DB-E</v>
      </c>
      <c r="C10350" s="17"/>
      <c r="D10350" s="184"/>
      <c r="E10350" s="197"/>
      <c r="F10350" s="19"/>
      <c r="G10350" s="20"/>
    </row>
    <row r="10351" spans="1:8">
      <c r="A10351" s="211" t="s">
        <v>489</v>
      </c>
      <c r="B10351" s="216" t="str">
        <f ca="1">_xlfn.CONCAT(B10344,A10351)</f>
        <v>CD2F2DB-F</v>
      </c>
      <c r="C10351" s="17"/>
      <c r="D10351" s="184"/>
      <c r="E10351" s="197"/>
      <c r="F10351" s="19"/>
      <c r="G10351" s="20"/>
    </row>
    <row r="10352" spans="1:8">
      <c r="A10352" s="211" t="s">
        <v>490</v>
      </c>
      <c r="B10352" s="216" t="str">
        <f ca="1">_xlfn.CONCAT(B10344,A10352)</f>
        <v>CD2F2DB-G</v>
      </c>
      <c r="C10352" s="17"/>
      <c r="D10352" s="184"/>
      <c r="E10352" s="197"/>
      <c r="F10352" s="19"/>
      <c r="G10352" s="20"/>
    </row>
    <row r="10353" spans="1:7">
      <c r="A10353" s="211" t="s">
        <v>491</v>
      </c>
      <c r="B10353" s="216" t="str">
        <f ca="1">_xlfn.CONCAT(B10344,A10353)</f>
        <v>CD2F2DB-H</v>
      </c>
      <c r="C10353" s="17"/>
      <c r="D10353" s="184"/>
      <c r="E10353" s="197"/>
      <c r="F10353" s="19"/>
      <c r="G10353" s="20"/>
    </row>
    <row r="10354" spans="1:7">
      <c r="A10354" s="211" t="s">
        <v>492</v>
      </c>
      <c r="B10354" s="216" t="str">
        <f ca="1">_xlfn.CONCAT(B10344,A10354)</f>
        <v>CD2F2DB-I</v>
      </c>
      <c r="C10354" s="17"/>
      <c r="D10354" s="184"/>
      <c r="E10354" s="197"/>
      <c r="F10354" s="19"/>
      <c r="G10354" s="20"/>
    </row>
    <row r="10355" spans="1:7">
      <c r="A10355" s="211" t="s">
        <v>493</v>
      </c>
      <c r="B10355" s="216" t="str">
        <f ca="1">_xlfn.CONCAT(B10344,A10355)</f>
        <v>CD2F2DB-J</v>
      </c>
      <c r="C10355" s="17"/>
      <c r="D10355" s="184"/>
      <c r="E10355" s="197"/>
      <c r="F10355" s="19"/>
      <c r="G10355" s="20"/>
    </row>
    <row r="10356" spans="1:7">
      <c r="A10356" s="211" t="s">
        <v>494</v>
      </c>
      <c r="B10356" s="216" t="str">
        <f ca="1">_xlfn.CONCAT(B10344,A10356)</f>
        <v>CD2F2DB-K</v>
      </c>
      <c r="C10356" s="17"/>
      <c r="D10356" s="184"/>
      <c r="E10356" s="197"/>
      <c r="F10356" s="19"/>
      <c r="G10356" s="20"/>
    </row>
    <row r="10357" spans="1:7">
      <c r="A10357" s="211" t="s">
        <v>495</v>
      </c>
      <c r="B10357" s="216" t="str">
        <f ca="1">_xlfn.CONCAT(B10344,A10357)</f>
        <v>CD2F2DB-L</v>
      </c>
      <c r="C10357" s="17"/>
      <c r="D10357" s="184"/>
      <c r="E10357" s="197"/>
      <c r="F10357" s="19"/>
      <c r="G10357" s="20"/>
    </row>
    <row r="10358" spans="1:7">
      <c r="A10358" s="211" t="s">
        <v>496</v>
      </c>
      <c r="B10358" s="216" t="str">
        <f ca="1">_xlfn.CONCAT(B10344,A10358)</f>
        <v>CD2F2DB-M</v>
      </c>
      <c r="C10358" s="17"/>
      <c r="D10358" s="184"/>
      <c r="E10358" s="197"/>
      <c r="F10358" s="19"/>
      <c r="G10358" s="20"/>
    </row>
    <row r="10359" spans="1:7">
      <c r="A10359" s="211" t="s">
        <v>497</v>
      </c>
      <c r="B10359" s="216" t="str">
        <f ca="1">_xlfn.CONCAT(B10344,A10359)</f>
        <v>CD2F2DB-N</v>
      </c>
      <c r="C10359" s="17"/>
      <c r="D10359" s="184"/>
      <c r="E10359" s="197"/>
      <c r="F10359" s="19"/>
      <c r="G10359" s="20"/>
    </row>
    <row r="10360" spans="1:7">
      <c r="A10360" s="211" t="s">
        <v>498</v>
      </c>
      <c r="B10360" s="216" t="str">
        <f ca="1">_xlfn.CONCAT(B10344,A10360)</f>
        <v>CD2F2DB-O</v>
      </c>
      <c r="C10360" s="17"/>
      <c r="D10360" s="184"/>
      <c r="E10360" s="197"/>
      <c r="F10360" s="19"/>
      <c r="G10360" s="20"/>
    </row>
    <row r="10361" spans="1:7">
      <c r="A10361" s="211" t="s">
        <v>499</v>
      </c>
      <c r="B10361" s="216" t="str">
        <f ca="1">_xlfn.CONCAT(B10344,A10361)</f>
        <v>CD2F2DB-P</v>
      </c>
      <c r="C10361" s="17"/>
      <c r="D10361" s="184"/>
      <c r="E10361" s="197"/>
      <c r="F10361" s="19"/>
      <c r="G10361" s="20"/>
    </row>
    <row r="10362" spans="1:7">
      <c r="A10362" s="211" t="s">
        <v>500</v>
      </c>
      <c r="B10362" s="216" t="str">
        <f ca="1">_xlfn.CONCAT(B10344,A10362)</f>
        <v>CD2F2DB-Q</v>
      </c>
      <c r="C10362" s="17"/>
      <c r="D10362" s="184"/>
      <c r="E10362" s="197"/>
      <c r="F10362" s="19"/>
      <c r="G10362" s="20"/>
    </row>
    <row r="10363" spans="1:7">
      <c r="A10363" s="211" t="s">
        <v>501</v>
      </c>
      <c r="B10363" s="216" t="str">
        <f ca="1">_xlfn.CONCAT(B10344,A10363)</f>
        <v>CD2F2DB-R</v>
      </c>
      <c r="C10363" s="17"/>
      <c r="D10363" s="184"/>
      <c r="E10363" s="197"/>
      <c r="F10363" s="19"/>
      <c r="G10363" s="20"/>
    </row>
    <row r="10364" spans="1:7">
      <c r="A10364" s="211" t="s">
        <v>502</v>
      </c>
      <c r="B10364" s="216" t="str">
        <f ca="1">_xlfn.CONCAT(B10344,A10364)</f>
        <v>CD2F2DB-S</v>
      </c>
      <c r="C10364" s="17"/>
      <c r="D10364" s="184"/>
      <c r="E10364" s="197"/>
      <c r="F10364" s="19"/>
      <c r="G10364" s="20"/>
    </row>
    <row r="10365" spans="1:7">
      <c r="A10365" s="211" t="s">
        <v>503</v>
      </c>
      <c r="B10365" s="216" t="str">
        <f ca="1">_xlfn.CONCAT(B10344,A10365)</f>
        <v>CD2F2DB-T</v>
      </c>
      <c r="C10365" s="17"/>
      <c r="D10365" s="184"/>
      <c r="E10365" s="197"/>
      <c r="F10365" s="19"/>
      <c r="G10365" s="20"/>
    </row>
    <row r="10366" spans="1:7" ht="14.25" thickBot="1">
      <c r="A10366" s="211" t="s">
        <v>504</v>
      </c>
      <c r="B10366" s="216" t="str">
        <f ca="1">_xlfn.CONCAT(B10344,A10366)</f>
        <v>CD2F2DB-U</v>
      </c>
      <c r="C10366" s="17"/>
      <c r="D10366" s="184"/>
      <c r="E10366" s="197"/>
      <c r="F10366" s="19"/>
      <c r="G10366" s="20"/>
    </row>
    <row r="10367" spans="1:7" ht="14.25" thickBot="1">
      <c r="A10367" s="211" t="s">
        <v>505</v>
      </c>
      <c r="B10367" s="216" t="str">
        <f ca="1">_xlfn.CONCAT(B10344,A10367)</f>
        <v>CD2F2DB-V</v>
      </c>
      <c r="C10367" s="17" t="s">
        <v>17</v>
      </c>
      <c r="D10367" s="192" t="s">
        <v>17</v>
      </c>
      <c r="E10367" s="18"/>
      <c r="F10367" s="22" t="s">
        <v>18</v>
      </c>
      <c r="G10367" s="23">
        <f>SUM(G10346:G10366)</f>
        <v>102309.2</v>
      </c>
    </row>
    <row r="10368" spans="1:7" ht="15.75" thickBot="1">
      <c r="A10368" s="211" t="s">
        <v>506</v>
      </c>
      <c r="B10368" s="216" t="str">
        <f ca="1">_xlfn.CONCAT(B10344,A10368)</f>
        <v>CD2F2DB-W</v>
      </c>
      <c r="C10368" s="10" t="s">
        <v>19</v>
      </c>
      <c r="D10368" s="190"/>
      <c r="E10368" s="11"/>
      <c r="F10368" s="12"/>
      <c r="G10368" s="13"/>
    </row>
    <row r="10369" spans="1:8" ht="14.25" thickBot="1">
      <c r="A10369" s="211" t="s">
        <v>507</v>
      </c>
      <c r="B10369" s="216" t="str">
        <f ca="1">_xlfn.CONCAT(B10344,A10369)</f>
        <v>CD2F2DB-X</v>
      </c>
      <c r="C10369" s="14" t="s">
        <v>1</v>
      </c>
      <c r="D10369" s="15"/>
      <c r="E10369" s="15" t="s">
        <v>20</v>
      </c>
      <c r="F10369" s="16" t="s">
        <v>21</v>
      </c>
      <c r="G10369" s="15" t="s">
        <v>5</v>
      </c>
      <c r="H10369" s="215"/>
    </row>
    <row r="10370" spans="1:8">
      <c r="A10370" s="211" t="s">
        <v>508</v>
      </c>
      <c r="B10370" s="216" t="str">
        <f ca="1">_xlfn.CONCAT(B10344,A10370)</f>
        <v>CD2F2DB-Y</v>
      </c>
      <c r="C10370" s="24" t="s">
        <v>22</v>
      </c>
      <c r="D10370" s="184"/>
      <c r="E10370" s="25">
        <f>_xlfn.XLOOKUP(C10370,'H-MO'!B$7:B$30,'H-MO'!D$7:D$30,,0,1)</f>
        <v>2436.5624999999995</v>
      </c>
      <c r="F10370" s="19">
        <v>0.3</v>
      </c>
      <c r="G10370" s="33">
        <f t="shared" ref="G10370:G10375" si="295">+E10370*F10370</f>
        <v>730.96874999999989</v>
      </c>
    </row>
    <row r="10371" spans="1:8">
      <c r="A10371" s="211" t="s">
        <v>509</v>
      </c>
      <c r="B10371" s="216" t="str">
        <f ca="1">_xlfn.CONCAT(B10344,A10371)</f>
        <v>CD2F2DB-Z</v>
      </c>
      <c r="C10371" s="24" t="s">
        <v>23</v>
      </c>
      <c r="D10371" s="184"/>
      <c r="E10371" s="25">
        <f>_xlfn.XLOOKUP(C10371,'H-MO'!B$7:B$30,'H-MO'!D$7:D$30,,0,1)</f>
        <v>1461.9374999999998</v>
      </c>
      <c r="F10371" s="19">
        <v>0.6</v>
      </c>
      <c r="G10371" s="33">
        <f t="shared" si="295"/>
        <v>877.1624999999998</v>
      </c>
    </row>
    <row r="10372" spans="1:8">
      <c r="A10372" s="211" t="s">
        <v>510</v>
      </c>
      <c r="B10372" s="216" t="str">
        <f ca="1">_xlfn.CONCAT(B10344,A10372)</f>
        <v>CD2F2DB-aa</v>
      </c>
      <c r="C10372" s="24" t="s">
        <v>24</v>
      </c>
      <c r="D10372" s="185"/>
      <c r="E10372" s="25">
        <f>_xlfn.XLOOKUP(C10372,'H-MO'!B$7:B$30,'H-MO'!D$7:D$30,,0,1)</f>
        <v>29238.749999999996</v>
      </c>
      <c r="F10372" s="28">
        <v>0.1</v>
      </c>
      <c r="G10372" s="33">
        <f t="shared" si="295"/>
        <v>2923.875</v>
      </c>
    </row>
    <row r="10373" spans="1:8">
      <c r="A10373" s="211" t="s">
        <v>511</v>
      </c>
      <c r="B10373" s="216" t="str">
        <f ca="1">_xlfn.CONCAT(B10344,A10373)</f>
        <v>CD2F2DB-ab</v>
      </c>
      <c r="C10373" s="24" t="s">
        <v>25</v>
      </c>
      <c r="D10373" s="185"/>
      <c r="E10373" s="25">
        <f>_xlfn.XLOOKUP(C10373,'H-MO'!B$7:B$30,'H-MO'!D$7:D$30,,0,1)</f>
        <v>2761.4374999999995</v>
      </c>
      <c r="F10373" s="28">
        <v>0.3</v>
      </c>
      <c r="G10373" s="33">
        <f t="shared" si="295"/>
        <v>828.43124999999986</v>
      </c>
    </row>
    <row r="10374" spans="1:8">
      <c r="A10374" s="211" t="s">
        <v>512</v>
      </c>
      <c r="B10374" s="216" t="str">
        <f ca="1">_xlfn.CONCAT(B10344,A10374)</f>
        <v>CD2F2DB-ac</v>
      </c>
      <c r="C10374" s="24"/>
      <c r="D10374" s="185"/>
      <c r="E10374" s="29"/>
      <c r="F10374" s="28">
        <v>0</v>
      </c>
      <c r="G10374" s="33">
        <f t="shared" si="295"/>
        <v>0</v>
      </c>
    </row>
    <row r="10375" spans="1:8" ht="14.25" thickBot="1">
      <c r="A10375" s="211" t="s">
        <v>513</v>
      </c>
      <c r="B10375" s="216" t="str">
        <f ca="1">_xlfn.CONCAT(B10344,A10375)</f>
        <v>CD2F2DB-ad</v>
      </c>
      <c r="C10375" s="24"/>
      <c r="D10375" s="185"/>
      <c r="E10375" s="29"/>
      <c r="F10375" s="28">
        <v>0</v>
      </c>
      <c r="G10375" s="33">
        <f t="shared" si="295"/>
        <v>0</v>
      </c>
    </row>
    <row r="10376" spans="1:8" ht="14.25" thickBot="1">
      <c r="A10376" s="211" t="s">
        <v>514</v>
      </c>
      <c r="B10376" s="216" t="str">
        <f ca="1">_xlfn.CONCAT(B10344,A10376)</f>
        <v>CD2F2DB-ae</v>
      </c>
      <c r="C10376" s="17"/>
      <c r="D10376" s="192"/>
      <c r="E10376" s="18"/>
      <c r="F10376" s="22" t="s">
        <v>26</v>
      </c>
      <c r="G10376" s="23">
        <f>SUM(G10370:G10375)</f>
        <v>5360.4374999999991</v>
      </c>
    </row>
    <row r="10377" spans="1:8" ht="15.75" thickBot="1">
      <c r="A10377" s="211" t="s">
        <v>515</v>
      </c>
      <c r="B10377" s="216" t="str">
        <f ca="1">_xlfn.CONCAT(B10344,A10377)</f>
        <v>CD2F2DB-af</v>
      </c>
      <c r="C10377" s="10" t="s">
        <v>27</v>
      </c>
      <c r="D10377" s="190"/>
      <c r="E10377" s="11"/>
      <c r="F10377" s="12"/>
      <c r="G10377" s="13"/>
    </row>
    <row r="10378" spans="1:8" ht="14.25" thickBot="1">
      <c r="A10378" s="211" t="s">
        <v>516</v>
      </c>
      <c r="B10378" s="216" t="str">
        <f ca="1">_xlfn.CONCAT(B10344,A10378)</f>
        <v>CD2F2DB-ag</v>
      </c>
      <c r="C10378" s="14" t="s">
        <v>1</v>
      </c>
      <c r="D10378" s="15" t="s">
        <v>28</v>
      </c>
      <c r="E10378" s="15" t="s">
        <v>20</v>
      </c>
      <c r="F10378" s="16" t="s">
        <v>21</v>
      </c>
      <c r="G10378" s="15" t="s">
        <v>5</v>
      </c>
      <c r="H10378" s="215"/>
    </row>
    <row r="10379" spans="1:8">
      <c r="A10379" s="211" t="s">
        <v>517</v>
      </c>
      <c r="B10379" s="216" t="str">
        <f ca="1">_xlfn.CONCAT(B10344,A10379)</f>
        <v>CD2F2DB-ah</v>
      </c>
      <c r="C10379" s="30" t="s">
        <v>29</v>
      </c>
      <c r="D10379" s="186">
        <f>'H-MO'!$N$77</f>
        <v>725918.52892505517</v>
      </c>
      <c r="E10379" s="31">
        <f>+D10379/8</f>
        <v>90739.816115631897</v>
      </c>
      <c r="F10379" s="32">
        <v>0.03</v>
      </c>
      <c r="G10379" s="33">
        <f>+E10379*F10379</f>
        <v>2722.1944834689566</v>
      </c>
    </row>
    <row r="10380" spans="1:8">
      <c r="A10380" s="211" t="s">
        <v>518</v>
      </c>
      <c r="B10380" s="216" t="str">
        <f ca="1">_xlfn.CONCAT(B10344,A10380)</f>
        <v>CD2F2DB-ai</v>
      </c>
      <c r="C10380" s="34" t="s">
        <v>30</v>
      </c>
      <c r="D10380" s="187">
        <f>'H-MO'!$N$86</f>
        <v>685561.39085756091</v>
      </c>
      <c r="E10380" s="29">
        <f>+D10380/8</f>
        <v>85695.173857195114</v>
      </c>
      <c r="F10380" s="28">
        <v>0.06</v>
      </c>
      <c r="G10380" s="33">
        <f>+E10380*F10380</f>
        <v>5141.7104314317066</v>
      </c>
    </row>
    <row r="10381" spans="1:8" ht="14.25" thickBot="1">
      <c r="A10381" s="211" t="s">
        <v>519</v>
      </c>
      <c r="B10381" s="216" t="str">
        <f ca="1">_xlfn.CONCAT(B10344,A10381)</f>
        <v>CD2F2DB-aj</v>
      </c>
      <c r="C10381" s="34"/>
      <c r="D10381" s="187"/>
      <c r="E10381" s="29"/>
      <c r="F10381" s="28">
        <v>0</v>
      </c>
      <c r="G10381" s="33">
        <f>+E10381*F10381</f>
        <v>0</v>
      </c>
    </row>
    <row r="10382" spans="1:8" ht="14.25" thickBot="1">
      <c r="A10382" s="211" t="s">
        <v>520</v>
      </c>
      <c r="B10382" s="216" t="str">
        <f ca="1">_xlfn.CONCAT(B10344,A10382)</f>
        <v>CD2F2DB-ak</v>
      </c>
      <c r="C10382" s="34"/>
      <c r="D10382" s="185"/>
      <c r="E10382" s="26"/>
      <c r="F10382" s="36" t="s">
        <v>31</v>
      </c>
      <c r="G10382" s="23">
        <f>SUM(G10379:G10381)</f>
        <v>7863.9049149006632</v>
      </c>
    </row>
    <row r="10383" spans="1:8" ht="14.25" thickBot="1">
      <c r="A10383" s="211" t="s">
        <v>521</v>
      </c>
      <c r="B10383" s="216" t="str">
        <f ca="1">_xlfn.CONCAT(B10344,A10383)</f>
        <v>CD2F2DB-al</v>
      </c>
      <c r="C10383" s="37"/>
      <c r="E10383" s="38"/>
      <c r="F10383" s="22"/>
      <c r="G10383" s="39"/>
    </row>
    <row r="10384" spans="1:8" ht="16.5" thickBot="1">
      <c r="A10384" s="211" t="s">
        <v>522</v>
      </c>
      <c r="B10384" s="216" t="str">
        <f ca="1">_xlfn.CONCAT(B10344,A10384)</f>
        <v>CD2F2DB-am</v>
      </c>
      <c r="C10384" s="40"/>
      <c r="D10384" s="193"/>
      <c r="E10384" s="41"/>
      <c r="F10384" s="42"/>
      <c r="G10384" s="43">
        <f>+G10367+G10376+G10382</f>
        <v>115533.54241490066</v>
      </c>
    </row>
    <row r="10385" spans="1:8" ht="21.75" thickBot="1">
      <c r="B10385" s="212" t="s">
        <v>550</v>
      </c>
      <c r="C10385" s="2"/>
      <c r="D10385" s="183"/>
      <c r="F10385" s="4"/>
      <c r="G10385" s="5"/>
    </row>
    <row r="10386" spans="1:8" ht="18.75">
      <c r="A10386" s="213"/>
      <c r="B10386" s="214">
        <v>236</v>
      </c>
      <c r="C10386" s="242" t="str">
        <f ca="1">_xlfn.XLOOKUP(B10386,Cantidades!$A$10:$A$314,Cantidades!$C$10:$C$314,,0,1)</f>
        <v xml:space="preserve">Suministro e instalacion Afloramiento en 1Ø3" IMC según norma CS400 </v>
      </c>
      <c r="D10386" s="243"/>
      <c r="E10386" s="243"/>
      <c r="F10386" s="243"/>
      <c r="G10386" s="244"/>
    </row>
    <row r="10387" spans="1:8" ht="19.5" thickBot="1">
      <c r="A10387" s="215"/>
      <c r="B10387" s="216" t="s">
        <v>550</v>
      </c>
      <c r="C10387" s="177"/>
      <c r="D10387" s="189"/>
      <c r="E10387" s="178"/>
      <c r="F10387" s="179" t="s">
        <v>636</v>
      </c>
      <c r="G10387" s="209" t="str">
        <f ca="1">B10388</f>
        <v>ACD1F30-</v>
      </c>
    </row>
    <row r="10388" spans="1:8" ht="15.75" thickBot="1">
      <c r="B10388" s="212" t="str">
        <f ca="1">_xlfn.XLOOKUP(C10386,Cantidades!$C$1:$C$314,Cantidades!$B$1:$B$314,"",0,1)</f>
        <v>ACD1F30-</v>
      </c>
      <c r="C10388" s="10" t="s">
        <v>0</v>
      </c>
      <c r="D10388" s="190"/>
      <c r="E10388" s="11"/>
      <c r="F10388" s="12"/>
      <c r="G10388" s="13"/>
    </row>
    <row r="10389" spans="1:8" ht="14.25" thickBot="1">
      <c r="A10389" s="215"/>
      <c r="B10389" s="216" t="s">
        <v>550</v>
      </c>
      <c r="C10389" s="14" t="s">
        <v>1</v>
      </c>
      <c r="D10389" s="15" t="s">
        <v>2</v>
      </c>
      <c r="E10389" s="15" t="s">
        <v>3</v>
      </c>
      <c r="F10389" s="16" t="s">
        <v>4</v>
      </c>
      <c r="G10389" s="15" t="s">
        <v>5</v>
      </c>
    </row>
    <row r="10390" spans="1:8" ht="15">
      <c r="A10390" s="211" t="s">
        <v>484</v>
      </c>
      <c r="B10390" s="216" t="str">
        <f ca="1">_xlfn.CONCAT(B10388,A10390)</f>
        <v>ACD1F30-A</v>
      </c>
      <c r="C10390" s="17" t="str">
        <f>_xlfn.XLOOKUP(H10390,'Materiales unitario'!$A$1:$A$2500,'Materiales unitario'!B$1:B$2500,,0,1)</f>
        <v xml:space="preserve">Tubo metálico galv. Ø3" IMC </v>
      </c>
      <c r="D10390" s="184" t="str">
        <f>_xlfn.XLOOKUP(H10390,'Materiales unitario'!A$1:A$2500,'Materiales unitario'!C$1:C$2500,,0,1)</f>
        <v>ml</v>
      </c>
      <c r="E10390" s="197">
        <f>_xlfn.XLOOKUP(H10390,'Materiales unitario'!$A$1:$A$2500,'Materiales unitario'!D$1:D$2500,,0,1)</f>
        <v>136400</v>
      </c>
      <c r="F10390" s="19">
        <v>6</v>
      </c>
      <c r="G10390" s="20">
        <f>+E10390*F10390</f>
        <v>818400</v>
      </c>
      <c r="H10390" s="217" t="s">
        <v>1181</v>
      </c>
    </row>
    <row r="10391" spans="1:8" ht="15">
      <c r="A10391" s="211" t="s">
        <v>485</v>
      </c>
      <c r="B10391" s="216" t="str">
        <f ca="1">_xlfn.CONCAT(B10388,A10391)</f>
        <v>ACD1F30-B</v>
      </c>
      <c r="C10391" s="17" t="str">
        <f>_xlfn.XLOOKUP(H10391,'Materiales unitario'!$A$1:$A$2500,'Materiales unitario'!B$1:B$2500,,0,1)</f>
        <v>Capacete en aluminio fundido ø3"</v>
      </c>
      <c r="D10391" s="184" t="str">
        <f>_xlfn.XLOOKUP(H10391,'Materiales unitario'!A$1:A$2500,'Materiales unitario'!C$1:C$2500,,0,1)</f>
        <v>ml</v>
      </c>
      <c r="E10391" s="197">
        <f>_xlfn.XLOOKUP(H10391,'Materiales unitario'!$A$1:$A$2500,'Materiales unitario'!D$1:D$2500,,0,1)</f>
        <v>64920</v>
      </c>
      <c r="F10391" s="19">
        <v>1</v>
      </c>
      <c r="G10391" s="20">
        <f>+E10391*F10391</f>
        <v>64920</v>
      </c>
      <c r="H10391" s="217" t="s">
        <v>1183</v>
      </c>
    </row>
    <row r="10392" spans="1:8" ht="15">
      <c r="A10392" s="211" t="s">
        <v>486</v>
      </c>
      <c r="B10392" s="216" t="str">
        <f ca="1">_xlfn.CONCAT(B10388,A10392)</f>
        <v>ACD1F30-C</v>
      </c>
      <c r="C10392" s="17" t="str">
        <f>_xlfn.XLOOKUP(H10392,'Materiales unitario'!$A$1:$A$2500,'Materiales unitario'!B$1:B$2500,,0,1)</f>
        <v xml:space="preserve">Unión Conduit galv. ø3" </v>
      </c>
      <c r="D10392" s="184" t="str">
        <f>_xlfn.XLOOKUP(H10392,'Materiales unitario'!A$1:A$2500,'Materiales unitario'!C$1:C$2500,,0,1)</f>
        <v>un</v>
      </c>
      <c r="E10392" s="197">
        <f>_xlfn.XLOOKUP(H10392,'Materiales unitario'!$A$1:$A$2500,'Materiales unitario'!D$1:D$2500,,0,1)</f>
        <v>23400</v>
      </c>
      <c r="F10392" s="19">
        <v>1</v>
      </c>
      <c r="G10392" s="20">
        <f>+E10392*F10392</f>
        <v>23400</v>
      </c>
      <c r="H10392" s="217" t="s">
        <v>1185</v>
      </c>
    </row>
    <row r="10393" spans="1:8" ht="15">
      <c r="A10393" s="211" t="s">
        <v>487</v>
      </c>
      <c r="B10393" s="216" t="str">
        <f ca="1">_xlfn.CONCAT(B10388,A10393)</f>
        <v>ACD1F30-D</v>
      </c>
      <c r="C10393" s="17" t="str">
        <f>_xlfn.XLOOKUP(H10393,'Materiales unitario'!$A$1:$A$2500,'Materiales unitario'!B$1:B$2500,,0,1)</f>
        <v>Curva PVC ø3"</v>
      </c>
      <c r="D10393" s="184" t="str">
        <f>_xlfn.XLOOKUP(H10393,'Materiales unitario'!A$1:A$2500,'Materiales unitario'!C$1:C$2500,,0,1)</f>
        <v>un</v>
      </c>
      <c r="E10393" s="197">
        <f>_xlfn.XLOOKUP(H10393,'Materiales unitario'!$A$1:$A$2500,'Materiales unitario'!D$1:D$2500,,0,1)</f>
        <v>21600</v>
      </c>
      <c r="F10393" s="19">
        <v>1</v>
      </c>
      <c r="G10393" s="20">
        <f>+E10393*F10393</f>
        <v>21600</v>
      </c>
      <c r="H10393" s="217" t="s">
        <v>1187</v>
      </c>
    </row>
    <row r="10394" spans="1:8" ht="15">
      <c r="A10394" s="211" t="s">
        <v>488</v>
      </c>
      <c r="B10394" s="216" t="str">
        <f ca="1">_xlfn.CONCAT(B10388,A10394)</f>
        <v>ACD1F30-E</v>
      </c>
      <c r="C10394" s="17" t="str">
        <f>_xlfn.XLOOKUP(H10394,'Materiales unitario'!$A$1:$A$2500,'Materiales unitario'!B$1:B$2500,,0,1)</f>
        <v>Cinta Band - It  ø3/8"</v>
      </c>
      <c r="D10394" s="184" t="str">
        <f>_xlfn.XLOOKUP(H10394,'Materiales unitario'!A$1:A$2500,'Materiales unitario'!C$1:C$2500,,0,1)</f>
        <v>ml</v>
      </c>
      <c r="E10394" s="197">
        <f>_xlfn.XLOOKUP(H10394,'Materiales unitario'!$A$1:$A$2500,'Materiales unitario'!D$1:D$2500,,0,1)</f>
        <v>2856</v>
      </c>
      <c r="F10394" s="19">
        <v>1</v>
      </c>
      <c r="G10394" s="20">
        <f>+E10394*F10394</f>
        <v>2856</v>
      </c>
      <c r="H10394" s="217" t="s">
        <v>297</v>
      </c>
    </row>
    <row r="10395" spans="1:8" ht="15">
      <c r="A10395" s="211" t="s">
        <v>489</v>
      </c>
      <c r="B10395" s="216" t="str">
        <f ca="1">_xlfn.CONCAT(B10388,A10395)</f>
        <v>ACD1F30-F</v>
      </c>
      <c r="C10395" s="17"/>
      <c r="D10395" s="184"/>
      <c r="E10395" s="197"/>
      <c r="F10395" s="19"/>
      <c r="G10395" s="20"/>
      <c r="H10395" s="217"/>
    </row>
    <row r="10396" spans="1:8" ht="15">
      <c r="A10396" s="211" t="s">
        <v>490</v>
      </c>
      <c r="B10396" s="216" t="str">
        <f ca="1">_xlfn.CONCAT(B10388,A10396)</f>
        <v>ACD1F30-G</v>
      </c>
      <c r="C10396" s="17"/>
      <c r="D10396" s="184"/>
      <c r="E10396" s="197"/>
      <c r="F10396" s="19"/>
      <c r="G10396" s="20"/>
      <c r="H10396" s="217"/>
    </row>
    <row r="10397" spans="1:8" ht="15">
      <c r="A10397" s="211" t="s">
        <v>491</v>
      </c>
      <c r="B10397" s="216" t="str">
        <f ca="1">_xlfn.CONCAT(B10388,A10397)</f>
        <v>ACD1F30-H</v>
      </c>
      <c r="C10397" s="17"/>
      <c r="D10397" s="184"/>
      <c r="E10397" s="197"/>
      <c r="F10397" s="19"/>
      <c r="G10397" s="20"/>
      <c r="H10397" s="217"/>
    </row>
    <row r="10398" spans="1:8" ht="15">
      <c r="A10398" s="211" t="s">
        <v>492</v>
      </c>
      <c r="B10398" s="216" t="str">
        <f ca="1">_xlfn.CONCAT(B10388,A10398)</f>
        <v>ACD1F30-I</v>
      </c>
      <c r="C10398" s="17"/>
      <c r="D10398" s="184"/>
      <c r="E10398" s="197"/>
      <c r="F10398" s="19"/>
      <c r="G10398" s="20"/>
      <c r="H10398" s="217"/>
    </row>
    <row r="10399" spans="1:8" ht="15">
      <c r="A10399" s="211" t="s">
        <v>493</v>
      </c>
      <c r="B10399" s="216" t="str">
        <f ca="1">_xlfn.CONCAT(B10388,A10399)</f>
        <v>ACD1F30-J</v>
      </c>
      <c r="C10399" s="17"/>
      <c r="D10399" s="184"/>
      <c r="E10399" s="197"/>
      <c r="F10399" s="19"/>
      <c r="G10399" s="20"/>
      <c r="H10399" s="217"/>
    </row>
    <row r="10400" spans="1:8">
      <c r="A10400" s="211" t="s">
        <v>494</v>
      </c>
      <c r="B10400" s="216" t="str">
        <f ca="1">_xlfn.CONCAT(B10388,A10400)</f>
        <v>ACD1F30-K</v>
      </c>
      <c r="C10400" s="17"/>
      <c r="D10400" s="184"/>
      <c r="E10400" s="197"/>
      <c r="F10400" s="19"/>
      <c r="G10400" s="20"/>
    </row>
    <row r="10401" spans="1:7">
      <c r="A10401" s="211" t="s">
        <v>495</v>
      </c>
      <c r="B10401" s="216" t="str">
        <f ca="1">_xlfn.CONCAT(B10388,A10401)</f>
        <v>ACD1F30-L</v>
      </c>
      <c r="C10401" s="17"/>
      <c r="D10401" s="184"/>
      <c r="E10401" s="197"/>
      <c r="F10401" s="19"/>
      <c r="G10401" s="20"/>
    </row>
    <row r="10402" spans="1:7">
      <c r="A10402" s="211" t="s">
        <v>496</v>
      </c>
      <c r="B10402" s="216" t="str">
        <f ca="1">_xlfn.CONCAT(B10388,A10402)</f>
        <v>ACD1F30-M</v>
      </c>
      <c r="C10402" s="17"/>
      <c r="D10402" s="184"/>
      <c r="E10402" s="197"/>
      <c r="F10402" s="19"/>
      <c r="G10402" s="20"/>
    </row>
    <row r="10403" spans="1:7">
      <c r="A10403" s="211" t="s">
        <v>497</v>
      </c>
      <c r="B10403" s="216" t="str">
        <f ca="1">_xlfn.CONCAT(B10388,A10403)</f>
        <v>ACD1F30-N</v>
      </c>
      <c r="C10403" s="17"/>
      <c r="D10403" s="184"/>
      <c r="E10403" s="197"/>
      <c r="F10403" s="19"/>
      <c r="G10403" s="20"/>
    </row>
    <row r="10404" spans="1:7">
      <c r="A10404" s="211" t="s">
        <v>498</v>
      </c>
      <c r="B10404" s="216" t="str">
        <f ca="1">_xlfn.CONCAT(B10388,A10404)</f>
        <v>ACD1F30-O</v>
      </c>
      <c r="C10404" s="17"/>
      <c r="D10404" s="184"/>
      <c r="E10404" s="197"/>
      <c r="F10404" s="19"/>
      <c r="G10404" s="20"/>
    </row>
    <row r="10405" spans="1:7">
      <c r="A10405" s="211" t="s">
        <v>499</v>
      </c>
      <c r="B10405" s="216" t="str">
        <f ca="1">_xlfn.CONCAT(B10388,A10405)</f>
        <v>ACD1F30-P</v>
      </c>
      <c r="C10405" s="17"/>
      <c r="D10405" s="184"/>
      <c r="E10405" s="197"/>
      <c r="F10405" s="19"/>
      <c r="G10405" s="20"/>
    </row>
    <row r="10406" spans="1:7">
      <c r="A10406" s="211" t="s">
        <v>500</v>
      </c>
      <c r="B10406" s="216" t="str">
        <f ca="1">_xlfn.CONCAT(B10388,A10406)</f>
        <v>ACD1F30-Q</v>
      </c>
      <c r="C10406" s="17"/>
      <c r="D10406" s="184"/>
      <c r="E10406" s="197"/>
      <c r="F10406" s="19"/>
      <c r="G10406" s="20"/>
    </row>
    <row r="10407" spans="1:7">
      <c r="A10407" s="211" t="s">
        <v>501</v>
      </c>
      <c r="B10407" s="216" t="str">
        <f ca="1">_xlfn.CONCAT(B10388,A10407)</f>
        <v>ACD1F30-R</v>
      </c>
      <c r="C10407" s="17"/>
      <c r="D10407" s="184"/>
      <c r="E10407" s="197"/>
      <c r="F10407" s="19"/>
      <c r="G10407" s="20"/>
    </row>
    <row r="10408" spans="1:7">
      <c r="A10408" s="211" t="s">
        <v>502</v>
      </c>
      <c r="B10408" s="216" t="str">
        <f ca="1">_xlfn.CONCAT(B10388,A10408)</f>
        <v>ACD1F30-S</v>
      </c>
      <c r="C10408" s="17"/>
      <c r="D10408" s="184"/>
      <c r="E10408" s="197"/>
      <c r="F10408" s="19"/>
      <c r="G10408" s="20"/>
    </row>
    <row r="10409" spans="1:7">
      <c r="A10409" s="211" t="s">
        <v>503</v>
      </c>
      <c r="B10409" s="216" t="str">
        <f ca="1">_xlfn.CONCAT(B10388,A10409)</f>
        <v>ACD1F30-T</v>
      </c>
      <c r="C10409" s="17"/>
      <c r="D10409" s="184"/>
      <c r="E10409" s="197"/>
      <c r="F10409" s="19"/>
      <c r="G10409" s="20"/>
    </row>
    <row r="10410" spans="1:7" ht="14.25" thickBot="1">
      <c r="A10410" s="211" t="s">
        <v>504</v>
      </c>
      <c r="B10410" s="216" t="str">
        <f ca="1">_xlfn.CONCAT(B10388,A10410)</f>
        <v>ACD1F30-U</v>
      </c>
      <c r="C10410" s="17"/>
      <c r="D10410" s="184"/>
      <c r="E10410" s="197"/>
      <c r="F10410" s="19"/>
      <c r="G10410" s="20"/>
    </row>
    <row r="10411" spans="1:7" ht="14.25" thickBot="1">
      <c r="A10411" s="211" t="s">
        <v>505</v>
      </c>
      <c r="B10411" s="216" t="str">
        <f ca="1">_xlfn.CONCAT(B10388,A10411)</f>
        <v>ACD1F30-V</v>
      </c>
      <c r="C10411" s="17" t="s">
        <v>17</v>
      </c>
      <c r="D10411" s="192" t="s">
        <v>17</v>
      </c>
      <c r="E10411" s="18"/>
      <c r="F10411" s="22" t="s">
        <v>18</v>
      </c>
      <c r="G10411" s="23">
        <f>SUM(G10390:G10410)</f>
        <v>931176</v>
      </c>
    </row>
    <row r="10412" spans="1:7" ht="15.75" thickBot="1">
      <c r="A10412" s="211" t="s">
        <v>506</v>
      </c>
      <c r="B10412" s="216" t="str">
        <f ca="1">_xlfn.CONCAT(B10388,A10412)</f>
        <v>ACD1F30-W</v>
      </c>
      <c r="C10412" s="10" t="s">
        <v>19</v>
      </c>
      <c r="D10412" s="190"/>
      <c r="E10412" s="11"/>
      <c r="F10412" s="12"/>
      <c r="G10412" s="13"/>
    </row>
    <row r="10413" spans="1:7" ht="14.25" thickBot="1">
      <c r="A10413" s="211" t="s">
        <v>507</v>
      </c>
      <c r="B10413" s="216" t="str">
        <f ca="1">_xlfn.CONCAT(B10388,A10413)</f>
        <v>ACD1F30-X</v>
      </c>
      <c r="C10413" s="14" t="s">
        <v>1</v>
      </c>
      <c r="D10413" s="15"/>
      <c r="E10413" s="15" t="s">
        <v>20</v>
      </c>
      <c r="F10413" s="16" t="s">
        <v>21</v>
      </c>
      <c r="G10413" s="15" t="s">
        <v>5</v>
      </c>
    </row>
    <row r="10414" spans="1:7">
      <c r="A10414" s="211" t="s">
        <v>508</v>
      </c>
      <c r="B10414" s="216" t="str">
        <f ca="1">_xlfn.CONCAT(B10388,A10414)</f>
        <v>ACD1F30-Y</v>
      </c>
      <c r="C10414" s="24" t="s">
        <v>22</v>
      </c>
      <c r="D10414" s="184"/>
      <c r="E10414" s="25">
        <f>_xlfn.XLOOKUP(C10414,'H-MO'!B$7:B$30,'H-MO'!D$7:D$30,,0,1)</f>
        <v>2436.5624999999995</v>
      </c>
      <c r="F10414" s="19">
        <v>2.2000000000000002</v>
      </c>
      <c r="G10414" s="33">
        <f t="shared" ref="G10414:G10419" si="296">+E10414*F10414</f>
        <v>5360.4374999999991</v>
      </c>
    </row>
    <row r="10415" spans="1:7">
      <c r="A10415" s="211" t="s">
        <v>509</v>
      </c>
      <c r="B10415" s="216" t="str">
        <f ca="1">_xlfn.CONCAT(B10388,A10415)</f>
        <v>ACD1F30-Z</v>
      </c>
      <c r="C10415" s="24" t="s">
        <v>23</v>
      </c>
      <c r="D10415" s="184"/>
      <c r="E10415" s="25">
        <f>_xlfn.XLOOKUP(C10415,'H-MO'!B$7:B$30,'H-MO'!D$7:D$30,,0,1)</f>
        <v>1461.9374999999998</v>
      </c>
      <c r="F10415" s="19">
        <v>3.3</v>
      </c>
      <c r="G10415" s="33">
        <f t="shared" si="296"/>
        <v>4824.3937499999993</v>
      </c>
    </row>
    <row r="10416" spans="1:7">
      <c r="A10416" s="211" t="s">
        <v>510</v>
      </c>
      <c r="B10416" s="216" t="str">
        <f ca="1">_xlfn.CONCAT(B10388,A10416)</f>
        <v>ACD1F30-aa</v>
      </c>
      <c r="C10416" s="24" t="s">
        <v>24</v>
      </c>
      <c r="D10416" s="185"/>
      <c r="E10416" s="25">
        <f>_xlfn.XLOOKUP(C10416,'H-MO'!B$7:B$30,'H-MO'!D$7:D$30,,0,1)</f>
        <v>29238.749999999996</v>
      </c>
      <c r="F10416" s="28">
        <v>1.1000000000000001</v>
      </c>
      <c r="G10416" s="33">
        <f t="shared" si="296"/>
        <v>32162.625</v>
      </c>
    </row>
    <row r="10417" spans="1:7">
      <c r="A10417" s="211" t="s">
        <v>511</v>
      </c>
      <c r="B10417" s="216" t="str">
        <f ca="1">_xlfn.CONCAT(B10388,A10417)</f>
        <v>ACD1F30-ab</v>
      </c>
      <c r="C10417" s="24" t="s">
        <v>25</v>
      </c>
      <c r="D10417" s="185"/>
      <c r="E10417" s="25">
        <f>_xlfn.XLOOKUP(C10417,'H-MO'!B$7:B$30,'H-MO'!D$7:D$30,,0,1)</f>
        <v>2761.4374999999995</v>
      </c>
      <c r="F10417" s="28">
        <v>6.6</v>
      </c>
      <c r="G10417" s="33">
        <f t="shared" si="296"/>
        <v>18225.487499999996</v>
      </c>
    </row>
    <row r="10418" spans="1:7">
      <c r="A10418" s="211" t="s">
        <v>512</v>
      </c>
      <c r="B10418" s="216" t="str">
        <f ca="1">_xlfn.CONCAT(B10388,A10418)</f>
        <v>ACD1F30-ac</v>
      </c>
      <c r="C10418" s="24"/>
      <c r="D10418" s="185"/>
      <c r="E10418" s="29"/>
      <c r="F10418" s="28"/>
      <c r="G10418" s="33">
        <f t="shared" si="296"/>
        <v>0</v>
      </c>
    </row>
    <row r="10419" spans="1:7" ht="14.25" thickBot="1">
      <c r="A10419" s="211" t="s">
        <v>513</v>
      </c>
      <c r="B10419" s="216" t="str">
        <f ca="1">_xlfn.CONCAT(B10388,A10419)</f>
        <v>ACD1F30-ad</v>
      </c>
      <c r="C10419" s="24"/>
      <c r="D10419" s="185"/>
      <c r="E10419" s="29"/>
      <c r="F10419" s="28"/>
      <c r="G10419" s="33">
        <f t="shared" si="296"/>
        <v>0</v>
      </c>
    </row>
    <row r="10420" spans="1:7" ht="14.25" thickBot="1">
      <c r="A10420" s="211" t="s">
        <v>514</v>
      </c>
      <c r="B10420" s="216" t="str">
        <f ca="1">_xlfn.CONCAT(B10388,A10420)</f>
        <v>ACD1F30-ae</v>
      </c>
      <c r="C10420" s="17"/>
      <c r="D10420" s="192"/>
      <c r="E10420" s="18"/>
      <c r="F10420" s="22" t="s">
        <v>26</v>
      </c>
      <c r="G10420" s="23">
        <f>SUM(G10414:G10419)</f>
        <v>60572.943749999999</v>
      </c>
    </row>
    <row r="10421" spans="1:7" ht="15.75" thickBot="1">
      <c r="A10421" s="211" t="s">
        <v>515</v>
      </c>
      <c r="B10421" s="216" t="str">
        <f ca="1">_xlfn.CONCAT(B10388,A10421)</f>
        <v>ACD1F30-af</v>
      </c>
      <c r="C10421" s="10" t="s">
        <v>27</v>
      </c>
      <c r="D10421" s="190"/>
      <c r="E10421" s="11"/>
      <c r="F10421" s="12"/>
      <c r="G10421" s="13"/>
    </row>
    <row r="10422" spans="1:7" ht="14.25" thickBot="1">
      <c r="A10422" s="211" t="s">
        <v>516</v>
      </c>
      <c r="B10422" s="216" t="str">
        <f ca="1">_xlfn.CONCAT(B10388,A10422)</f>
        <v>ACD1F30-ag</v>
      </c>
      <c r="C10422" s="14" t="s">
        <v>1</v>
      </c>
      <c r="D10422" s="15" t="s">
        <v>28</v>
      </c>
      <c r="E10422" s="15" t="s">
        <v>20</v>
      </c>
      <c r="F10422" s="16" t="s">
        <v>21</v>
      </c>
      <c r="G10422" s="15" t="s">
        <v>5</v>
      </c>
    </row>
    <row r="10423" spans="1:7">
      <c r="A10423" s="211" t="s">
        <v>517</v>
      </c>
      <c r="B10423" s="216" t="str">
        <f ca="1">_xlfn.CONCAT(B10388,A10423)</f>
        <v>ACD1F30-ah</v>
      </c>
      <c r="C10423" s="30" t="s">
        <v>29</v>
      </c>
      <c r="D10423" s="186">
        <f>'H-MO'!$N$77</f>
        <v>725918.52892505517</v>
      </c>
      <c r="E10423" s="31">
        <f>+D10423/8</f>
        <v>90739.816115631897</v>
      </c>
      <c r="F10423" s="32">
        <v>3.8</v>
      </c>
      <c r="G10423" s="33">
        <f>+E10423*F10423</f>
        <v>344811.30123940122</v>
      </c>
    </row>
    <row r="10424" spans="1:7">
      <c r="A10424" s="211" t="s">
        <v>518</v>
      </c>
      <c r="B10424" s="216" t="str">
        <f ca="1">_xlfn.CONCAT(B10388,A10424)</f>
        <v>ACD1F30-ai</v>
      </c>
      <c r="C10424" s="34" t="s">
        <v>30</v>
      </c>
      <c r="D10424" s="187">
        <f>'H-MO'!$N$86</f>
        <v>685561.39085756091</v>
      </c>
      <c r="E10424" s="29">
        <f>+D10424/8</f>
        <v>85695.173857195114</v>
      </c>
      <c r="F10424" s="28">
        <v>0</v>
      </c>
      <c r="G10424" s="33">
        <f>+E10424*F10424</f>
        <v>0</v>
      </c>
    </row>
    <row r="10425" spans="1:7" ht="14.25" thickBot="1">
      <c r="A10425" s="211" t="s">
        <v>519</v>
      </c>
      <c r="B10425" s="216" t="str">
        <f ca="1">_xlfn.CONCAT(B10388,A10425)</f>
        <v>ACD1F30-aj</v>
      </c>
      <c r="C10425" s="34"/>
      <c r="D10425" s="187"/>
      <c r="E10425" s="29"/>
      <c r="F10425" s="28"/>
      <c r="G10425" s="33">
        <f>+E10425*F10425</f>
        <v>0</v>
      </c>
    </row>
    <row r="10426" spans="1:7" ht="14.25" thickBot="1">
      <c r="A10426" s="211" t="s">
        <v>520</v>
      </c>
      <c r="B10426" s="216" t="str">
        <f ca="1">_xlfn.CONCAT(B10388,A10426)</f>
        <v>ACD1F30-ak</v>
      </c>
      <c r="C10426" s="34"/>
      <c r="D10426" s="185"/>
      <c r="E10426" s="26"/>
      <c r="F10426" s="36" t="s">
        <v>31</v>
      </c>
      <c r="G10426" s="23">
        <f>SUM(G10423:G10425)</f>
        <v>344811.30123940122</v>
      </c>
    </row>
    <row r="10427" spans="1:7" ht="14.25" thickBot="1">
      <c r="A10427" s="211" t="s">
        <v>521</v>
      </c>
      <c r="B10427" s="216" t="str">
        <f ca="1">_xlfn.CONCAT(B10388,A10427)</f>
        <v>ACD1F30-al</v>
      </c>
      <c r="C10427" s="37"/>
      <c r="E10427" s="38"/>
      <c r="F10427" s="22"/>
      <c r="G10427" s="39"/>
    </row>
    <row r="10428" spans="1:7" ht="16.5" thickBot="1">
      <c r="A10428" s="211" t="s">
        <v>522</v>
      </c>
      <c r="B10428" s="216" t="str">
        <f ca="1">_xlfn.CONCAT(B10388,A10428)</f>
        <v>ACD1F30-am</v>
      </c>
      <c r="C10428" s="40"/>
      <c r="D10428" s="193"/>
      <c r="E10428" s="41"/>
      <c r="F10428" s="42"/>
      <c r="G10428" s="43">
        <f>+G10411+G10420+G10426</f>
        <v>1336560.2449894012</v>
      </c>
    </row>
    <row r="10429" spans="1:7" ht="21.75" thickBot="1">
      <c r="B10429" s="212" t="s">
        <v>550</v>
      </c>
      <c r="C10429" s="2"/>
      <c r="D10429" s="183"/>
      <c r="F10429" s="4"/>
      <c r="G10429" s="5"/>
    </row>
    <row r="10430" spans="1:7" ht="18.75">
      <c r="A10430" s="213"/>
      <c r="B10430" s="214">
        <v>237</v>
      </c>
      <c r="C10430" s="242" t="str">
        <f ca="1">_xlfn.XLOOKUP(B10430,Cantidades!$A$10:$A$314,Cantidades!$C$10:$C$314,,0,1)</f>
        <v>MONTAJE EN POSTE DE TRANSFORMADOR TRIFÁSICO PARA SERVICIO DEDICADO CIRCUITO PRIMARIO SENCILLO NORMA CODENSA CTU 520. No incluye poste, ni componentes estructura (LA) red primaria.</v>
      </c>
      <c r="D10430" s="243"/>
      <c r="E10430" s="243"/>
      <c r="F10430" s="243"/>
      <c r="G10430" s="244"/>
    </row>
    <row r="10431" spans="1:7" ht="19.5" thickBot="1">
      <c r="A10431" s="215"/>
      <c r="B10431" s="216" t="s">
        <v>550</v>
      </c>
      <c r="C10431" s="177"/>
      <c r="D10431" s="189"/>
      <c r="E10431" s="178"/>
      <c r="F10431" s="179" t="s">
        <v>636</v>
      </c>
      <c r="G10431" s="209" t="str">
        <f ca="1">B10432</f>
        <v>2E06143E-</v>
      </c>
    </row>
    <row r="10432" spans="1:7" ht="15.75" thickBot="1">
      <c r="B10432" s="212" t="str">
        <f ca="1">_xlfn.XLOOKUP(C10430,Cantidades!$C$1:$C$314,Cantidades!$B$1:$B$314,"",0,1)</f>
        <v>2E06143E-</v>
      </c>
      <c r="C10432" s="10" t="s">
        <v>0</v>
      </c>
      <c r="D10432" s="190"/>
      <c r="E10432" s="11"/>
      <c r="F10432" s="12"/>
      <c r="G10432" s="13"/>
    </row>
    <row r="10433" spans="1:8" ht="14.25" thickBot="1">
      <c r="A10433" s="215"/>
      <c r="B10433" s="216" t="s">
        <v>550</v>
      </c>
      <c r="C10433" s="14" t="s">
        <v>1</v>
      </c>
      <c r="D10433" s="15" t="s">
        <v>2</v>
      </c>
      <c r="E10433" s="15" t="s">
        <v>3</v>
      </c>
      <c r="F10433" s="16" t="s">
        <v>4</v>
      </c>
      <c r="G10433" s="15" t="s">
        <v>5</v>
      </c>
    </row>
    <row r="10434" spans="1:8" ht="15">
      <c r="A10434" s="211" t="s">
        <v>484</v>
      </c>
      <c r="B10434" s="216" t="str">
        <f ca="1">_xlfn.CONCAT(B10432,A10434)</f>
        <v>2E06143E-A</v>
      </c>
      <c r="C10434" s="17" t="str">
        <f>_xlfn.XLOOKUP(H10434,'Materiales unitario'!$A$1:$A$2500,'Materiales unitario'!B$1:B$2500,,0,1)</f>
        <v>Servicio de grúa en el sitio</v>
      </c>
      <c r="D10434" s="184" t="str">
        <f>_xlfn.XLOOKUP(H10434,'Materiales unitario'!A$1:A$2500,'Materiales unitario'!C$1:C$2500,,0,1)</f>
        <v>hr</v>
      </c>
      <c r="E10434" s="197">
        <f>_xlfn.XLOOKUP(H10434,'Materiales unitario'!$A$1:$A$2500,'Materiales unitario'!D$1:D$2500,,0,1)</f>
        <v>426720</v>
      </c>
      <c r="F10434" s="19">
        <v>2</v>
      </c>
      <c r="G10434" s="20">
        <f>+E10434*F10434</f>
        <v>853440</v>
      </c>
      <c r="H10434" s="217" t="s">
        <v>529</v>
      </c>
    </row>
    <row r="10435" spans="1:8" ht="15">
      <c r="A10435" s="211" t="s">
        <v>485</v>
      </c>
      <c r="B10435" s="216" t="str">
        <f ca="1">_xlfn.CONCAT(B10432,A10435)</f>
        <v>2E06143E-B</v>
      </c>
      <c r="C10435" s="17">
        <f>_xlfn.XLOOKUP(H10435,'Materiales unitario'!$A$1:$A$2500,'Materiales unitario'!B$1:B$2500,,0,1)</f>
        <v>0</v>
      </c>
      <c r="D10435" s="184">
        <f>_xlfn.XLOOKUP(H10435,'Materiales unitario'!A$1:A$2500,'Materiales unitario'!C$1:C$2500,,0,1)</f>
        <v>0</v>
      </c>
      <c r="E10435" s="197">
        <f>_xlfn.XLOOKUP(H10435,'Materiales unitario'!$A$1:$A$2500,'Materiales unitario'!D$1:D$2500,,0,1)</f>
        <v>0</v>
      </c>
      <c r="F10435" s="19"/>
      <c r="G10435" s="20">
        <f>+E10435*F10435</f>
        <v>0</v>
      </c>
      <c r="H10435" s="217"/>
    </row>
    <row r="10436" spans="1:8" ht="15">
      <c r="A10436" s="211" t="s">
        <v>486</v>
      </c>
      <c r="B10436" s="216" t="str">
        <f ca="1">_xlfn.CONCAT(B10432,A10436)</f>
        <v>2E06143E-C</v>
      </c>
      <c r="C10436" s="17">
        <f>_xlfn.XLOOKUP(H10436,'Materiales unitario'!$A$1:$A$2500,'Materiales unitario'!B$1:B$2500,,0,1)</f>
        <v>0</v>
      </c>
      <c r="D10436" s="184">
        <f>_xlfn.XLOOKUP(H10436,'Materiales unitario'!A$1:A$2500,'Materiales unitario'!C$1:C$2500,,0,1)</f>
        <v>0</v>
      </c>
      <c r="E10436" s="197">
        <f>_xlfn.XLOOKUP(H10436,'Materiales unitario'!$A$1:$A$2500,'Materiales unitario'!D$1:D$2500,,0,1)</f>
        <v>0</v>
      </c>
      <c r="F10436" s="19"/>
      <c r="G10436" s="20">
        <f>+E10436*F10436</f>
        <v>0</v>
      </c>
      <c r="H10436" s="217"/>
    </row>
    <row r="10437" spans="1:8" ht="15">
      <c r="A10437" s="211" t="s">
        <v>487</v>
      </c>
      <c r="B10437" s="216" t="str">
        <f ca="1">_xlfn.CONCAT(B10432,A10437)</f>
        <v>2E06143E-D</v>
      </c>
      <c r="C10437" s="17">
        <f>_xlfn.XLOOKUP(H10437,'Materiales unitario'!$A$1:$A$2500,'Materiales unitario'!B$1:B$2500,,0,1)</f>
        <v>0</v>
      </c>
      <c r="D10437" s="184">
        <f>_xlfn.XLOOKUP(H10437,'Materiales unitario'!A$1:A$2500,'Materiales unitario'!C$1:C$2500,,0,1)</f>
        <v>0</v>
      </c>
      <c r="E10437" s="197">
        <f>_xlfn.XLOOKUP(H10437,'Materiales unitario'!$A$1:$A$2500,'Materiales unitario'!D$1:D$2500,,0,1)</f>
        <v>0</v>
      </c>
      <c r="F10437" s="19"/>
      <c r="G10437" s="20">
        <f>+E10437*F10437</f>
        <v>0</v>
      </c>
      <c r="H10437" s="217"/>
    </row>
    <row r="10438" spans="1:8" ht="15">
      <c r="A10438" s="211" t="s">
        <v>488</v>
      </c>
      <c r="B10438" s="216" t="str">
        <f ca="1">_xlfn.CONCAT(B10432,A10438)</f>
        <v>2E06143E-E</v>
      </c>
      <c r="C10438" s="17">
        <f>_xlfn.XLOOKUP(H10438,'Materiales unitario'!$A$1:$A$2500,'Materiales unitario'!B$1:B$2500,,0,1)</f>
        <v>0</v>
      </c>
      <c r="D10438" s="184">
        <f>_xlfn.XLOOKUP(H10438,'Materiales unitario'!A$1:A$2500,'Materiales unitario'!C$1:C$2500,,0,1)</f>
        <v>0</v>
      </c>
      <c r="E10438" s="197">
        <f>_xlfn.XLOOKUP(H10438,'Materiales unitario'!$A$1:$A$2500,'Materiales unitario'!D$1:D$2500,,0,1)</f>
        <v>0</v>
      </c>
      <c r="F10438" s="19"/>
      <c r="G10438" s="20">
        <f>+E10438*F10438</f>
        <v>0</v>
      </c>
      <c r="H10438" s="217"/>
    </row>
    <row r="10439" spans="1:8" ht="15">
      <c r="A10439" s="211" t="s">
        <v>489</v>
      </c>
      <c r="B10439" s="216" t="str">
        <f ca="1">_xlfn.CONCAT(B10432,A10439)</f>
        <v>2E06143E-F</v>
      </c>
      <c r="C10439" s="17"/>
      <c r="D10439" s="184"/>
      <c r="E10439" s="197"/>
      <c r="F10439" s="19"/>
      <c r="G10439" s="20"/>
      <c r="H10439" s="217"/>
    </row>
    <row r="10440" spans="1:8" ht="15">
      <c r="A10440" s="211" t="s">
        <v>490</v>
      </c>
      <c r="B10440" s="216" t="str">
        <f ca="1">_xlfn.CONCAT(B10432,A10440)</f>
        <v>2E06143E-G</v>
      </c>
      <c r="C10440" s="17"/>
      <c r="D10440" s="184"/>
      <c r="E10440" s="197"/>
      <c r="F10440" s="19"/>
      <c r="G10440" s="20"/>
      <c r="H10440" s="217"/>
    </row>
    <row r="10441" spans="1:8" ht="15">
      <c r="A10441" s="211" t="s">
        <v>491</v>
      </c>
      <c r="B10441" s="216" t="str">
        <f ca="1">_xlfn.CONCAT(B10432,A10441)</f>
        <v>2E06143E-H</v>
      </c>
      <c r="C10441" s="17"/>
      <c r="D10441" s="184"/>
      <c r="E10441" s="197"/>
      <c r="F10441" s="19"/>
      <c r="G10441" s="20"/>
      <c r="H10441" s="217"/>
    </row>
    <row r="10442" spans="1:8" ht="15">
      <c r="A10442" s="211" t="s">
        <v>492</v>
      </c>
      <c r="B10442" s="216" t="str">
        <f ca="1">_xlfn.CONCAT(B10432,A10442)</f>
        <v>2E06143E-I</v>
      </c>
      <c r="C10442" s="17"/>
      <c r="D10442" s="184"/>
      <c r="E10442" s="197"/>
      <c r="F10442" s="19"/>
      <c r="G10442" s="20"/>
      <c r="H10442" s="217"/>
    </row>
    <row r="10443" spans="1:8" ht="15">
      <c r="A10443" s="211" t="s">
        <v>493</v>
      </c>
      <c r="B10443" s="216" t="str">
        <f ca="1">_xlfn.CONCAT(B10432,A10443)</f>
        <v>2E06143E-J</v>
      </c>
      <c r="C10443" s="17"/>
      <c r="D10443" s="184"/>
      <c r="E10443" s="197"/>
      <c r="F10443" s="19"/>
      <c r="G10443" s="20"/>
      <c r="H10443" s="217"/>
    </row>
    <row r="10444" spans="1:8">
      <c r="A10444" s="211" t="s">
        <v>494</v>
      </c>
      <c r="B10444" s="216" t="str">
        <f ca="1">_xlfn.CONCAT(B10432,A10444)</f>
        <v>2E06143E-K</v>
      </c>
      <c r="C10444" s="17"/>
      <c r="D10444" s="184"/>
      <c r="E10444" s="197"/>
      <c r="F10444" s="19"/>
      <c r="G10444" s="20"/>
    </row>
    <row r="10445" spans="1:8">
      <c r="A10445" s="211" t="s">
        <v>495</v>
      </c>
      <c r="B10445" s="216" t="str">
        <f ca="1">_xlfn.CONCAT(B10432,A10445)</f>
        <v>2E06143E-L</v>
      </c>
      <c r="C10445" s="17"/>
      <c r="D10445" s="184"/>
      <c r="E10445" s="197"/>
      <c r="F10445" s="19"/>
      <c r="G10445" s="20"/>
    </row>
    <row r="10446" spans="1:8">
      <c r="A10446" s="211" t="s">
        <v>496</v>
      </c>
      <c r="B10446" s="216" t="str">
        <f ca="1">_xlfn.CONCAT(B10432,A10446)</f>
        <v>2E06143E-M</v>
      </c>
      <c r="C10446" s="17"/>
      <c r="D10446" s="184"/>
      <c r="E10446" s="197"/>
      <c r="F10446" s="19"/>
      <c r="G10446" s="20"/>
    </row>
    <row r="10447" spans="1:8">
      <c r="A10447" s="211" t="s">
        <v>497</v>
      </c>
      <c r="B10447" s="216" t="str">
        <f ca="1">_xlfn.CONCAT(B10432,A10447)</f>
        <v>2E06143E-N</v>
      </c>
      <c r="C10447" s="17"/>
      <c r="D10447" s="184"/>
      <c r="E10447" s="197"/>
      <c r="F10447" s="19"/>
      <c r="G10447" s="20"/>
    </row>
    <row r="10448" spans="1:8">
      <c r="A10448" s="211" t="s">
        <v>498</v>
      </c>
      <c r="B10448" s="216" t="str">
        <f ca="1">_xlfn.CONCAT(B10432,A10448)</f>
        <v>2E06143E-O</v>
      </c>
      <c r="C10448" s="17"/>
      <c r="D10448" s="184"/>
      <c r="E10448" s="197"/>
      <c r="F10448" s="19"/>
      <c r="G10448" s="20"/>
    </row>
    <row r="10449" spans="1:7">
      <c r="A10449" s="211" t="s">
        <v>499</v>
      </c>
      <c r="B10449" s="216" t="str">
        <f ca="1">_xlfn.CONCAT(B10432,A10449)</f>
        <v>2E06143E-P</v>
      </c>
      <c r="C10449" s="17"/>
      <c r="D10449" s="184"/>
      <c r="E10449" s="197"/>
      <c r="F10449" s="19"/>
      <c r="G10449" s="20"/>
    </row>
    <row r="10450" spans="1:7">
      <c r="A10450" s="211" t="s">
        <v>500</v>
      </c>
      <c r="B10450" s="216" t="str">
        <f ca="1">_xlfn.CONCAT(B10432,A10450)</f>
        <v>2E06143E-Q</v>
      </c>
      <c r="C10450" s="17"/>
      <c r="D10450" s="184"/>
      <c r="E10450" s="197"/>
      <c r="F10450" s="19"/>
      <c r="G10450" s="20"/>
    </row>
    <row r="10451" spans="1:7">
      <c r="A10451" s="211" t="s">
        <v>501</v>
      </c>
      <c r="B10451" s="216" t="str">
        <f ca="1">_xlfn.CONCAT(B10432,A10451)</f>
        <v>2E06143E-R</v>
      </c>
      <c r="C10451" s="17"/>
      <c r="D10451" s="184"/>
      <c r="E10451" s="197"/>
      <c r="F10451" s="19"/>
      <c r="G10451" s="20"/>
    </row>
    <row r="10452" spans="1:7">
      <c r="A10452" s="211" t="s">
        <v>502</v>
      </c>
      <c r="B10452" s="216" t="str">
        <f ca="1">_xlfn.CONCAT(B10432,A10452)</f>
        <v>2E06143E-S</v>
      </c>
      <c r="C10452" s="17"/>
      <c r="D10452" s="184"/>
      <c r="E10452" s="197"/>
      <c r="F10452" s="19"/>
      <c r="G10452" s="20"/>
    </row>
    <row r="10453" spans="1:7">
      <c r="A10453" s="211" t="s">
        <v>503</v>
      </c>
      <c r="B10453" s="216" t="str">
        <f ca="1">_xlfn.CONCAT(B10432,A10453)</f>
        <v>2E06143E-T</v>
      </c>
      <c r="C10453" s="17"/>
      <c r="D10453" s="184"/>
      <c r="E10453" s="197"/>
      <c r="F10453" s="19"/>
      <c r="G10453" s="20"/>
    </row>
    <row r="10454" spans="1:7" ht="14.25" thickBot="1">
      <c r="A10454" s="211" t="s">
        <v>504</v>
      </c>
      <c r="B10454" s="216" t="str">
        <f ca="1">_xlfn.CONCAT(B10432,A10454)</f>
        <v>2E06143E-U</v>
      </c>
      <c r="C10454" s="17"/>
      <c r="D10454" s="184"/>
      <c r="E10454" s="197"/>
      <c r="F10454" s="19"/>
      <c r="G10454" s="20"/>
    </row>
    <row r="10455" spans="1:7" ht="14.25" thickBot="1">
      <c r="A10455" s="211" t="s">
        <v>505</v>
      </c>
      <c r="B10455" s="216" t="str">
        <f ca="1">_xlfn.CONCAT(B10432,A10455)</f>
        <v>2E06143E-V</v>
      </c>
      <c r="C10455" s="17" t="s">
        <v>17</v>
      </c>
      <c r="D10455" s="192" t="s">
        <v>17</v>
      </c>
      <c r="E10455" s="18"/>
      <c r="F10455" s="22" t="s">
        <v>18</v>
      </c>
      <c r="G10455" s="23">
        <f>SUM(G10434:G10454)</f>
        <v>853440</v>
      </c>
    </row>
    <row r="10456" spans="1:7" ht="15.75" thickBot="1">
      <c r="A10456" s="211" t="s">
        <v>506</v>
      </c>
      <c r="B10456" s="216" t="str">
        <f ca="1">_xlfn.CONCAT(B10432,A10456)</f>
        <v>2E06143E-W</v>
      </c>
      <c r="C10456" s="10" t="s">
        <v>19</v>
      </c>
      <c r="D10456" s="190"/>
      <c r="E10456" s="11"/>
      <c r="F10456" s="12"/>
      <c r="G10456" s="13"/>
    </row>
    <row r="10457" spans="1:7" ht="14.25" thickBot="1">
      <c r="A10457" s="211" t="s">
        <v>507</v>
      </c>
      <c r="B10457" s="216" t="str">
        <f ca="1">_xlfn.CONCAT(B10432,A10457)</f>
        <v>2E06143E-X</v>
      </c>
      <c r="C10457" s="14" t="s">
        <v>1</v>
      </c>
      <c r="D10457" s="15"/>
      <c r="E10457" s="15" t="s">
        <v>20</v>
      </c>
      <c r="F10457" s="16" t="s">
        <v>21</v>
      </c>
      <c r="G10457" s="15" t="s">
        <v>5</v>
      </c>
    </row>
    <row r="10458" spans="1:7">
      <c r="A10458" s="211" t="s">
        <v>508</v>
      </c>
      <c r="B10458" s="216" t="str">
        <f ca="1">_xlfn.CONCAT(B10432,A10458)</f>
        <v>2E06143E-Y</v>
      </c>
      <c r="C10458" s="24" t="s">
        <v>22</v>
      </c>
      <c r="D10458" s="184"/>
      <c r="E10458" s="25">
        <f>_xlfn.XLOOKUP(C10458,'H-MO'!B$7:B$30,'H-MO'!D$7:D$30,,0,1)</f>
        <v>2436.5624999999995</v>
      </c>
      <c r="F10458" s="19">
        <v>21</v>
      </c>
      <c r="G10458" s="33">
        <f t="shared" ref="G10458:G10463" si="297">+E10458*F10458</f>
        <v>51167.812499999993</v>
      </c>
    </row>
    <row r="10459" spans="1:7">
      <c r="A10459" s="211" t="s">
        <v>509</v>
      </c>
      <c r="B10459" s="216" t="str">
        <f ca="1">_xlfn.CONCAT(B10432,A10459)</f>
        <v>2E06143E-Z</v>
      </c>
      <c r="C10459" s="24" t="s">
        <v>23</v>
      </c>
      <c r="D10459" s="184"/>
      <c r="E10459" s="25">
        <f>_xlfn.XLOOKUP(C10459,'H-MO'!B$7:B$30,'H-MO'!D$7:D$30,,0,1)</f>
        <v>1461.9374999999998</v>
      </c>
      <c r="F10459" s="19">
        <v>3</v>
      </c>
      <c r="G10459" s="33">
        <f t="shared" si="297"/>
        <v>4385.8124999999991</v>
      </c>
    </row>
    <row r="10460" spans="1:7">
      <c r="A10460" s="211" t="s">
        <v>510</v>
      </c>
      <c r="B10460" s="216" t="str">
        <f ca="1">_xlfn.CONCAT(B10432,A10460)</f>
        <v>2E06143E-aa</v>
      </c>
      <c r="C10460" s="24" t="s">
        <v>24</v>
      </c>
      <c r="D10460" s="185"/>
      <c r="E10460" s="25">
        <f>_xlfn.XLOOKUP(C10460,'H-MO'!B$7:B$30,'H-MO'!D$7:D$30,,0,1)</f>
        <v>29238.749999999996</v>
      </c>
      <c r="F10460" s="28">
        <v>18</v>
      </c>
      <c r="G10460" s="33">
        <f t="shared" si="297"/>
        <v>526297.49999999988</v>
      </c>
    </row>
    <row r="10461" spans="1:7">
      <c r="A10461" s="211" t="s">
        <v>511</v>
      </c>
      <c r="B10461" s="216" t="str">
        <f ca="1">_xlfn.CONCAT(B10432,A10461)</f>
        <v>2E06143E-ab</v>
      </c>
      <c r="C10461" s="24" t="s">
        <v>25</v>
      </c>
      <c r="D10461" s="185"/>
      <c r="E10461" s="25">
        <f>_xlfn.XLOOKUP(C10461,'H-MO'!B$7:B$30,'H-MO'!D$7:D$30,,0,1)</f>
        <v>2761.4374999999995</v>
      </c>
      <c r="F10461" s="28">
        <v>15</v>
      </c>
      <c r="G10461" s="33">
        <f t="shared" si="297"/>
        <v>41421.562499999993</v>
      </c>
    </row>
    <row r="10462" spans="1:7">
      <c r="A10462" s="211" t="s">
        <v>512</v>
      </c>
      <c r="B10462" s="216" t="str">
        <f ca="1">_xlfn.CONCAT(B10432,A10462)</f>
        <v>2E06143E-ac</v>
      </c>
      <c r="C10462" s="24"/>
      <c r="D10462" s="185"/>
      <c r="E10462" s="29"/>
      <c r="F10462" s="28"/>
      <c r="G10462" s="33">
        <f t="shared" si="297"/>
        <v>0</v>
      </c>
    </row>
    <row r="10463" spans="1:7" ht="14.25" thickBot="1">
      <c r="A10463" s="211" t="s">
        <v>513</v>
      </c>
      <c r="B10463" s="216" t="str">
        <f ca="1">_xlfn.CONCAT(B10432,A10463)</f>
        <v>2E06143E-ad</v>
      </c>
      <c r="C10463" s="24"/>
      <c r="D10463" s="185"/>
      <c r="E10463" s="29"/>
      <c r="F10463" s="28"/>
      <c r="G10463" s="33">
        <f t="shared" si="297"/>
        <v>0</v>
      </c>
    </row>
    <row r="10464" spans="1:7" ht="14.25" thickBot="1">
      <c r="A10464" s="211" t="s">
        <v>514</v>
      </c>
      <c r="B10464" s="216" t="str">
        <f ca="1">_xlfn.CONCAT(B10432,A10464)</f>
        <v>2E06143E-ae</v>
      </c>
      <c r="C10464" s="17"/>
      <c r="D10464" s="192"/>
      <c r="E10464" s="18"/>
      <c r="F10464" s="22" t="s">
        <v>26</v>
      </c>
      <c r="G10464" s="23">
        <f>SUM(G10458:G10463)</f>
        <v>623272.68749999988</v>
      </c>
    </row>
    <row r="10465" spans="1:8" ht="15.75" thickBot="1">
      <c r="A10465" s="211" t="s">
        <v>515</v>
      </c>
      <c r="B10465" s="216" t="str">
        <f ca="1">_xlfn.CONCAT(B10432,A10465)</f>
        <v>2E06143E-af</v>
      </c>
      <c r="C10465" s="10" t="s">
        <v>27</v>
      </c>
      <c r="D10465" s="190"/>
      <c r="E10465" s="11"/>
      <c r="F10465" s="12"/>
      <c r="G10465" s="13"/>
    </row>
    <row r="10466" spans="1:8" ht="14.25" thickBot="1">
      <c r="A10466" s="211" t="s">
        <v>516</v>
      </c>
      <c r="B10466" s="216" t="str">
        <f ca="1">_xlfn.CONCAT(B10432,A10466)</f>
        <v>2E06143E-ag</v>
      </c>
      <c r="C10466" s="14" t="s">
        <v>1</v>
      </c>
      <c r="D10466" s="15" t="s">
        <v>28</v>
      </c>
      <c r="E10466" s="15" t="s">
        <v>20</v>
      </c>
      <c r="F10466" s="16" t="s">
        <v>21</v>
      </c>
      <c r="G10466" s="15" t="s">
        <v>5</v>
      </c>
    </row>
    <row r="10467" spans="1:8">
      <c r="A10467" s="211" t="s">
        <v>517</v>
      </c>
      <c r="B10467" s="216" t="str">
        <f ca="1">_xlfn.CONCAT(B10432,A10467)</f>
        <v>2E06143E-ah</v>
      </c>
      <c r="C10467" s="30" t="s">
        <v>29</v>
      </c>
      <c r="D10467" s="186">
        <f>'H-MO'!$N$77</f>
        <v>725918.52892505517</v>
      </c>
      <c r="E10467" s="31">
        <f>+D10467/8</f>
        <v>90739.816115631897</v>
      </c>
      <c r="F10467" s="32">
        <v>21</v>
      </c>
      <c r="G10467" s="33">
        <f>+E10467*F10467</f>
        <v>1905536.1384282699</v>
      </c>
    </row>
    <row r="10468" spans="1:8">
      <c r="A10468" s="211" t="s">
        <v>518</v>
      </c>
      <c r="B10468" s="216" t="str">
        <f ca="1">_xlfn.CONCAT(B10432,A10468)</f>
        <v>2E06143E-ai</v>
      </c>
      <c r="C10468" s="34" t="s">
        <v>30</v>
      </c>
      <c r="D10468" s="187">
        <f>'H-MO'!$N$86</f>
        <v>685561.39085756091</v>
      </c>
      <c r="E10468" s="29">
        <f>+D10468/8</f>
        <v>85695.173857195114</v>
      </c>
      <c r="F10468" s="28">
        <v>0</v>
      </c>
      <c r="G10468" s="33">
        <f>+E10468*F10468</f>
        <v>0</v>
      </c>
    </row>
    <row r="10469" spans="1:8" ht="14.25" thickBot="1">
      <c r="A10469" s="211" t="s">
        <v>519</v>
      </c>
      <c r="B10469" s="216" t="str">
        <f ca="1">_xlfn.CONCAT(B10432,A10469)</f>
        <v>2E06143E-aj</v>
      </c>
      <c r="C10469" s="34"/>
      <c r="D10469" s="187"/>
      <c r="E10469" s="29"/>
      <c r="F10469" s="28"/>
      <c r="G10469" s="33">
        <f>+E10469*F10469</f>
        <v>0</v>
      </c>
    </row>
    <row r="10470" spans="1:8" ht="14.25" thickBot="1">
      <c r="A10470" s="211" t="s">
        <v>520</v>
      </c>
      <c r="B10470" s="216" t="str">
        <f ca="1">_xlfn.CONCAT(B10432,A10470)</f>
        <v>2E06143E-ak</v>
      </c>
      <c r="C10470" s="34"/>
      <c r="D10470" s="185"/>
      <c r="E10470" s="26"/>
      <c r="F10470" s="36" t="s">
        <v>31</v>
      </c>
      <c r="G10470" s="23">
        <f>SUM(G10467:G10469)</f>
        <v>1905536.1384282699</v>
      </c>
    </row>
    <row r="10471" spans="1:8" ht="14.25" thickBot="1">
      <c r="A10471" s="211" t="s">
        <v>521</v>
      </c>
      <c r="B10471" s="216" t="str">
        <f ca="1">_xlfn.CONCAT(B10432,A10471)</f>
        <v>2E06143E-al</v>
      </c>
      <c r="C10471" s="37"/>
      <c r="E10471" s="38"/>
      <c r="F10471" s="22"/>
      <c r="G10471" s="39"/>
    </row>
    <row r="10472" spans="1:8" ht="16.5" thickBot="1">
      <c r="A10472" s="211" t="s">
        <v>522</v>
      </c>
      <c r="B10472" s="216" t="str">
        <f ca="1">_xlfn.CONCAT(B10432,A10472)</f>
        <v>2E06143E-am</v>
      </c>
      <c r="C10472" s="40"/>
      <c r="D10472" s="193"/>
      <c r="E10472" s="41"/>
      <c r="F10472" s="42"/>
      <c r="G10472" s="43">
        <f>+G10455+G10464+G10470</f>
        <v>3382248.8259282699</v>
      </c>
    </row>
    <row r="10473" spans="1:8" ht="21.75" thickBot="1">
      <c r="B10473" s="212" t="s">
        <v>550</v>
      </c>
      <c r="C10473" s="2"/>
      <c r="D10473" s="183"/>
      <c r="F10473" s="4"/>
      <c r="G10473" s="5"/>
    </row>
    <row r="10474" spans="1:8" ht="18.75">
      <c r="A10474" s="213"/>
      <c r="B10474" s="214">
        <v>238</v>
      </c>
      <c r="C10474" s="242" t="str">
        <f ca="1">_xlfn.XLOOKUP(B10474,Cantidades!$A$10:$A$314,Cantidades!$C$10:$C$314,,0,1)</f>
        <v>Sumninistro e instalación de transformador 112,5 kVA, 11400/220 aislado en eceite. Incluye transporte al lugar del proyecto y izaje a la estructura.</v>
      </c>
      <c r="D10474" s="243"/>
      <c r="E10474" s="243"/>
      <c r="F10474" s="243"/>
      <c r="G10474" s="244"/>
    </row>
    <row r="10475" spans="1:8" ht="19.5" thickBot="1">
      <c r="A10475" s="215"/>
      <c r="B10475" s="216" t="s">
        <v>550</v>
      </c>
      <c r="C10475" s="177"/>
      <c r="D10475" s="189"/>
      <c r="E10475" s="178"/>
      <c r="F10475" s="179" t="s">
        <v>636</v>
      </c>
      <c r="G10475" s="209" t="str">
        <f ca="1">B10476</f>
        <v>1C1FDF15-</v>
      </c>
    </row>
    <row r="10476" spans="1:8" ht="15.75" thickBot="1">
      <c r="B10476" s="212" t="str">
        <f ca="1">_xlfn.XLOOKUP(C10474,Cantidades!$C$1:$C$314,Cantidades!$B$1:$B$314,"",0,1)</f>
        <v>1C1FDF15-</v>
      </c>
      <c r="C10476" s="10" t="s">
        <v>0</v>
      </c>
      <c r="D10476" s="190"/>
      <c r="E10476" s="11"/>
      <c r="F10476" s="12"/>
      <c r="G10476" s="13"/>
    </row>
    <row r="10477" spans="1:8" ht="14.25" thickBot="1">
      <c r="A10477" s="215"/>
      <c r="B10477" s="216" t="s">
        <v>550</v>
      </c>
      <c r="C10477" s="14" t="s">
        <v>1</v>
      </c>
      <c r="D10477" s="15" t="s">
        <v>2</v>
      </c>
      <c r="E10477" s="15" t="s">
        <v>3</v>
      </c>
      <c r="F10477" s="16" t="s">
        <v>4</v>
      </c>
      <c r="G10477" s="15" t="s">
        <v>5</v>
      </c>
    </row>
    <row r="10478" spans="1:8">
      <c r="A10478" s="211" t="s">
        <v>484</v>
      </c>
      <c r="B10478" s="216" t="str">
        <f ca="1">_xlfn.CONCAT(B10476,A10478)</f>
        <v>1C1FDF15-A</v>
      </c>
      <c r="C10478" s="17" t="str">
        <f>_xlfn.XLOOKUP(H10478,'Materiales unitario'!$A$1:$A$2500,'Materiales unitario'!B$1:B$2500,,0,1)</f>
        <v xml:space="preserve">Transformador 3ø 15KV / 600V 112,5KVA aceite </v>
      </c>
      <c r="D10478" s="184" t="str">
        <f>_xlfn.XLOOKUP(H10478,'Materiales unitario'!A$1:A$2500,'Materiales unitario'!C$1:C$2500,,0,1)</f>
        <v>un</v>
      </c>
      <c r="E10478" s="197">
        <f>_xlfn.XLOOKUP(H10478,'Materiales unitario'!$A$1:$A$2500,'Materiales unitario'!D$1:D$2500,,0,1)</f>
        <v>26590560</v>
      </c>
      <c r="F10478" s="19">
        <v>1</v>
      </c>
      <c r="G10478" s="20">
        <f>+E10478*F10478</f>
        <v>26590560</v>
      </c>
      <c r="H10478" s="211" t="s">
        <v>1679</v>
      </c>
    </row>
    <row r="10479" spans="1:8">
      <c r="A10479" s="211" t="s">
        <v>485</v>
      </c>
      <c r="B10479" s="216" t="str">
        <f ca="1">_xlfn.CONCAT(B10476,A10479)</f>
        <v>1C1FDF15-B</v>
      </c>
      <c r="C10479" s="17" t="str">
        <f>_xlfn.XLOOKUP(H10479,'Materiales unitario'!$A$1:$A$2500,'Materiales unitario'!B$1:B$2500,,0,1)</f>
        <v>Transporte al sitio de la obra</v>
      </c>
      <c r="D10479" s="184" t="str">
        <f>_xlfn.XLOOKUP(H10479,'Materiales unitario'!A$1:A$2500,'Materiales unitario'!C$1:C$2500,,0,1)</f>
        <v>un</v>
      </c>
      <c r="E10479" s="197">
        <f>_xlfn.XLOOKUP(H10479,'Materiales unitario'!$A$1:$A$2500,'Materiales unitario'!D$1:D$2500,,0,1)</f>
        <v>172200</v>
      </c>
      <c r="F10479" s="19">
        <v>1.5</v>
      </c>
      <c r="G10479" s="20">
        <f>+E10479*F10479</f>
        <v>258300</v>
      </c>
      <c r="H10479" s="211" t="s">
        <v>384</v>
      </c>
    </row>
    <row r="10480" spans="1:8">
      <c r="A10480" s="211" t="s">
        <v>486</v>
      </c>
      <c r="B10480" s="216" t="str">
        <f ca="1">_xlfn.CONCAT(B10476,A10480)</f>
        <v>1C1FDF15-C</v>
      </c>
      <c r="C10480" s="17" t="str">
        <f>_xlfn.XLOOKUP(H10480,'Materiales unitario'!$A$1:$A$2500,'Materiales unitario'!B$1:B$2500,,0,1)</f>
        <v>Servicio de grúa en el sitio</v>
      </c>
      <c r="D10480" s="184" t="str">
        <f>_xlfn.XLOOKUP(H10480,'Materiales unitario'!A$1:A$2500,'Materiales unitario'!C$1:C$2500,,0,1)</f>
        <v>hr</v>
      </c>
      <c r="E10480" s="197">
        <f>_xlfn.XLOOKUP(H10480,'Materiales unitario'!$A$1:$A$2500,'Materiales unitario'!D$1:D$2500,,0,1)</f>
        <v>426720</v>
      </c>
      <c r="F10480" s="19">
        <v>1.3</v>
      </c>
      <c r="G10480" s="20">
        <f>+E10480*F10480</f>
        <v>554736</v>
      </c>
      <c r="H10480" s="211" t="s">
        <v>529</v>
      </c>
    </row>
    <row r="10481" spans="1:7">
      <c r="A10481" s="211" t="s">
        <v>487</v>
      </c>
      <c r="B10481" s="216" t="str">
        <f ca="1">_xlfn.CONCAT(B10476,A10481)</f>
        <v>1C1FDF15-D</v>
      </c>
      <c r="C10481" s="17"/>
      <c r="D10481" s="184"/>
      <c r="E10481" s="197"/>
      <c r="F10481" s="19"/>
      <c r="G10481" s="20"/>
    </row>
    <row r="10482" spans="1:7">
      <c r="A10482" s="211" t="s">
        <v>488</v>
      </c>
      <c r="B10482" s="216" t="str">
        <f ca="1">_xlfn.CONCAT(B10476,A10482)</f>
        <v>1C1FDF15-E</v>
      </c>
      <c r="C10482" s="17"/>
      <c r="D10482" s="184"/>
      <c r="E10482" s="197"/>
      <c r="F10482" s="19"/>
      <c r="G10482" s="20"/>
    </row>
    <row r="10483" spans="1:7">
      <c r="A10483" s="211" t="s">
        <v>489</v>
      </c>
      <c r="B10483" s="216" t="str">
        <f ca="1">_xlfn.CONCAT(B10476,A10483)</f>
        <v>1C1FDF15-F</v>
      </c>
      <c r="C10483" s="17"/>
      <c r="D10483" s="184"/>
      <c r="E10483" s="197"/>
      <c r="F10483" s="19"/>
      <c r="G10483" s="20"/>
    </row>
    <row r="10484" spans="1:7">
      <c r="A10484" s="211" t="s">
        <v>490</v>
      </c>
      <c r="B10484" s="216" t="str">
        <f ca="1">_xlfn.CONCAT(B10476,A10484)</f>
        <v>1C1FDF15-G</v>
      </c>
      <c r="C10484" s="17"/>
      <c r="D10484" s="184"/>
      <c r="E10484" s="197"/>
      <c r="F10484" s="19"/>
      <c r="G10484" s="20"/>
    </row>
    <row r="10485" spans="1:7">
      <c r="A10485" s="211" t="s">
        <v>491</v>
      </c>
      <c r="B10485" s="216" t="str">
        <f ca="1">_xlfn.CONCAT(B10476,A10485)</f>
        <v>1C1FDF15-H</v>
      </c>
      <c r="C10485" s="17"/>
      <c r="D10485" s="184"/>
      <c r="E10485" s="197"/>
      <c r="F10485" s="19"/>
      <c r="G10485" s="20"/>
    </row>
    <row r="10486" spans="1:7">
      <c r="A10486" s="211" t="s">
        <v>492</v>
      </c>
      <c r="B10486" s="216" t="str">
        <f ca="1">_xlfn.CONCAT(B10476,A10486)</f>
        <v>1C1FDF15-I</v>
      </c>
      <c r="C10486" s="17"/>
      <c r="D10486" s="184"/>
      <c r="E10486" s="197"/>
      <c r="F10486" s="19"/>
      <c r="G10486" s="20"/>
    </row>
    <row r="10487" spans="1:7">
      <c r="A10487" s="211" t="s">
        <v>493</v>
      </c>
      <c r="B10487" s="216" t="str">
        <f ca="1">_xlfn.CONCAT(B10476,A10487)</f>
        <v>1C1FDF15-J</v>
      </c>
      <c r="C10487" s="17"/>
      <c r="D10487" s="184"/>
      <c r="E10487" s="197"/>
      <c r="F10487" s="19"/>
      <c r="G10487" s="20"/>
    </row>
    <row r="10488" spans="1:7">
      <c r="A10488" s="211" t="s">
        <v>494</v>
      </c>
      <c r="B10488" s="216" t="str">
        <f ca="1">_xlfn.CONCAT(B10476,A10488)</f>
        <v>1C1FDF15-K</v>
      </c>
      <c r="C10488" s="17"/>
      <c r="D10488" s="184"/>
      <c r="E10488" s="197"/>
      <c r="F10488" s="19"/>
      <c r="G10488" s="20"/>
    </row>
    <row r="10489" spans="1:7">
      <c r="A10489" s="211" t="s">
        <v>495</v>
      </c>
      <c r="B10489" s="216" t="str">
        <f ca="1">_xlfn.CONCAT(B10476,A10489)</f>
        <v>1C1FDF15-L</v>
      </c>
      <c r="C10489" s="17"/>
      <c r="D10489" s="184"/>
      <c r="E10489" s="197"/>
      <c r="F10489" s="19"/>
      <c r="G10489" s="20"/>
    </row>
    <row r="10490" spans="1:7">
      <c r="A10490" s="211" t="s">
        <v>496</v>
      </c>
      <c r="B10490" s="216" t="str">
        <f ca="1">_xlfn.CONCAT(B10476,A10490)</f>
        <v>1C1FDF15-M</v>
      </c>
      <c r="C10490" s="17"/>
      <c r="D10490" s="184"/>
      <c r="E10490" s="197"/>
      <c r="F10490" s="19"/>
      <c r="G10490" s="20"/>
    </row>
    <row r="10491" spans="1:7">
      <c r="A10491" s="211" t="s">
        <v>497</v>
      </c>
      <c r="B10491" s="216" t="str">
        <f ca="1">_xlfn.CONCAT(B10476,A10491)</f>
        <v>1C1FDF15-N</v>
      </c>
      <c r="C10491" s="17"/>
      <c r="D10491" s="184"/>
      <c r="E10491" s="197"/>
      <c r="F10491" s="19"/>
      <c r="G10491" s="20"/>
    </row>
    <row r="10492" spans="1:7">
      <c r="A10492" s="211" t="s">
        <v>498</v>
      </c>
      <c r="B10492" s="216" t="str">
        <f ca="1">_xlfn.CONCAT(B10476,A10492)</f>
        <v>1C1FDF15-O</v>
      </c>
      <c r="C10492" s="17"/>
      <c r="D10492" s="184"/>
      <c r="E10492" s="197"/>
      <c r="F10492" s="19"/>
      <c r="G10492" s="20"/>
    </row>
    <row r="10493" spans="1:7">
      <c r="A10493" s="211" t="s">
        <v>499</v>
      </c>
      <c r="B10493" s="216" t="str">
        <f ca="1">_xlfn.CONCAT(B10476,A10493)</f>
        <v>1C1FDF15-P</v>
      </c>
      <c r="C10493" s="17"/>
      <c r="D10493" s="184"/>
      <c r="E10493" s="197"/>
      <c r="F10493" s="19"/>
      <c r="G10493" s="20"/>
    </row>
    <row r="10494" spans="1:7">
      <c r="A10494" s="211" t="s">
        <v>500</v>
      </c>
      <c r="B10494" s="216" t="str">
        <f ca="1">_xlfn.CONCAT(B10476,A10494)</f>
        <v>1C1FDF15-Q</v>
      </c>
      <c r="C10494" s="17"/>
      <c r="D10494" s="184"/>
      <c r="E10494" s="197"/>
      <c r="F10494" s="19"/>
      <c r="G10494" s="20"/>
    </row>
    <row r="10495" spans="1:7">
      <c r="A10495" s="211" t="s">
        <v>501</v>
      </c>
      <c r="B10495" s="216" t="str">
        <f ca="1">_xlfn.CONCAT(B10476,A10495)</f>
        <v>1C1FDF15-R</v>
      </c>
      <c r="C10495" s="17"/>
      <c r="D10495" s="184"/>
      <c r="E10495" s="197"/>
      <c r="F10495" s="19"/>
      <c r="G10495" s="20"/>
    </row>
    <row r="10496" spans="1:7">
      <c r="A10496" s="211" t="s">
        <v>502</v>
      </c>
      <c r="B10496" s="216" t="str">
        <f ca="1">_xlfn.CONCAT(B10476,A10496)</f>
        <v>1C1FDF15-S</v>
      </c>
      <c r="C10496" s="17"/>
      <c r="D10496" s="184"/>
      <c r="E10496" s="197"/>
      <c r="F10496" s="19"/>
      <c r="G10496" s="20"/>
    </row>
    <row r="10497" spans="1:7">
      <c r="A10497" s="211" t="s">
        <v>503</v>
      </c>
      <c r="B10497" s="216" t="str">
        <f ca="1">_xlfn.CONCAT(B10476,A10497)</f>
        <v>1C1FDF15-T</v>
      </c>
      <c r="C10497" s="17"/>
      <c r="D10497" s="184"/>
      <c r="E10497" s="197"/>
      <c r="F10497" s="19"/>
      <c r="G10497" s="20"/>
    </row>
    <row r="10498" spans="1:7" ht="14.25" thickBot="1">
      <c r="A10498" s="211" t="s">
        <v>504</v>
      </c>
      <c r="B10498" s="216" t="str">
        <f ca="1">_xlfn.CONCAT(B10476,A10498)</f>
        <v>1C1FDF15-U</v>
      </c>
      <c r="C10498" s="17"/>
      <c r="D10498" s="184"/>
      <c r="E10498" s="197"/>
      <c r="F10498" s="19"/>
      <c r="G10498" s="20"/>
    </row>
    <row r="10499" spans="1:7" ht="14.25" thickBot="1">
      <c r="A10499" s="211" t="s">
        <v>505</v>
      </c>
      <c r="B10499" s="216" t="str">
        <f ca="1">_xlfn.CONCAT(B10476,A10499)</f>
        <v>1C1FDF15-V</v>
      </c>
      <c r="C10499" s="17" t="s">
        <v>17</v>
      </c>
      <c r="D10499" s="192" t="s">
        <v>17</v>
      </c>
      <c r="E10499" s="18"/>
      <c r="F10499" s="22" t="s">
        <v>18</v>
      </c>
      <c r="G10499" s="23">
        <f>SUM(G10478:G10498)</f>
        <v>27403596</v>
      </c>
    </row>
    <row r="10500" spans="1:7" ht="15.75" thickBot="1">
      <c r="A10500" s="211" t="s">
        <v>506</v>
      </c>
      <c r="B10500" s="216" t="str">
        <f ca="1">_xlfn.CONCAT(B10476,A10500)</f>
        <v>1C1FDF15-W</v>
      </c>
      <c r="C10500" s="10" t="s">
        <v>19</v>
      </c>
      <c r="D10500" s="190"/>
      <c r="E10500" s="11"/>
      <c r="F10500" s="12"/>
      <c r="G10500" s="13"/>
    </row>
    <row r="10501" spans="1:7" ht="14.25" thickBot="1">
      <c r="A10501" s="211" t="s">
        <v>507</v>
      </c>
      <c r="B10501" s="216" t="str">
        <f ca="1">_xlfn.CONCAT(B10476,A10501)</f>
        <v>1C1FDF15-X</v>
      </c>
      <c r="C10501" s="14" t="s">
        <v>1</v>
      </c>
      <c r="D10501" s="15"/>
      <c r="E10501" s="15" t="s">
        <v>20</v>
      </c>
      <c r="F10501" s="16" t="s">
        <v>21</v>
      </c>
      <c r="G10501" s="15" t="s">
        <v>5</v>
      </c>
    </row>
    <row r="10502" spans="1:7">
      <c r="A10502" s="211" t="s">
        <v>508</v>
      </c>
      <c r="B10502" s="216" t="str">
        <f ca="1">_xlfn.CONCAT(B10476,A10502)</f>
        <v>1C1FDF15-Y</v>
      </c>
      <c r="C10502" s="24" t="s">
        <v>22</v>
      </c>
      <c r="D10502" s="184"/>
      <c r="E10502" s="25">
        <f>_xlfn.XLOOKUP(C10502,'H-MO'!B$7:B$30,'H-MO'!D$7:D$30,,0,1)</f>
        <v>2436.5624999999995</v>
      </c>
      <c r="F10502" s="19">
        <v>24</v>
      </c>
      <c r="G10502" s="33">
        <f t="shared" ref="G10502:G10507" si="298">+E10502*F10502</f>
        <v>58477.499999999985</v>
      </c>
    </row>
    <row r="10503" spans="1:7">
      <c r="A10503" s="211" t="s">
        <v>509</v>
      </c>
      <c r="B10503" s="216" t="str">
        <f ca="1">_xlfn.CONCAT(B10476,A10503)</f>
        <v>1C1FDF15-Z</v>
      </c>
      <c r="C10503" s="24" t="s">
        <v>23</v>
      </c>
      <c r="D10503" s="184"/>
      <c r="E10503" s="25">
        <f>_xlfn.XLOOKUP(C10503,'H-MO'!B$7:B$30,'H-MO'!D$7:D$30,,0,1)</f>
        <v>1461.9374999999998</v>
      </c>
      <c r="F10503" s="19">
        <v>3.2</v>
      </c>
      <c r="G10503" s="33">
        <f t="shared" si="298"/>
        <v>4678.2</v>
      </c>
    </row>
    <row r="10504" spans="1:7">
      <c r="A10504" s="211" t="s">
        <v>510</v>
      </c>
      <c r="B10504" s="216" t="str">
        <f ca="1">_xlfn.CONCAT(B10476,A10504)</f>
        <v>1C1FDF15-aa</v>
      </c>
      <c r="C10504" s="24" t="s">
        <v>24</v>
      </c>
      <c r="D10504" s="185"/>
      <c r="E10504" s="25">
        <f>_xlfn.XLOOKUP(C10504,'H-MO'!B$7:B$30,'H-MO'!D$7:D$30,,0,1)</f>
        <v>29238.749999999996</v>
      </c>
      <c r="F10504" s="28">
        <v>20</v>
      </c>
      <c r="G10504" s="33">
        <f t="shared" si="298"/>
        <v>584774.99999999988</v>
      </c>
    </row>
    <row r="10505" spans="1:7">
      <c r="A10505" s="211" t="s">
        <v>511</v>
      </c>
      <c r="B10505" s="216" t="str">
        <f ca="1">_xlfn.CONCAT(B10476,A10505)</f>
        <v>1C1FDF15-ab</v>
      </c>
      <c r="C10505" s="24" t="s">
        <v>25</v>
      </c>
      <c r="D10505" s="185"/>
      <c r="E10505" s="25">
        <f>_xlfn.XLOOKUP(C10505,'H-MO'!B$7:B$30,'H-MO'!D$7:D$30,,0,1)</f>
        <v>2761.4374999999995</v>
      </c>
      <c r="F10505" s="28">
        <v>18</v>
      </c>
      <c r="G10505" s="33">
        <f t="shared" si="298"/>
        <v>49705.874999999993</v>
      </c>
    </row>
    <row r="10506" spans="1:7">
      <c r="A10506" s="211" t="s">
        <v>512</v>
      </c>
      <c r="B10506" s="216" t="str">
        <f ca="1">_xlfn.CONCAT(B10476,A10506)</f>
        <v>1C1FDF15-ac</v>
      </c>
      <c r="C10506" s="24"/>
      <c r="D10506" s="185"/>
      <c r="E10506" s="29"/>
      <c r="F10506" s="28"/>
      <c r="G10506" s="33">
        <f t="shared" si="298"/>
        <v>0</v>
      </c>
    </row>
    <row r="10507" spans="1:7" ht="14.25" thickBot="1">
      <c r="A10507" s="211" t="s">
        <v>513</v>
      </c>
      <c r="B10507" s="216" t="str">
        <f ca="1">_xlfn.CONCAT(B10476,A10507)</f>
        <v>1C1FDF15-ad</v>
      </c>
      <c r="C10507" s="24"/>
      <c r="D10507" s="185"/>
      <c r="E10507" s="29"/>
      <c r="F10507" s="28"/>
      <c r="G10507" s="33">
        <f t="shared" si="298"/>
        <v>0</v>
      </c>
    </row>
    <row r="10508" spans="1:7" ht="14.25" thickBot="1">
      <c r="A10508" s="211" t="s">
        <v>514</v>
      </c>
      <c r="B10508" s="216" t="str">
        <f ca="1">_xlfn.CONCAT(B10476,A10508)</f>
        <v>1C1FDF15-ae</v>
      </c>
      <c r="C10508" s="17"/>
      <c r="D10508" s="192"/>
      <c r="E10508" s="18"/>
      <c r="F10508" s="22" t="s">
        <v>26</v>
      </c>
      <c r="G10508" s="23">
        <f>SUM(G10502:G10507)</f>
        <v>697636.57499999984</v>
      </c>
    </row>
    <row r="10509" spans="1:7" ht="15.75" thickBot="1">
      <c r="A10509" s="211" t="s">
        <v>515</v>
      </c>
      <c r="B10509" s="216" t="str">
        <f ca="1">_xlfn.CONCAT(B10476,A10509)</f>
        <v>1C1FDF15-af</v>
      </c>
      <c r="C10509" s="10" t="s">
        <v>27</v>
      </c>
      <c r="D10509" s="190"/>
      <c r="E10509" s="11"/>
      <c r="F10509" s="12"/>
      <c r="G10509" s="13"/>
    </row>
    <row r="10510" spans="1:7" ht="14.25" thickBot="1">
      <c r="A10510" s="211" t="s">
        <v>516</v>
      </c>
      <c r="B10510" s="216" t="str">
        <f ca="1">_xlfn.CONCAT(B10476,A10510)</f>
        <v>1C1FDF15-ag</v>
      </c>
      <c r="C10510" s="14" t="s">
        <v>1</v>
      </c>
      <c r="D10510" s="15" t="s">
        <v>28</v>
      </c>
      <c r="E10510" s="15" t="s">
        <v>20</v>
      </c>
      <c r="F10510" s="16" t="s">
        <v>21</v>
      </c>
      <c r="G10510" s="15" t="s">
        <v>5</v>
      </c>
    </row>
    <row r="10511" spans="1:7">
      <c r="A10511" s="211" t="s">
        <v>517</v>
      </c>
      <c r="B10511" s="216" t="str">
        <f ca="1">_xlfn.CONCAT(B10476,A10511)</f>
        <v>1C1FDF15-ah</v>
      </c>
      <c r="C10511" s="30" t="s">
        <v>29</v>
      </c>
      <c r="D10511" s="186">
        <f>'H-MO'!$N$77</f>
        <v>725918.52892505517</v>
      </c>
      <c r="E10511" s="31">
        <f>+D10511/8</f>
        <v>90739.816115631897</v>
      </c>
      <c r="F10511" s="32">
        <v>25</v>
      </c>
      <c r="G10511" s="33">
        <f>+E10511*F10511</f>
        <v>2268495.4028907972</v>
      </c>
    </row>
    <row r="10512" spans="1:7">
      <c r="A10512" s="211" t="s">
        <v>518</v>
      </c>
      <c r="B10512" s="216" t="str">
        <f ca="1">_xlfn.CONCAT(B10476,A10512)</f>
        <v>1C1FDF15-ai</v>
      </c>
      <c r="C10512" s="34" t="s">
        <v>30</v>
      </c>
      <c r="D10512" s="187">
        <f>'H-MO'!$N$86</f>
        <v>685561.39085756091</v>
      </c>
      <c r="E10512" s="29">
        <f>+D10512/8</f>
        <v>85695.173857195114</v>
      </c>
      <c r="F10512" s="28">
        <v>0</v>
      </c>
      <c r="G10512" s="33">
        <f>+E10512*F10512</f>
        <v>0</v>
      </c>
    </row>
    <row r="10513" spans="1:8" ht="14.25" thickBot="1">
      <c r="A10513" s="211" t="s">
        <v>519</v>
      </c>
      <c r="B10513" s="216" t="str">
        <f ca="1">_xlfn.CONCAT(B10476,A10513)</f>
        <v>1C1FDF15-aj</v>
      </c>
      <c r="C10513" s="34"/>
      <c r="D10513" s="187"/>
      <c r="E10513" s="29"/>
      <c r="F10513" s="28"/>
      <c r="G10513" s="33">
        <f>+E10513*F10513</f>
        <v>0</v>
      </c>
    </row>
    <row r="10514" spans="1:8" ht="14.25" thickBot="1">
      <c r="A10514" s="211" t="s">
        <v>520</v>
      </c>
      <c r="B10514" s="216" t="str">
        <f ca="1">_xlfn.CONCAT(B10476,A10514)</f>
        <v>1C1FDF15-ak</v>
      </c>
      <c r="C10514" s="34"/>
      <c r="D10514" s="185"/>
      <c r="E10514" s="26"/>
      <c r="F10514" s="36" t="s">
        <v>31</v>
      </c>
      <c r="G10514" s="23">
        <f>SUM(G10511:G10513)</f>
        <v>2268495.4028907972</v>
      </c>
    </row>
    <row r="10515" spans="1:8" ht="14.25" thickBot="1">
      <c r="A10515" s="211" t="s">
        <v>521</v>
      </c>
      <c r="B10515" s="216" t="str">
        <f ca="1">_xlfn.CONCAT(B10476,A10515)</f>
        <v>1C1FDF15-al</v>
      </c>
      <c r="C10515" s="37"/>
      <c r="E10515" s="38"/>
      <c r="F10515" s="22"/>
      <c r="G10515" s="39"/>
    </row>
    <row r="10516" spans="1:8" ht="16.5" thickBot="1">
      <c r="A10516" s="211" t="s">
        <v>522</v>
      </c>
      <c r="B10516" s="216" t="str">
        <f ca="1">_xlfn.CONCAT(B10476,A10516)</f>
        <v>1C1FDF15-am</v>
      </c>
      <c r="C10516" s="40"/>
      <c r="D10516" s="193"/>
      <c r="E10516" s="41"/>
      <c r="F10516" s="42"/>
      <c r="G10516" s="43">
        <f>+G10499+G10508+G10514</f>
        <v>30369727.977890797</v>
      </c>
    </row>
    <row r="10517" spans="1:8" ht="21.75" thickBot="1">
      <c r="B10517" s="212" t="s">
        <v>550</v>
      </c>
      <c r="C10517" s="2"/>
      <c r="D10517" s="183"/>
      <c r="F10517" s="4"/>
      <c r="G10517" s="5"/>
    </row>
    <row r="10518" spans="1:8" ht="18.75">
      <c r="A10518" s="213"/>
      <c r="B10518" s="214">
        <v>239</v>
      </c>
      <c r="C10518" s="242" t="str">
        <f ca="1">_xlfn.XLOOKUP(B10518,Cantidades!$A$10:$A$314,Cantidades!$C$10:$C$314,,0,1)</f>
        <v>SUMINISTRO E INSTALACION DE BANDEJA TIPO MALLA DE 65X300 mm  ACABADO ELECTROZINCADO, Bandeja con malla de varillas de acero electrosoldadas. Acabado electrozincado. INCLUYE ACCESORIOS DE FIJACIÓN Y TODO LO NECESARIO PARA SU CORRECTO  FUNCIONAMIENTO</v>
      </c>
      <c r="D10518" s="243"/>
      <c r="E10518" s="243"/>
      <c r="F10518" s="243"/>
      <c r="G10518" s="244"/>
    </row>
    <row r="10519" spans="1:8" ht="19.5" thickBot="1">
      <c r="A10519" s="215"/>
      <c r="B10519" s="216" t="s">
        <v>550</v>
      </c>
      <c r="C10519" s="177"/>
      <c r="D10519" s="189"/>
      <c r="E10519" s="178"/>
      <c r="F10519" s="179" t="s">
        <v>636</v>
      </c>
      <c r="G10519" s="209" t="str">
        <f ca="1">B10520</f>
        <v>2826CD8B-</v>
      </c>
    </row>
    <row r="10520" spans="1:8" ht="15.75" thickBot="1">
      <c r="B10520" s="212" t="str">
        <f ca="1">_xlfn.XLOOKUP(C10518,Cantidades!$C$1:$C$314,Cantidades!$B$1:$B$314,"",0,1)</f>
        <v>2826CD8B-</v>
      </c>
      <c r="C10520" s="10" t="s">
        <v>0</v>
      </c>
      <c r="D10520" s="190"/>
      <c r="E10520" s="11"/>
      <c r="F10520" s="12"/>
      <c r="G10520" s="13"/>
    </row>
    <row r="10521" spans="1:8" ht="14.25" thickBot="1">
      <c r="A10521" s="215"/>
      <c r="B10521" s="216" t="s">
        <v>550</v>
      </c>
      <c r="C10521" s="14" t="s">
        <v>1</v>
      </c>
      <c r="D10521" s="15" t="s">
        <v>2</v>
      </c>
      <c r="E10521" s="15" t="s">
        <v>3</v>
      </c>
      <c r="F10521" s="16" t="s">
        <v>4</v>
      </c>
      <c r="G10521" s="15" t="s">
        <v>5</v>
      </c>
    </row>
    <row r="10522" spans="1:8">
      <c r="A10522" s="211" t="s">
        <v>484</v>
      </c>
      <c r="B10522" s="216" t="str">
        <f ca="1">_xlfn.CONCAT(B10520,A10522)</f>
        <v>2826CD8B-A</v>
      </c>
      <c r="C10522" s="17" t="str">
        <f>_xlfn.XLOOKUP(H10522,'Materiales unitario'!$A$1:$A$2500,'Materiales unitario'!B$1:B$2500,,0,1)</f>
        <v>Bandeja tipo malla electrozincada 65x400mm. Tramo de 3,00 mts</v>
      </c>
      <c r="D10522" s="184" t="str">
        <f>_xlfn.XLOOKUP(H10522,'Materiales unitario'!A$1:A$2500,'Materiales unitario'!C$1:C$2500,,0,1)</f>
        <v>un</v>
      </c>
      <c r="E10522" s="197">
        <f>_xlfn.XLOOKUP(H10522,'Materiales unitario'!$A$1:$A$2500,'Materiales unitario'!D$1:D$2500,,0,1)</f>
        <v>159216</v>
      </c>
      <c r="F10522" s="19">
        <v>0.35</v>
      </c>
      <c r="G10522" s="20">
        <f>+E10522*F10522</f>
        <v>55725.599999999999</v>
      </c>
      <c r="H10522" s="211" t="s">
        <v>1682</v>
      </c>
    </row>
    <row r="10523" spans="1:8">
      <c r="A10523" s="211" t="s">
        <v>485</v>
      </c>
      <c r="B10523" s="216" t="str">
        <f ca="1">_xlfn.CONCAT(B10520,A10523)</f>
        <v>2826CD8B-B</v>
      </c>
      <c r="C10523" s="17" t="str">
        <f>_xlfn.XLOOKUP(H10523,'Materiales unitario'!$A$1:$A$2500,'Materiales unitario'!B$1:B$2500,,0,1)</f>
        <v>Salida lateral para tubos en bandeja tipo malla</v>
      </c>
      <c r="D10523" s="184" t="str">
        <f>_xlfn.XLOOKUP(H10523,'Materiales unitario'!A$1:A$2500,'Materiales unitario'!C$1:C$2500,,0,1)</f>
        <v>un</v>
      </c>
      <c r="E10523" s="197">
        <f>_xlfn.XLOOKUP(H10523,'Materiales unitario'!$A$1:$A$2500,'Materiales unitario'!D$1:D$2500,,0,1)</f>
        <v>8613.6</v>
      </c>
      <c r="F10523" s="19">
        <v>0.7</v>
      </c>
      <c r="G10523" s="20">
        <f>+E10523*F10523</f>
        <v>6029.5199999999995</v>
      </c>
      <c r="H10523" s="211" t="s">
        <v>1685</v>
      </c>
    </row>
    <row r="10524" spans="1:8">
      <c r="A10524" s="211" t="s">
        <v>486</v>
      </c>
      <c r="B10524" s="216" t="str">
        <f ca="1">_xlfn.CONCAT(B10520,A10524)</f>
        <v>2826CD8B-C</v>
      </c>
      <c r="C10524" s="17" t="str">
        <f>_xlfn.XLOOKUP(H10524,'Materiales unitario'!$A$1:$A$2500,'Materiales unitario'!B$1:B$2500,,0,1)</f>
        <v>Conjunto de unión bandeja tipo malla</v>
      </c>
      <c r="D10524" s="184" t="str">
        <f>_xlfn.XLOOKUP(H10524,'Materiales unitario'!A$1:A$2500,'Materiales unitario'!C$1:C$2500,,0,1)</f>
        <v>gb</v>
      </c>
      <c r="E10524" s="197">
        <f>_xlfn.XLOOKUP(H10524,'Materiales unitario'!$A$1:$A$2500,'Materiales unitario'!D$1:D$2500,,0,1)</f>
        <v>3666</v>
      </c>
      <c r="F10524" s="19">
        <v>0.66</v>
      </c>
      <c r="G10524" s="20">
        <f>+E10524*F10524</f>
        <v>2419.56</v>
      </c>
      <c r="H10524" s="211" t="s">
        <v>1688</v>
      </c>
    </row>
    <row r="10525" spans="1:8">
      <c r="A10525" s="211" t="s">
        <v>487</v>
      </c>
      <c r="B10525" s="216" t="str">
        <f ca="1">_xlfn.CONCAT(B10520,A10525)</f>
        <v>2826CD8B-D</v>
      </c>
      <c r="C10525" s="17" t="str">
        <f>_xlfn.XLOOKUP(H10525,'Materiales unitario'!$A$1:$A$2500,'Materiales unitario'!B$1:B$2500,,0,1)</f>
        <v>Gancho para suspensión a techo para bandeja tipo malla</v>
      </c>
      <c r="D10525" s="184" t="str">
        <f>_xlfn.XLOOKUP(H10525,'Materiales unitario'!A$1:A$2500,'Materiales unitario'!C$1:C$2500,,0,1)</f>
        <v>un</v>
      </c>
      <c r="E10525" s="197">
        <f>_xlfn.XLOOKUP(H10525,'Materiales unitario'!$A$1:$A$2500,'Materiales unitario'!D$1:D$2500,,0,1)</f>
        <v>1872</v>
      </c>
      <c r="F10525" s="19">
        <v>1.35</v>
      </c>
      <c r="G10525" s="20">
        <f t="shared" ref="G10525:G10527" si="299">+E10525*F10525</f>
        <v>2527.2000000000003</v>
      </c>
      <c r="H10525" s="211" t="s">
        <v>1689</v>
      </c>
    </row>
    <row r="10526" spans="1:8">
      <c r="A10526" s="211" t="s">
        <v>488</v>
      </c>
      <c r="B10526" s="216" t="str">
        <f ca="1">_xlfn.CONCAT(B10520,A10526)</f>
        <v>2826CD8B-E</v>
      </c>
      <c r="C10526" s="17" t="str">
        <f>_xlfn.XLOOKUP(H10526,'Materiales unitario'!$A$1:$A$2500,'Materiales unitario'!B$1:B$2500,,0,1)</f>
        <v>Conector para aterrizar bandeja tipo malla</v>
      </c>
      <c r="D10526" s="184" t="str">
        <f>_xlfn.XLOOKUP(H10526,'Materiales unitario'!A$1:A$2500,'Materiales unitario'!C$1:C$2500,,0,1)</f>
        <v>un</v>
      </c>
      <c r="E10526" s="197">
        <f>_xlfn.XLOOKUP(H10526,'Materiales unitario'!$A$1:$A$2500,'Materiales unitario'!D$1:D$2500,,0,1)</f>
        <v>7242</v>
      </c>
      <c r="F10526" s="19">
        <v>0.7</v>
      </c>
      <c r="G10526" s="20">
        <f t="shared" si="299"/>
        <v>5069.3999999999996</v>
      </c>
      <c r="H10526" s="211" t="s">
        <v>1691</v>
      </c>
    </row>
    <row r="10527" spans="1:8">
      <c r="A10527" s="211" t="s">
        <v>489</v>
      </c>
      <c r="B10527" s="216" t="str">
        <f ca="1">_xlfn.CONCAT(B10520,A10527)</f>
        <v>2826CD8B-F</v>
      </c>
      <c r="C10527" s="17" t="str">
        <f>_xlfn.XLOOKUP(H10527,'Materiales unitario'!$A$1:$A$2500,'Materiales unitario'!B$1:B$2500,,0,1)</f>
        <v xml:space="preserve">Cable de cobre desnudo #8 AWG </v>
      </c>
      <c r="D10527" s="184" t="str">
        <f>_xlfn.XLOOKUP(H10527,'Materiales unitario'!A$1:A$2500,'Materiales unitario'!C$1:C$2500,,0,1)</f>
        <v>ml</v>
      </c>
      <c r="E10527" s="197">
        <f>_xlfn.XLOOKUP(H10527,'Materiales unitario'!$A$1:$A$2500,'Materiales unitario'!D$1:D$2500,,0,1)</f>
        <v>6600</v>
      </c>
      <c r="F10527" s="19">
        <v>1.05</v>
      </c>
      <c r="G10527" s="20">
        <f t="shared" si="299"/>
        <v>6930</v>
      </c>
      <c r="H10527" s="211" t="s">
        <v>1693</v>
      </c>
    </row>
    <row r="10528" spans="1:8">
      <c r="A10528" s="211" t="s">
        <v>490</v>
      </c>
      <c r="B10528" s="216" t="str">
        <f ca="1">_xlfn.CONCAT(B10520,A10528)</f>
        <v>2826CD8B-G</v>
      </c>
      <c r="C10528" s="17"/>
      <c r="D10528" s="184"/>
      <c r="E10528" s="197"/>
      <c r="F10528" s="19"/>
      <c r="G10528" s="20"/>
    </row>
    <row r="10529" spans="1:7">
      <c r="A10529" s="211" t="s">
        <v>491</v>
      </c>
      <c r="B10529" s="216" t="str">
        <f ca="1">_xlfn.CONCAT(B10520,A10529)</f>
        <v>2826CD8B-H</v>
      </c>
      <c r="C10529" s="17"/>
      <c r="D10529" s="184"/>
      <c r="E10529" s="197"/>
      <c r="F10529" s="19"/>
      <c r="G10529" s="20"/>
    </row>
    <row r="10530" spans="1:7">
      <c r="A10530" s="211" t="s">
        <v>492</v>
      </c>
      <c r="B10530" s="216" t="str">
        <f ca="1">_xlfn.CONCAT(B10520,A10530)</f>
        <v>2826CD8B-I</v>
      </c>
      <c r="C10530" s="17"/>
      <c r="D10530" s="184"/>
      <c r="E10530" s="197"/>
      <c r="F10530" s="19"/>
      <c r="G10530" s="20"/>
    </row>
    <row r="10531" spans="1:7">
      <c r="A10531" s="211" t="s">
        <v>493</v>
      </c>
      <c r="B10531" s="216" t="str">
        <f ca="1">_xlfn.CONCAT(B10520,A10531)</f>
        <v>2826CD8B-J</v>
      </c>
      <c r="C10531" s="17"/>
      <c r="D10531" s="184"/>
      <c r="E10531" s="197"/>
      <c r="F10531" s="19"/>
      <c r="G10531" s="20"/>
    </row>
    <row r="10532" spans="1:7">
      <c r="A10532" s="211" t="s">
        <v>494</v>
      </c>
      <c r="B10532" s="216" t="str">
        <f ca="1">_xlfn.CONCAT(B10520,A10532)</f>
        <v>2826CD8B-K</v>
      </c>
      <c r="C10532" s="17"/>
      <c r="D10532" s="184"/>
      <c r="E10532" s="197"/>
      <c r="F10532" s="19"/>
      <c r="G10532" s="20"/>
    </row>
    <row r="10533" spans="1:7">
      <c r="A10533" s="211" t="s">
        <v>495</v>
      </c>
      <c r="B10533" s="216" t="str">
        <f ca="1">_xlfn.CONCAT(B10520,A10533)</f>
        <v>2826CD8B-L</v>
      </c>
      <c r="C10533" s="17"/>
      <c r="D10533" s="184"/>
      <c r="E10533" s="197"/>
      <c r="F10533" s="19"/>
      <c r="G10533" s="20"/>
    </row>
    <row r="10534" spans="1:7">
      <c r="A10534" s="211" t="s">
        <v>496</v>
      </c>
      <c r="B10534" s="216" t="str">
        <f ca="1">_xlfn.CONCAT(B10520,A10534)</f>
        <v>2826CD8B-M</v>
      </c>
      <c r="C10534" s="17"/>
      <c r="D10534" s="184"/>
      <c r="E10534" s="197"/>
      <c r="F10534" s="19"/>
      <c r="G10534" s="20"/>
    </row>
    <row r="10535" spans="1:7">
      <c r="A10535" s="211" t="s">
        <v>497</v>
      </c>
      <c r="B10535" s="216" t="str">
        <f ca="1">_xlfn.CONCAT(B10520,A10535)</f>
        <v>2826CD8B-N</v>
      </c>
      <c r="C10535" s="17"/>
      <c r="D10535" s="184"/>
      <c r="E10535" s="197"/>
      <c r="F10535" s="19"/>
      <c r="G10535" s="20"/>
    </row>
    <row r="10536" spans="1:7">
      <c r="A10536" s="211" t="s">
        <v>498</v>
      </c>
      <c r="B10536" s="216" t="str">
        <f ca="1">_xlfn.CONCAT(B10520,A10536)</f>
        <v>2826CD8B-O</v>
      </c>
      <c r="C10536" s="17"/>
      <c r="D10536" s="184"/>
      <c r="E10536" s="197"/>
      <c r="F10536" s="19"/>
      <c r="G10536" s="20"/>
    </row>
    <row r="10537" spans="1:7">
      <c r="A10537" s="211" t="s">
        <v>499</v>
      </c>
      <c r="B10537" s="216" t="str">
        <f ca="1">_xlfn.CONCAT(B10520,A10537)</f>
        <v>2826CD8B-P</v>
      </c>
      <c r="C10537" s="17"/>
      <c r="D10537" s="184"/>
      <c r="E10537" s="197"/>
      <c r="F10537" s="19"/>
      <c r="G10537" s="20"/>
    </row>
    <row r="10538" spans="1:7">
      <c r="A10538" s="211" t="s">
        <v>500</v>
      </c>
      <c r="B10538" s="216" t="str">
        <f ca="1">_xlfn.CONCAT(B10520,A10538)</f>
        <v>2826CD8B-Q</v>
      </c>
      <c r="C10538" s="17"/>
      <c r="D10538" s="184"/>
      <c r="E10538" s="197"/>
      <c r="F10538" s="19"/>
      <c r="G10538" s="20"/>
    </row>
    <row r="10539" spans="1:7">
      <c r="A10539" s="211" t="s">
        <v>501</v>
      </c>
      <c r="B10539" s="216" t="str">
        <f ca="1">_xlfn.CONCAT(B10520,A10539)</f>
        <v>2826CD8B-R</v>
      </c>
      <c r="C10539" s="17"/>
      <c r="D10539" s="184"/>
      <c r="E10539" s="197"/>
      <c r="F10539" s="19"/>
      <c r="G10539" s="20"/>
    </row>
    <row r="10540" spans="1:7">
      <c r="A10540" s="211" t="s">
        <v>502</v>
      </c>
      <c r="B10540" s="216" t="str">
        <f ca="1">_xlfn.CONCAT(B10520,A10540)</f>
        <v>2826CD8B-S</v>
      </c>
      <c r="C10540" s="17"/>
      <c r="D10540" s="184"/>
      <c r="E10540" s="197"/>
      <c r="F10540" s="19"/>
      <c r="G10540" s="20"/>
    </row>
    <row r="10541" spans="1:7">
      <c r="A10541" s="211" t="s">
        <v>503</v>
      </c>
      <c r="B10541" s="216" t="str">
        <f ca="1">_xlfn.CONCAT(B10520,A10541)</f>
        <v>2826CD8B-T</v>
      </c>
      <c r="C10541" s="17"/>
      <c r="D10541" s="184"/>
      <c r="E10541" s="197"/>
      <c r="F10541" s="19"/>
      <c r="G10541" s="20"/>
    </row>
    <row r="10542" spans="1:7" ht="14.25" thickBot="1">
      <c r="A10542" s="211" t="s">
        <v>504</v>
      </c>
      <c r="B10542" s="216" t="str">
        <f ca="1">_xlfn.CONCAT(B10520,A10542)</f>
        <v>2826CD8B-U</v>
      </c>
      <c r="C10542" s="17"/>
      <c r="D10542" s="184"/>
      <c r="E10542" s="197"/>
      <c r="F10542" s="19"/>
      <c r="G10542" s="20"/>
    </row>
    <row r="10543" spans="1:7" ht="14.25" thickBot="1">
      <c r="A10543" s="211" t="s">
        <v>505</v>
      </c>
      <c r="B10543" s="216" t="str">
        <f ca="1">_xlfn.CONCAT(B10520,A10543)</f>
        <v>2826CD8B-V</v>
      </c>
      <c r="C10543" s="17" t="s">
        <v>17</v>
      </c>
      <c r="D10543" s="192" t="s">
        <v>17</v>
      </c>
      <c r="E10543" s="18"/>
      <c r="F10543" s="22" t="s">
        <v>18</v>
      </c>
      <c r="G10543" s="23">
        <f>SUM(G10522:G10542)</f>
        <v>78701.279999999984</v>
      </c>
    </row>
    <row r="10544" spans="1:7" ht="15.75" thickBot="1">
      <c r="A10544" s="211" t="s">
        <v>506</v>
      </c>
      <c r="B10544" s="216" t="str">
        <f ca="1">_xlfn.CONCAT(B10520,A10544)</f>
        <v>2826CD8B-W</v>
      </c>
      <c r="C10544" s="10" t="s">
        <v>19</v>
      </c>
      <c r="D10544" s="190"/>
      <c r="E10544" s="11"/>
      <c r="F10544" s="12"/>
      <c r="G10544" s="13"/>
    </row>
    <row r="10545" spans="1:7" ht="14.25" thickBot="1">
      <c r="A10545" s="211" t="s">
        <v>507</v>
      </c>
      <c r="B10545" s="216" t="str">
        <f ca="1">_xlfn.CONCAT(B10520,A10545)</f>
        <v>2826CD8B-X</v>
      </c>
      <c r="C10545" s="14" t="s">
        <v>1</v>
      </c>
      <c r="D10545" s="15"/>
      <c r="E10545" s="15" t="s">
        <v>20</v>
      </c>
      <c r="F10545" s="16" t="s">
        <v>21</v>
      </c>
      <c r="G10545" s="15" t="s">
        <v>5</v>
      </c>
    </row>
    <row r="10546" spans="1:7">
      <c r="A10546" s="211" t="s">
        <v>508</v>
      </c>
      <c r="B10546" s="216" t="str">
        <f ca="1">_xlfn.CONCAT(B10520,A10546)</f>
        <v>2826CD8B-Y</v>
      </c>
      <c r="C10546" s="24" t="s">
        <v>22</v>
      </c>
      <c r="D10546" s="184"/>
      <c r="E10546" s="25">
        <f>_xlfn.XLOOKUP(C10546,'H-MO'!B$7:B$30,'H-MO'!D$7:D$30,,0,1)</f>
        <v>2436.5624999999995</v>
      </c>
      <c r="F10546" s="19">
        <v>8.8807884057971007E-2</v>
      </c>
      <c r="G10546" s="33">
        <f t="shared" ref="G10546:G10551" si="300">+E10546*F10546</f>
        <v>216.38595999999995</v>
      </c>
    </row>
    <row r="10547" spans="1:7">
      <c r="A10547" s="211" t="s">
        <v>509</v>
      </c>
      <c r="B10547" s="216" t="str">
        <f ca="1">_xlfn.CONCAT(B10520,A10547)</f>
        <v>2826CD8B-Z</v>
      </c>
      <c r="C10547" s="24" t="s">
        <v>23</v>
      </c>
      <c r="D10547" s="184"/>
      <c r="E10547" s="25">
        <f>_xlfn.XLOOKUP(C10547,'H-MO'!B$7:B$30,'H-MO'!D$7:D$30,,0,1)</f>
        <v>1461.9374999999998</v>
      </c>
      <c r="F10547" s="19">
        <v>0.22201971014492752</v>
      </c>
      <c r="G10547" s="33">
        <f t="shared" si="300"/>
        <v>324.57893999999993</v>
      </c>
    </row>
    <row r="10548" spans="1:7">
      <c r="A10548" s="211" t="s">
        <v>510</v>
      </c>
      <c r="B10548" s="216" t="str">
        <f ca="1">_xlfn.CONCAT(B10520,A10548)</f>
        <v>2826CD8B-aa</v>
      </c>
      <c r="C10548" s="24" t="s">
        <v>24</v>
      </c>
      <c r="D10548" s="185"/>
      <c r="E10548" s="25">
        <f>_xlfn.XLOOKUP(C10548,'H-MO'!B$7:B$30,'H-MO'!D$7:D$30,,0,1)</f>
        <v>29238.749999999996</v>
      </c>
      <c r="F10548" s="28">
        <v>3.7003285024154588E-3</v>
      </c>
      <c r="G10548" s="33">
        <f t="shared" si="300"/>
        <v>108.19297999999998</v>
      </c>
    </row>
    <row r="10549" spans="1:7">
      <c r="A10549" s="211" t="s">
        <v>511</v>
      </c>
      <c r="B10549" s="216" t="str">
        <f ca="1">_xlfn.CONCAT(B10520,A10549)</f>
        <v>2826CD8B-ab</v>
      </c>
      <c r="C10549" s="24" t="s">
        <v>25</v>
      </c>
      <c r="D10549" s="185"/>
      <c r="E10549" s="25">
        <f>_xlfn.XLOOKUP(C10549,'H-MO'!B$7:B$30,'H-MO'!D$7:D$30,,0,1)</f>
        <v>2761.4374999999995</v>
      </c>
      <c r="F10549" s="28">
        <v>7.835989769820971E-2</v>
      </c>
      <c r="G10549" s="33">
        <f t="shared" si="300"/>
        <v>216.38595999999995</v>
      </c>
    </row>
    <row r="10550" spans="1:7">
      <c r="A10550" s="211" t="s">
        <v>512</v>
      </c>
      <c r="B10550" s="216" t="str">
        <f ca="1">_xlfn.CONCAT(B10520,A10550)</f>
        <v>2826CD8B-ac</v>
      </c>
      <c r="C10550" s="24"/>
      <c r="D10550" s="185"/>
      <c r="E10550" s="29"/>
      <c r="F10550" s="28"/>
      <c r="G10550" s="33">
        <f t="shared" si="300"/>
        <v>0</v>
      </c>
    </row>
    <row r="10551" spans="1:7" ht="14.25" thickBot="1">
      <c r="A10551" s="211" t="s">
        <v>513</v>
      </c>
      <c r="B10551" s="216" t="str">
        <f ca="1">_xlfn.CONCAT(B10520,A10551)</f>
        <v>2826CD8B-ad</v>
      </c>
      <c r="C10551" s="24"/>
      <c r="D10551" s="185"/>
      <c r="E10551" s="29"/>
      <c r="F10551" s="28"/>
      <c r="G10551" s="33">
        <f t="shared" si="300"/>
        <v>0</v>
      </c>
    </row>
    <row r="10552" spans="1:7" ht="14.25" thickBot="1">
      <c r="A10552" s="211" t="s">
        <v>514</v>
      </c>
      <c r="B10552" s="216" t="str">
        <f ca="1">_xlfn.CONCAT(B10520,A10552)</f>
        <v>2826CD8B-ae</v>
      </c>
      <c r="C10552" s="17"/>
      <c r="D10552" s="192"/>
      <c r="E10552" s="18"/>
      <c r="F10552" s="22" t="s">
        <v>26</v>
      </c>
      <c r="G10552" s="23">
        <f>SUM(G10546:G10551)</f>
        <v>865.54383999999993</v>
      </c>
    </row>
    <row r="10553" spans="1:7" ht="15.75" thickBot="1">
      <c r="A10553" s="211" t="s">
        <v>515</v>
      </c>
      <c r="B10553" s="216" t="str">
        <f ca="1">_xlfn.CONCAT(B10520,A10553)</f>
        <v>2826CD8B-af</v>
      </c>
      <c r="C10553" s="10" t="s">
        <v>27</v>
      </c>
      <c r="D10553" s="190"/>
      <c r="E10553" s="11"/>
      <c r="F10553" s="12"/>
      <c r="G10553" s="13"/>
    </row>
    <row r="10554" spans="1:7" ht="14.25" thickBot="1">
      <c r="A10554" s="211" t="s">
        <v>516</v>
      </c>
      <c r="B10554" s="216" t="str">
        <f ca="1">_xlfn.CONCAT(B10520,A10554)</f>
        <v>2826CD8B-ag</v>
      </c>
      <c r="C10554" s="14" t="s">
        <v>1</v>
      </c>
      <c r="D10554" s="15" t="s">
        <v>28</v>
      </c>
      <c r="E10554" s="15" t="s">
        <v>20</v>
      </c>
      <c r="F10554" s="16" t="s">
        <v>21</v>
      </c>
      <c r="G10554" s="15" t="s">
        <v>5</v>
      </c>
    </row>
    <row r="10555" spans="1:7">
      <c r="A10555" s="211" t="s">
        <v>517</v>
      </c>
      <c r="B10555" s="216" t="str">
        <f ca="1">_xlfn.CONCAT(B10520,A10555)</f>
        <v>2826CD8B-ah</v>
      </c>
      <c r="C10555" s="30" t="s">
        <v>29</v>
      </c>
      <c r="D10555" s="186">
        <f>'H-MO'!$N$77</f>
        <v>725918.52892505517</v>
      </c>
      <c r="E10555" s="31">
        <f>+D10555/8</f>
        <v>90739.816115631897</v>
      </c>
      <c r="F10555" s="32">
        <v>0.246</v>
      </c>
      <c r="G10555" s="33">
        <f>+E10555*F10555</f>
        <v>22321.994764445448</v>
      </c>
    </row>
    <row r="10556" spans="1:7">
      <c r="A10556" s="211" t="s">
        <v>518</v>
      </c>
      <c r="B10556" s="216" t="str">
        <f ca="1">_xlfn.CONCAT(B10520,A10556)</f>
        <v>2826CD8B-ai</v>
      </c>
      <c r="C10556" s="34" t="s">
        <v>30</v>
      </c>
      <c r="D10556" s="187">
        <f>'H-MO'!$N$86</f>
        <v>685561.39085756091</v>
      </c>
      <c r="E10556" s="29">
        <f>+D10556/8</f>
        <v>85695.173857195114</v>
      </c>
      <c r="F10556" s="28">
        <v>0</v>
      </c>
      <c r="G10556" s="33">
        <f>+E10556*F10556</f>
        <v>0</v>
      </c>
    </row>
    <row r="10557" spans="1:7" ht="14.25" thickBot="1">
      <c r="A10557" s="211" t="s">
        <v>519</v>
      </c>
      <c r="B10557" s="216" t="str">
        <f ca="1">_xlfn.CONCAT(B10520,A10557)</f>
        <v>2826CD8B-aj</v>
      </c>
      <c r="C10557" s="34"/>
      <c r="D10557" s="187"/>
      <c r="E10557" s="29"/>
      <c r="F10557" s="28"/>
      <c r="G10557" s="33">
        <f>+E10557*F10557</f>
        <v>0</v>
      </c>
    </row>
    <row r="10558" spans="1:7" ht="14.25" thickBot="1">
      <c r="A10558" s="211" t="s">
        <v>520</v>
      </c>
      <c r="B10558" s="216" t="str">
        <f ca="1">_xlfn.CONCAT(B10520,A10558)</f>
        <v>2826CD8B-ak</v>
      </c>
      <c r="C10558" s="34"/>
      <c r="D10558" s="185"/>
      <c r="E10558" s="26"/>
      <c r="F10558" s="36" t="s">
        <v>31</v>
      </c>
      <c r="G10558" s="23">
        <f>SUM(G10555:G10557)</f>
        <v>22321.994764445448</v>
      </c>
    </row>
    <row r="10559" spans="1:7" ht="14.25" thickBot="1">
      <c r="A10559" s="211" t="s">
        <v>521</v>
      </c>
      <c r="B10559" s="216" t="str">
        <f ca="1">_xlfn.CONCAT(B10520,A10559)</f>
        <v>2826CD8B-al</v>
      </c>
      <c r="C10559" s="37"/>
      <c r="E10559" s="38"/>
      <c r="F10559" s="22"/>
      <c r="G10559" s="39"/>
    </row>
    <row r="10560" spans="1:7" ht="16.5" thickBot="1">
      <c r="A10560" s="211" t="s">
        <v>522</v>
      </c>
      <c r="B10560" s="216" t="str">
        <f ca="1">_xlfn.CONCAT(B10520,A10560)</f>
        <v>2826CD8B-am</v>
      </c>
      <c r="C10560" s="40"/>
      <c r="D10560" s="193"/>
      <c r="E10560" s="41"/>
      <c r="F10560" s="42"/>
      <c r="G10560" s="43">
        <f>+G10543+G10552+G10558</f>
        <v>101888.81860444543</v>
      </c>
    </row>
    <row r="10561" spans="1:8" ht="21.75" thickBot="1">
      <c r="B10561" s="212" t="s">
        <v>550</v>
      </c>
      <c r="C10561" s="2"/>
      <c r="D10561" s="183"/>
      <c r="F10561" s="4"/>
      <c r="G10561" s="5"/>
    </row>
    <row r="10562" spans="1:8" ht="18.75">
      <c r="A10562" s="213"/>
      <c r="B10562" s="214">
        <v>240</v>
      </c>
      <c r="C10562" s="242" t="str">
        <f ca="1">_xlfn.XLOOKUP(B10562,Cantidades!$A$10:$A$314,Cantidades!$C$10:$C$314,,0,1)</f>
        <v>Suministro e instalación de acometida 3#2/0+2/0T Aluminio sin bornas</v>
      </c>
      <c r="D10562" s="243"/>
      <c r="E10562" s="243"/>
      <c r="F10562" s="243"/>
      <c r="G10562" s="244"/>
    </row>
    <row r="10563" spans="1:8" ht="19.5" thickBot="1">
      <c r="A10563" s="215"/>
      <c r="B10563" s="216" t="s">
        <v>550</v>
      </c>
      <c r="C10563" s="177"/>
      <c r="D10563" s="189"/>
      <c r="E10563" s="178"/>
      <c r="F10563" s="179" t="s">
        <v>636</v>
      </c>
      <c r="G10563" s="209" t="str">
        <f ca="1">B10564</f>
        <v>29B38E0B-</v>
      </c>
    </row>
    <row r="10564" spans="1:8" ht="15.75" thickBot="1">
      <c r="B10564" s="212" t="str">
        <f ca="1">_xlfn.XLOOKUP(C10562,Cantidades!$C$1:$C$314,Cantidades!$B$1:$B$314,"",0,1)</f>
        <v>29B38E0B-</v>
      </c>
      <c r="C10564" s="10" t="s">
        <v>0</v>
      </c>
      <c r="D10564" s="190"/>
      <c r="E10564" s="11"/>
      <c r="F10564" s="12"/>
      <c r="G10564" s="13"/>
    </row>
    <row r="10565" spans="1:8" ht="14.25" thickBot="1">
      <c r="A10565" s="215"/>
      <c r="B10565" s="216" t="s">
        <v>550</v>
      </c>
      <c r="C10565" s="14" t="s">
        <v>1</v>
      </c>
      <c r="D10565" s="15" t="s">
        <v>2</v>
      </c>
      <c r="E10565" s="15" t="s">
        <v>3</v>
      </c>
      <c r="F10565" s="16" t="s">
        <v>4</v>
      </c>
      <c r="G10565" s="15" t="s">
        <v>5</v>
      </c>
    </row>
    <row r="10566" spans="1:8">
      <c r="A10566" s="211" t="s">
        <v>484</v>
      </c>
      <c r="B10566" s="216" t="str">
        <f ca="1">_xlfn.CONCAT(B10564,A10566)</f>
        <v>29B38E0B-A</v>
      </c>
      <c r="C10566" s="17" t="str">
        <f>_xlfn.XLOOKUP(H10566,'Materiales unitario'!$A$1:$A$2500,'Materiales unitario'!B$1:B$2500,,0,1)</f>
        <v>Cable de Aluminio aislado #2/0 AWG - THHN/THWN</v>
      </c>
      <c r="D10566" s="184" t="str">
        <f>_xlfn.XLOOKUP(H10566,'Materiales unitario'!A$1:A$2500,'Materiales unitario'!C$1:C$2500,,0,1)</f>
        <v>ml</v>
      </c>
      <c r="E10566" s="197">
        <f>_xlfn.XLOOKUP(H10566,'Materiales unitario'!$A$1:$A$2500,'Materiales unitario'!D$1:D$2500,,0,1)</f>
        <v>10890</v>
      </c>
      <c r="F10566" s="19">
        <v>4.2</v>
      </c>
      <c r="G10566" s="20">
        <f>+E10566*F10566</f>
        <v>45738</v>
      </c>
      <c r="H10566" s="211" t="s">
        <v>1419</v>
      </c>
    </row>
    <row r="10567" spans="1:8">
      <c r="A10567" s="211" t="s">
        <v>485</v>
      </c>
      <c r="B10567" s="216" t="str">
        <f ca="1">_xlfn.CONCAT(B10564,A10567)</f>
        <v>29B38E0B-B</v>
      </c>
      <c r="C10567" s="17" t="str">
        <f>_xlfn.XLOOKUP(H10567,'Materiales unitario'!$A$1:$A$2500,'Materiales unitario'!B$1:B$2500,,0,1)</f>
        <v>Termoencogible</v>
      </c>
      <c r="D10567" s="184" t="str">
        <f>_xlfn.XLOOKUP(H10567,'Materiales unitario'!A$1:A$2500,'Materiales unitario'!C$1:C$2500,,0,1)</f>
        <v>un</v>
      </c>
      <c r="E10567" s="197">
        <f>_xlfn.XLOOKUP(H10567,'Materiales unitario'!$A$1:$A$2500,'Materiales unitario'!D$1:D$2500,,0,1)</f>
        <v>5000</v>
      </c>
      <c r="F10567" s="19">
        <v>0.2</v>
      </c>
      <c r="G10567" s="20">
        <f>+E10567*F10567</f>
        <v>1000</v>
      </c>
      <c r="H10567" s="211" t="s">
        <v>373</v>
      </c>
    </row>
    <row r="10568" spans="1:8">
      <c r="A10568" s="211" t="s">
        <v>486</v>
      </c>
      <c r="B10568" s="216" t="str">
        <f ca="1">_xlfn.CONCAT(B10564,A10568)</f>
        <v>29B38E0B-C</v>
      </c>
      <c r="C10568" s="17"/>
      <c r="D10568" s="184"/>
      <c r="E10568" s="197"/>
      <c r="F10568" s="19"/>
      <c r="G10568" s="20"/>
    </row>
    <row r="10569" spans="1:8">
      <c r="A10569" s="211" t="s">
        <v>487</v>
      </c>
      <c r="B10569" s="216" t="str">
        <f ca="1">_xlfn.CONCAT(B10564,A10569)</f>
        <v>29B38E0B-D</v>
      </c>
      <c r="C10569" s="17"/>
      <c r="D10569" s="184"/>
      <c r="E10569" s="197"/>
      <c r="F10569" s="19"/>
      <c r="G10569" s="20"/>
    </row>
    <row r="10570" spans="1:8">
      <c r="A10570" s="211" t="s">
        <v>488</v>
      </c>
      <c r="B10570" s="216" t="str">
        <f ca="1">_xlfn.CONCAT(B10564,A10570)</f>
        <v>29B38E0B-E</v>
      </c>
      <c r="C10570" s="17"/>
      <c r="D10570" s="184"/>
      <c r="E10570" s="197"/>
      <c r="F10570" s="19"/>
      <c r="G10570" s="20"/>
    </row>
    <row r="10571" spans="1:8">
      <c r="A10571" s="211" t="s">
        <v>489</v>
      </c>
      <c r="B10571" s="216" t="str">
        <f ca="1">_xlfn.CONCAT(B10564,A10571)</f>
        <v>29B38E0B-F</v>
      </c>
      <c r="C10571" s="17"/>
      <c r="D10571" s="184"/>
      <c r="E10571" s="197"/>
      <c r="F10571" s="19"/>
      <c r="G10571" s="20"/>
    </row>
    <row r="10572" spans="1:8">
      <c r="A10572" s="211" t="s">
        <v>490</v>
      </c>
      <c r="B10572" s="216" t="str">
        <f ca="1">_xlfn.CONCAT(B10564,A10572)</f>
        <v>29B38E0B-G</v>
      </c>
      <c r="C10572" s="17"/>
      <c r="D10572" s="184"/>
      <c r="E10572" s="197"/>
      <c r="F10572" s="19"/>
      <c r="G10572" s="20"/>
    </row>
    <row r="10573" spans="1:8">
      <c r="A10573" s="211" t="s">
        <v>491</v>
      </c>
      <c r="B10573" s="216" t="str">
        <f ca="1">_xlfn.CONCAT(B10564,A10573)</f>
        <v>29B38E0B-H</v>
      </c>
      <c r="C10573" s="17"/>
      <c r="D10573" s="184"/>
      <c r="E10573" s="197"/>
      <c r="F10573" s="19"/>
      <c r="G10573" s="20"/>
    </row>
    <row r="10574" spans="1:8">
      <c r="A10574" s="211" t="s">
        <v>492</v>
      </c>
      <c r="B10574" s="216" t="str">
        <f ca="1">_xlfn.CONCAT(B10564,A10574)</f>
        <v>29B38E0B-I</v>
      </c>
      <c r="C10574" s="17"/>
      <c r="D10574" s="184"/>
      <c r="E10574" s="197"/>
      <c r="F10574" s="19"/>
      <c r="G10574" s="20"/>
    </row>
    <row r="10575" spans="1:8">
      <c r="A10575" s="211" t="s">
        <v>493</v>
      </c>
      <c r="B10575" s="216" t="str">
        <f ca="1">_xlfn.CONCAT(B10564,A10575)</f>
        <v>29B38E0B-J</v>
      </c>
      <c r="C10575" s="17"/>
      <c r="D10575" s="184"/>
      <c r="E10575" s="197"/>
      <c r="F10575" s="19"/>
      <c r="G10575" s="20"/>
    </row>
    <row r="10576" spans="1:8">
      <c r="A10576" s="211" t="s">
        <v>494</v>
      </c>
      <c r="B10576" s="216" t="str">
        <f ca="1">_xlfn.CONCAT(B10564,A10576)</f>
        <v>29B38E0B-K</v>
      </c>
      <c r="C10576" s="17"/>
      <c r="D10576" s="184"/>
      <c r="E10576" s="197"/>
      <c r="F10576" s="19"/>
      <c r="G10576" s="20"/>
    </row>
    <row r="10577" spans="1:8">
      <c r="A10577" s="211" t="s">
        <v>495</v>
      </c>
      <c r="B10577" s="216" t="str">
        <f ca="1">_xlfn.CONCAT(B10564,A10577)</f>
        <v>29B38E0B-L</v>
      </c>
      <c r="C10577" s="17"/>
      <c r="D10577" s="184"/>
      <c r="E10577" s="197"/>
      <c r="F10577" s="19"/>
      <c r="G10577" s="20"/>
    </row>
    <row r="10578" spans="1:8">
      <c r="A10578" s="211" t="s">
        <v>496</v>
      </c>
      <c r="B10578" s="216" t="str">
        <f ca="1">_xlfn.CONCAT(B10564,A10578)</f>
        <v>29B38E0B-M</v>
      </c>
      <c r="C10578" s="17"/>
      <c r="D10578" s="184"/>
      <c r="E10578" s="197"/>
      <c r="F10578" s="19"/>
      <c r="G10578" s="20"/>
    </row>
    <row r="10579" spans="1:8">
      <c r="A10579" s="211" t="s">
        <v>497</v>
      </c>
      <c r="B10579" s="216" t="str">
        <f ca="1">_xlfn.CONCAT(B10564,A10579)</f>
        <v>29B38E0B-N</v>
      </c>
      <c r="C10579" s="17"/>
      <c r="D10579" s="184"/>
      <c r="E10579" s="197"/>
      <c r="F10579" s="19"/>
      <c r="G10579" s="20"/>
    </row>
    <row r="10580" spans="1:8">
      <c r="A10580" s="211" t="s">
        <v>498</v>
      </c>
      <c r="B10580" s="216" t="str">
        <f ca="1">_xlfn.CONCAT(B10564,A10580)</f>
        <v>29B38E0B-O</v>
      </c>
      <c r="C10580" s="17"/>
      <c r="D10580" s="184"/>
      <c r="E10580" s="197"/>
      <c r="F10580" s="19"/>
      <c r="G10580" s="20"/>
    </row>
    <row r="10581" spans="1:8">
      <c r="A10581" s="211" t="s">
        <v>499</v>
      </c>
      <c r="B10581" s="216" t="str">
        <f ca="1">_xlfn.CONCAT(B10564,A10581)</f>
        <v>29B38E0B-P</v>
      </c>
      <c r="C10581" s="17"/>
      <c r="D10581" s="184"/>
      <c r="E10581" s="197"/>
      <c r="F10581" s="19"/>
      <c r="G10581" s="20"/>
    </row>
    <row r="10582" spans="1:8">
      <c r="A10582" s="211" t="s">
        <v>500</v>
      </c>
      <c r="B10582" s="216" t="str">
        <f ca="1">_xlfn.CONCAT(B10564,A10582)</f>
        <v>29B38E0B-Q</v>
      </c>
      <c r="C10582" s="17"/>
      <c r="D10582" s="184"/>
      <c r="E10582" s="197"/>
      <c r="F10582" s="19"/>
      <c r="G10582" s="20"/>
    </row>
    <row r="10583" spans="1:8">
      <c r="A10583" s="211" t="s">
        <v>501</v>
      </c>
      <c r="B10583" s="216" t="str">
        <f ca="1">_xlfn.CONCAT(B10564,A10583)</f>
        <v>29B38E0B-R</v>
      </c>
      <c r="C10583" s="17"/>
      <c r="D10583" s="184"/>
      <c r="E10583" s="197"/>
      <c r="F10583" s="19"/>
      <c r="G10583" s="20"/>
    </row>
    <row r="10584" spans="1:8">
      <c r="A10584" s="211" t="s">
        <v>502</v>
      </c>
      <c r="B10584" s="216" t="str">
        <f ca="1">_xlfn.CONCAT(B10564,A10584)</f>
        <v>29B38E0B-S</v>
      </c>
      <c r="C10584" s="17"/>
      <c r="D10584" s="184"/>
      <c r="E10584" s="197"/>
      <c r="F10584" s="19"/>
      <c r="G10584" s="20"/>
    </row>
    <row r="10585" spans="1:8">
      <c r="A10585" s="211" t="s">
        <v>503</v>
      </c>
      <c r="B10585" s="216" t="str">
        <f ca="1">_xlfn.CONCAT(B10564,A10585)</f>
        <v>29B38E0B-T</v>
      </c>
      <c r="C10585" s="17"/>
      <c r="D10585" s="184"/>
      <c r="E10585" s="197"/>
      <c r="F10585" s="19"/>
      <c r="G10585" s="20"/>
    </row>
    <row r="10586" spans="1:8" ht="14.25" thickBot="1">
      <c r="A10586" s="211" t="s">
        <v>504</v>
      </c>
      <c r="B10586" s="216" t="str">
        <f ca="1">_xlfn.CONCAT(B10564,A10586)</f>
        <v>29B38E0B-U</v>
      </c>
      <c r="C10586" s="17"/>
      <c r="D10586" s="184"/>
      <c r="E10586" s="197"/>
      <c r="F10586" s="19"/>
      <c r="G10586" s="20"/>
    </row>
    <row r="10587" spans="1:8" ht="14.25" thickBot="1">
      <c r="A10587" s="211" t="s">
        <v>505</v>
      </c>
      <c r="B10587" s="216" t="str">
        <f ca="1">_xlfn.CONCAT(B10564,A10587)</f>
        <v>29B38E0B-V</v>
      </c>
      <c r="C10587" s="17" t="s">
        <v>17</v>
      </c>
      <c r="D10587" s="192" t="s">
        <v>17</v>
      </c>
      <c r="E10587" s="18"/>
      <c r="F10587" s="22" t="s">
        <v>18</v>
      </c>
      <c r="G10587" s="23">
        <f>SUM(G10566:G10586)</f>
        <v>46738</v>
      </c>
    </row>
    <row r="10588" spans="1:8" ht="15.75" thickBot="1">
      <c r="A10588" s="211" t="s">
        <v>506</v>
      </c>
      <c r="B10588" s="216" t="str">
        <f ca="1">_xlfn.CONCAT(B10564,A10588)</f>
        <v>29B38E0B-W</v>
      </c>
      <c r="C10588" s="10" t="s">
        <v>19</v>
      </c>
      <c r="D10588" s="190"/>
      <c r="E10588" s="11"/>
      <c r="F10588" s="12"/>
      <c r="G10588" s="13"/>
    </row>
    <row r="10589" spans="1:8" ht="14.25" thickBot="1">
      <c r="A10589" s="211" t="s">
        <v>507</v>
      </c>
      <c r="B10589" s="216" t="str">
        <f ca="1">_xlfn.CONCAT(B10564,A10589)</f>
        <v>29B38E0B-X</v>
      </c>
      <c r="C10589" s="14" t="s">
        <v>1</v>
      </c>
      <c r="D10589" s="15"/>
      <c r="E10589" s="15" t="s">
        <v>20</v>
      </c>
      <c r="F10589" s="16" t="s">
        <v>21</v>
      </c>
      <c r="G10589" s="15" t="s">
        <v>5</v>
      </c>
    </row>
    <row r="10590" spans="1:8">
      <c r="A10590" s="211" t="s">
        <v>508</v>
      </c>
      <c r="B10590" s="216" t="str">
        <f ca="1">_xlfn.CONCAT(B10564,A10590)</f>
        <v>29B38E0B-Y</v>
      </c>
      <c r="C10590" s="24" t="s">
        <v>22</v>
      </c>
      <c r="D10590" s="184"/>
      <c r="E10590" s="25">
        <f>_xlfn.XLOOKUP(C10590,'H-MO'!B$7:B$30,'H-MO'!D$7:D$30,,0,1)</f>
        <v>2436.5624999999995</v>
      </c>
      <c r="F10590" s="19">
        <v>0.15</v>
      </c>
      <c r="G10590" s="33">
        <f t="shared" ref="G10590:G10595" si="301">+E10590*F10590</f>
        <v>365.48437499999994</v>
      </c>
      <c r="H10590" s="234"/>
    </row>
    <row r="10591" spans="1:8">
      <c r="A10591" s="211" t="s">
        <v>509</v>
      </c>
      <c r="B10591" s="216" t="str">
        <f ca="1">_xlfn.CONCAT(B10564,A10591)</f>
        <v>29B38E0B-Z</v>
      </c>
      <c r="C10591" s="24" t="s">
        <v>23</v>
      </c>
      <c r="D10591" s="184"/>
      <c r="E10591" s="25">
        <f>_xlfn.XLOOKUP(C10591,'H-MO'!B$7:B$30,'H-MO'!D$7:D$30,,0,1)</f>
        <v>1461.9374999999998</v>
      </c>
      <c r="F10591" s="19">
        <v>0.04</v>
      </c>
      <c r="G10591" s="33">
        <f t="shared" si="301"/>
        <v>58.477499999999992</v>
      </c>
      <c r="H10591" s="234"/>
    </row>
    <row r="10592" spans="1:8">
      <c r="A10592" s="211" t="s">
        <v>510</v>
      </c>
      <c r="B10592" s="216" t="str">
        <f ca="1">_xlfn.CONCAT(B10564,A10592)</f>
        <v>29B38E0B-aa</v>
      </c>
      <c r="C10592" s="24" t="s">
        <v>24</v>
      </c>
      <c r="D10592" s="185"/>
      <c r="E10592" s="25">
        <f>_xlfn.XLOOKUP(C10592,'H-MO'!B$7:B$30,'H-MO'!D$7:D$30,,0,1)</f>
        <v>29238.749999999996</v>
      </c>
      <c r="F10592" s="28">
        <v>0.06</v>
      </c>
      <c r="G10592" s="33">
        <f t="shared" si="301"/>
        <v>1754.3249999999998</v>
      </c>
      <c r="H10592" s="234"/>
    </row>
    <row r="10593" spans="1:9">
      <c r="A10593" s="211" t="s">
        <v>511</v>
      </c>
      <c r="B10593" s="216" t="str">
        <f ca="1">_xlfn.CONCAT(B10564,A10593)</f>
        <v>29B38E0B-ab</v>
      </c>
      <c r="C10593" s="24" t="s">
        <v>25</v>
      </c>
      <c r="D10593" s="185"/>
      <c r="E10593" s="25">
        <f>_xlfn.XLOOKUP(C10593,'H-MO'!B$7:B$30,'H-MO'!D$7:D$30,,0,1)</f>
        <v>2761.4374999999995</v>
      </c>
      <c r="F10593" s="28">
        <v>0.2</v>
      </c>
      <c r="G10593" s="33">
        <f t="shared" si="301"/>
        <v>552.28749999999991</v>
      </c>
      <c r="H10593" s="234"/>
    </row>
    <row r="10594" spans="1:9">
      <c r="A10594" s="211" t="s">
        <v>512</v>
      </c>
      <c r="B10594" s="216" t="str">
        <f ca="1">_xlfn.CONCAT(B10564,A10594)</f>
        <v>29B38E0B-ac</v>
      </c>
      <c r="C10594" s="24"/>
      <c r="D10594" s="185"/>
      <c r="E10594" s="29"/>
      <c r="F10594" s="28"/>
      <c r="G10594" s="33">
        <f t="shared" si="301"/>
        <v>0</v>
      </c>
      <c r="H10594" s="234"/>
    </row>
    <row r="10595" spans="1:9" ht="14.25" thickBot="1">
      <c r="A10595" s="211" t="s">
        <v>513</v>
      </c>
      <c r="B10595" s="216" t="str">
        <f ca="1">_xlfn.CONCAT(B10564,A10595)</f>
        <v>29B38E0B-ad</v>
      </c>
      <c r="C10595" s="24"/>
      <c r="D10595" s="185"/>
      <c r="E10595" s="29"/>
      <c r="F10595" s="28"/>
      <c r="G10595" s="33">
        <f t="shared" si="301"/>
        <v>0</v>
      </c>
      <c r="H10595" s="234"/>
    </row>
    <row r="10596" spans="1:9" ht="14.25" thickBot="1">
      <c r="A10596" s="211" t="s">
        <v>514</v>
      </c>
      <c r="B10596" s="216" t="str">
        <f ca="1">_xlfn.CONCAT(B10564,A10596)</f>
        <v>29B38E0B-ae</v>
      </c>
      <c r="C10596" s="17"/>
      <c r="D10596" s="192"/>
      <c r="E10596" s="18"/>
      <c r="F10596" s="22" t="s">
        <v>26</v>
      </c>
      <c r="G10596" s="23">
        <f>SUM(G10590:G10595)</f>
        <v>2730.5743749999997</v>
      </c>
      <c r="H10596" s="234"/>
    </row>
    <row r="10597" spans="1:9" ht="15.75" thickBot="1">
      <c r="A10597" s="211" t="s">
        <v>515</v>
      </c>
      <c r="B10597" s="216" t="str">
        <f ca="1">_xlfn.CONCAT(B10564,A10597)</f>
        <v>29B38E0B-af</v>
      </c>
      <c r="C10597" s="10" t="s">
        <v>27</v>
      </c>
      <c r="D10597" s="190"/>
      <c r="E10597" s="11"/>
      <c r="F10597" s="12"/>
      <c r="G10597" s="13"/>
      <c r="H10597" s="234"/>
    </row>
    <row r="10598" spans="1:9" ht="14.25" thickBot="1">
      <c r="A10598" s="211" t="s">
        <v>516</v>
      </c>
      <c r="B10598" s="216" t="str">
        <f ca="1">_xlfn.CONCAT(B10564,A10598)</f>
        <v>29B38E0B-ag</v>
      </c>
      <c r="C10598" s="14" t="s">
        <v>1</v>
      </c>
      <c r="D10598" s="15" t="s">
        <v>28</v>
      </c>
      <c r="E10598" s="15" t="s">
        <v>20</v>
      </c>
      <c r="F10598" s="16" t="s">
        <v>21</v>
      </c>
      <c r="G10598" s="15" t="s">
        <v>5</v>
      </c>
      <c r="H10598" s="234"/>
    </row>
    <row r="10599" spans="1:9">
      <c r="A10599" s="211" t="s">
        <v>517</v>
      </c>
      <c r="B10599" s="216" t="str">
        <f ca="1">_xlfn.CONCAT(B10564,A10599)</f>
        <v>29B38E0B-ah</v>
      </c>
      <c r="C10599" s="30" t="s">
        <v>29</v>
      </c>
      <c r="D10599" s="186">
        <f>'H-MO'!$N$77</f>
        <v>725918.52892505517</v>
      </c>
      <c r="E10599" s="31">
        <f>+D10599/8</f>
        <v>90739.816115631897</v>
      </c>
      <c r="F10599" s="32">
        <v>0.44</v>
      </c>
      <c r="G10599" s="33">
        <f>+E10599*F10599</f>
        <v>39925.519090878035</v>
      </c>
      <c r="H10599" s="234"/>
      <c r="I10599" s="229"/>
    </row>
    <row r="10600" spans="1:9">
      <c r="A10600" s="211" t="s">
        <v>518</v>
      </c>
      <c r="B10600" s="216" t="str">
        <f ca="1">_xlfn.CONCAT(B10564,A10600)</f>
        <v>29B38E0B-ai</v>
      </c>
      <c r="C10600" s="34" t="s">
        <v>30</v>
      </c>
      <c r="D10600" s="187">
        <f>'H-MO'!$N$86</f>
        <v>685561.39085756091</v>
      </c>
      <c r="E10600" s="29">
        <f>+D10600/8</f>
        <v>85695.173857195114</v>
      </c>
      <c r="F10600" s="28">
        <v>0</v>
      </c>
      <c r="G10600" s="33">
        <f>+E10600*F10600</f>
        <v>0</v>
      </c>
      <c r="H10600" s="234"/>
    </row>
    <row r="10601" spans="1:9" ht="14.25" thickBot="1">
      <c r="A10601" s="211" t="s">
        <v>519</v>
      </c>
      <c r="B10601" s="216" t="str">
        <f ca="1">_xlfn.CONCAT(B10564,A10601)</f>
        <v>29B38E0B-aj</v>
      </c>
      <c r="C10601" s="34"/>
      <c r="D10601" s="187"/>
      <c r="E10601" s="29"/>
      <c r="F10601" s="28"/>
      <c r="G10601" s="33">
        <f>+E10601*F10601</f>
        <v>0</v>
      </c>
    </row>
    <row r="10602" spans="1:9" ht="14.25" thickBot="1">
      <c r="A10602" s="211" t="s">
        <v>520</v>
      </c>
      <c r="B10602" s="216" t="str">
        <f ca="1">_xlfn.CONCAT(B10564,A10602)</f>
        <v>29B38E0B-ak</v>
      </c>
      <c r="C10602" s="34"/>
      <c r="D10602" s="185"/>
      <c r="E10602" s="26"/>
      <c r="F10602" s="36" t="s">
        <v>31</v>
      </c>
      <c r="G10602" s="23">
        <f>SUM(G10599:G10601)</f>
        <v>39925.519090878035</v>
      </c>
    </row>
    <row r="10603" spans="1:9" ht="14.25" thickBot="1">
      <c r="A10603" s="211" t="s">
        <v>521</v>
      </c>
      <c r="B10603" s="216" t="str">
        <f ca="1">_xlfn.CONCAT(B10564,A10603)</f>
        <v>29B38E0B-al</v>
      </c>
      <c r="C10603" s="37"/>
      <c r="E10603" s="38"/>
      <c r="F10603" s="22"/>
      <c r="G10603" s="39"/>
    </row>
    <row r="10604" spans="1:9" ht="16.5" thickBot="1">
      <c r="A10604" s="211" t="s">
        <v>522</v>
      </c>
      <c r="B10604" s="216" t="str">
        <f ca="1">_xlfn.CONCAT(B10564,A10604)</f>
        <v>29B38E0B-am</v>
      </c>
      <c r="C10604" s="40"/>
      <c r="D10604" s="193"/>
      <c r="E10604" s="41"/>
      <c r="F10604" s="42"/>
      <c r="G10604" s="43">
        <f>+G10587+G10596+G10602</f>
        <v>89394.093465878032</v>
      </c>
    </row>
    <row r="10605" spans="1:9" ht="21.75" thickBot="1">
      <c r="B10605" s="212" t="s">
        <v>550</v>
      </c>
      <c r="C10605" s="2"/>
      <c r="D10605" s="183"/>
      <c r="F10605" s="4"/>
      <c r="G10605" s="5"/>
    </row>
    <row r="10606" spans="1:9" ht="18.75">
      <c r="A10606" s="213"/>
      <c r="B10606" s="214">
        <v>241</v>
      </c>
      <c r="C10606" s="242" t="str">
        <f ca="1">_xlfn.XLOOKUP(B10606,Cantidades!$A$10:$A$314,Cantidades!$C$10:$C$314,,0,1)</f>
        <v>Suministro e instalación de alimentador 3#12(F)+1#12(T) de cobre</v>
      </c>
      <c r="D10606" s="243"/>
      <c r="E10606" s="243"/>
      <c r="F10606" s="243"/>
      <c r="G10606" s="244"/>
      <c r="H10606" s="213"/>
    </row>
    <row r="10607" spans="1:9" ht="19.5" thickBot="1">
      <c r="A10607" s="215"/>
      <c r="B10607" s="216" t="s">
        <v>550</v>
      </c>
      <c r="C10607" s="177"/>
      <c r="D10607" s="189"/>
      <c r="E10607" s="178"/>
      <c r="F10607" s="179" t="s">
        <v>636</v>
      </c>
      <c r="G10607" s="209" t="str">
        <f ca="1">B10608</f>
        <v>265D173D-</v>
      </c>
      <c r="H10607" s="215"/>
    </row>
    <row r="10608" spans="1:9" ht="15.75" thickBot="1">
      <c r="B10608" s="212" t="str">
        <f ca="1">_xlfn.XLOOKUP(C10606,Cantidades!$C$1:$C$314,Cantidades!$B$1:$B$314,"",0,1)</f>
        <v>265D173D-</v>
      </c>
      <c r="C10608" s="10" t="s">
        <v>0</v>
      </c>
      <c r="D10608" s="190"/>
      <c r="E10608" s="11"/>
      <c r="F10608" s="12"/>
      <c r="G10608" s="13"/>
    </row>
    <row r="10609" spans="1:8" ht="14.25" thickBot="1">
      <c r="A10609" s="215"/>
      <c r="B10609" s="216" t="s">
        <v>550</v>
      </c>
      <c r="C10609" s="14" t="s">
        <v>1</v>
      </c>
      <c r="D10609" s="15" t="s">
        <v>2</v>
      </c>
      <c r="E10609" s="15" t="s">
        <v>3</v>
      </c>
      <c r="F10609" s="16" t="s">
        <v>4</v>
      </c>
      <c r="G10609" s="15" t="s">
        <v>5</v>
      </c>
      <c r="H10609" s="215"/>
    </row>
    <row r="10610" spans="1:8" ht="15">
      <c r="A10610" s="211" t="s">
        <v>484</v>
      </c>
      <c r="B10610" s="216" t="str">
        <f ca="1">_xlfn.CONCAT(B10608,A10610)</f>
        <v>265D173D-A</v>
      </c>
      <c r="C10610" s="17" t="str">
        <f>_xlfn.XLOOKUP(H10610,'Materiales unitario'!$A$1:$A$2500,'Materiales unitario'!B$1:B$2500,,0,1)</f>
        <v>Cable de cobre aislado #12 AWG-THHN/THWN Color negro</v>
      </c>
      <c r="D10610" s="184" t="str">
        <f>_xlfn.XLOOKUP(H10610,'Materiales unitario'!A$1:A$2500,'Materiales unitario'!C$1:C$2500,,0,1)</f>
        <v>ml</v>
      </c>
      <c r="E10610" s="197">
        <f>_xlfn.XLOOKUP(H10610,'Materiales unitario'!$A$1:$A$2500,'Materiales unitario'!D$1:D$2500,,0,1)</f>
        <v>3020</v>
      </c>
      <c r="F10610" s="19">
        <v>4.2</v>
      </c>
      <c r="G10610" s="20">
        <f>+E10610*F10610</f>
        <v>12684</v>
      </c>
      <c r="H10610" s="217" t="s">
        <v>267</v>
      </c>
    </row>
    <row r="10611" spans="1:8" ht="15">
      <c r="A10611" s="211" t="s">
        <v>485</v>
      </c>
      <c r="B10611" s="216" t="str">
        <f ca="1">_xlfn.CONCAT(B10608,A10611)</f>
        <v>265D173D-B</v>
      </c>
      <c r="C10611" s="17" t="str">
        <f>_xlfn.XLOOKUP(H10611,'Materiales unitario'!$A$1:$A$2500,'Materiales unitario'!B$1:B$2500,,0,1)</f>
        <v>Termoencogible</v>
      </c>
      <c r="D10611" s="184" t="str">
        <f>_xlfn.XLOOKUP(H10611,'Materiales unitario'!A$1:A$2500,'Materiales unitario'!C$1:C$2500,,0,1)</f>
        <v>un</v>
      </c>
      <c r="E10611" s="197">
        <f>_xlfn.XLOOKUP(H10611,'Materiales unitario'!$A$1:$A$2500,'Materiales unitario'!D$1:D$2500,,0,1)</f>
        <v>5000</v>
      </c>
      <c r="F10611" s="19">
        <v>0.1</v>
      </c>
      <c r="G10611" s="20">
        <f>+E10611*F10611</f>
        <v>500</v>
      </c>
      <c r="H10611" s="217" t="s">
        <v>373</v>
      </c>
    </row>
    <row r="10612" spans="1:8" ht="15">
      <c r="A10612" s="211" t="s">
        <v>486</v>
      </c>
      <c r="B10612" s="216" t="str">
        <f ca="1">_xlfn.CONCAT(B10608,A10612)</f>
        <v>265D173D-C</v>
      </c>
      <c r="C10612" s="17"/>
      <c r="D10612" s="184"/>
      <c r="E10612" s="197"/>
      <c r="F10612" s="19"/>
      <c r="G10612" s="20"/>
      <c r="H10612" s="217"/>
    </row>
    <row r="10613" spans="1:8" ht="15">
      <c r="A10613" s="211" t="s">
        <v>487</v>
      </c>
      <c r="B10613" s="216" t="str">
        <f ca="1">_xlfn.CONCAT(B10608,A10613)</f>
        <v>265D173D-D</v>
      </c>
      <c r="C10613" s="17"/>
      <c r="D10613" s="184"/>
      <c r="E10613" s="197"/>
      <c r="F10613" s="19"/>
      <c r="G10613" s="20"/>
      <c r="H10613" s="217"/>
    </row>
    <row r="10614" spans="1:8" ht="15">
      <c r="A10614" s="211" t="s">
        <v>488</v>
      </c>
      <c r="B10614" s="216" t="str">
        <f ca="1">_xlfn.CONCAT(B10608,A10614)</f>
        <v>265D173D-E</v>
      </c>
      <c r="C10614" s="17"/>
      <c r="D10614" s="184"/>
      <c r="E10614" s="197"/>
      <c r="F10614" s="19"/>
      <c r="G10614" s="20"/>
      <c r="H10614" s="217"/>
    </row>
    <row r="10615" spans="1:8">
      <c r="A10615" s="211" t="s">
        <v>489</v>
      </c>
      <c r="B10615" s="216" t="str">
        <f ca="1">_xlfn.CONCAT(B10608,A10615)</f>
        <v>265D173D-F</v>
      </c>
      <c r="C10615" s="17"/>
      <c r="D10615" s="184"/>
      <c r="E10615" s="197"/>
      <c r="F10615" s="19"/>
      <c r="G10615" s="20"/>
    </row>
    <row r="10616" spans="1:8">
      <c r="A10616" s="211" t="s">
        <v>490</v>
      </c>
      <c r="B10616" s="216" t="str">
        <f ca="1">_xlfn.CONCAT(B10608,A10616)</f>
        <v>265D173D-G</v>
      </c>
      <c r="C10616" s="17"/>
      <c r="D10616" s="184"/>
      <c r="E10616" s="197"/>
      <c r="F10616" s="19"/>
      <c r="G10616" s="20"/>
    </row>
    <row r="10617" spans="1:8">
      <c r="A10617" s="211" t="s">
        <v>491</v>
      </c>
      <c r="B10617" s="216" t="str">
        <f ca="1">_xlfn.CONCAT(B10608,A10617)</f>
        <v>265D173D-H</v>
      </c>
      <c r="C10617" s="17"/>
      <c r="D10617" s="184"/>
      <c r="E10617" s="197"/>
      <c r="F10617" s="19"/>
      <c r="G10617" s="20"/>
    </row>
    <row r="10618" spans="1:8">
      <c r="A10618" s="211" t="s">
        <v>492</v>
      </c>
      <c r="B10618" s="216" t="str">
        <f ca="1">_xlfn.CONCAT(B10608,A10618)</f>
        <v>265D173D-I</v>
      </c>
      <c r="C10618" s="17"/>
      <c r="D10618" s="184"/>
      <c r="E10618" s="197"/>
      <c r="F10618" s="19"/>
      <c r="G10618" s="20"/>
    </row>
    <row r="10619" spans="1:8">
      <c r="A10619" s="211" t="s">
        <v>493</v>
      </c>
      <c r="B10619" s="216" t="str">
        <f ca="1">_xlfn.CONCAT(B10608,A10619)</f>
        <v>265D173D-J</v>
      </c>
      <c r="C10619" s="17"/>
      <c r="D10619" s="184"/>
      <c r="E10619" s="197"/>
      <c r="F10619" s="19"/>
      <c r="G10619" s="20"/>
    </row>
    <row r="10620" spans="1:8">
      <c r="A10620" s="211" t="s">
        <v>494</v>
      </c>
      <c r="B10620" s="216" t="str">
        <f ca="1">_xlfn.CONCAT(B10608,A10620)</f>
        <v>265D173D-K</v>
      </c>
      <c r="C10620" s="17"/>
      <c r="D10620" s="184"/>
      <c r="E10620" s="197"/>
      <c r="F10620" s="19"/>
      <c r="G10620" s="20"/>
    </row>
    <row r="10621" spans="1:8">
      <c r="A10621" s="211" t="s">
        <v>495</v>
      </c>
      <c r="B10621" s="216" t="str">
        <f ca="1">_xlfn.CONCAT(B10608,A10621)</f>
        <v>265D173D-L</v>
      </c>
      <c r="C10621" s="17"/>
      <c r="D10621" s="184"/>
      <c r="E10621" s="197"/>
      <c r="F10621" s="19"/>
      <c r="G10621" s="20"/>
    </row>
    <row r="10622" spans="1:8">
      <c r="A10622" s="211" t="s">
        <v>496</v>
      </c>
      <c r="B10622" s="216" t="str">
        <f ca="1">_xlfn.CONCAT(B10608,A10622)</f>
        <v>265D173D-M</v>
      </c>
      <c r="C10622" s="17"/>
      <c r="D10622" s="184"/>
      <c r="E10622" s="197"/>
      <c r="F10622" s="19"/>
      <c r="G10622" s="20"/>
    </row>
    <row r="10623" spans="1:8">
      <c r="A10623" s="211" t="s">
        <v>497</v>
      </c>
      <c r="B10623" s="216" t="str">
        <f ca="1">_xlfn.CONCAT(B10608,A10623)</f>
        <v>265D173D-N</v>
      </c>
      <c r="C10623" s="17"/>
      <c r="D10623" s="184"/>
      <c r="E10623" s="197"/>
      <c r="F10623" s="19"/>
      <c r="G10623" s="20"/>
    </row>
    <row r="10624" spans="1:8">
      <c r="A10624" s="211" t="s">
        <v>498</v>
      </c>
      <c r="B10624" s="216" t="str">
        <f ca="1">_xlfn.CONCAT(B10608,A10624)</f>
        <v>265D173D-O</v>
      </c>
      <c r="C10624" s="17"/>
      <c r="D10624" s="184"/>
      <c r="E10624" s="197"/>
      <c r="F10624" s="19"/>
      <c r="G10624" s="20"/>
    </row>
    <row r="10625" spans="1:8">
      <c r="A10625" s="211" t="s">
        <v>499</v>
      </c>
      <c r="B10625" s="216" t="str">
        <f ca="1">_xlfn.CONCAT(B10608,A10625)</f>
        <v>265D173D-P</v>
      </c>
      <c r="C10625" s="17"/>
      <c r="D10625" s="184"/>
      <c r="E10625" s="197"/>
      <c r="F10625" s="19"/>
      <c r="G10625" s="20"/>
    </row>
    <row r="10626" spans="1:8">
      <c r="A10626" s="211" t="s">
        <v>500</v>
      </c>
      <c r="B10626" s="216" t="str">
        <f ca="1">_xlfn.CONCAT(B10608,A10626)</f>
        <v>265D173D-Q</v>
      </c>
      <c r="C10626" s="17"/>
      <c r="D10626" s="184"/>
      <c r="E10626" s="197"/>
      <c r="F10626" s="19"/>
      <c r="G10626" s="20"/>
    </row>
    <row r="10627" spans="1:8">
      <c r="A10627" s="211" t="s">
        <v>501</v>
      </c>
      <c r="B10627" s="216" t="str">
        <f ca="1">_xlfn.CONCAT(B10608,A10627)</f>
        <v>265D173D-R</v>
      </c>
      <c r="C10627" s="17"/>
      <c r="D10627" s="184"/>
      <c r="E10627" s="197"/>
      <c r="F10627" s="19"/>
      <c r="G10627" s="20"/>
    </row>
    <row r="10628" spans="1:8">
      <c r="A10628" s="211" t="s">
        <v>502</v>
      </c>
      <c r="B10628" s="216" t="str">
        <f ca="1">_xlfn.CONCAT(B10608,A10628)</f>
        <v>265D173D-S</v>
      </c>
      <c r="C10628" s="17"/>
      <c r="D10628" s="184"/>
      <c r="E10628" s="197"/>
      <c r="F10628" s="19"/>
      <c r="G10628" s="20"/>
    </row>
    <row r="10629" spans="1:8">
      <c r="A10629" s="211" t="s">
        <v>503</v>
      </c>
      <c r="B10629" s="216" t="str">
        <f ca="1">_xlfn.CONCAT(B10608,A10629)</f>
        <v>265D173D-T</v>
      </c>
      <c r="C10629" s="17"/>
      <c r="D10629" s="184"/>
      <c r="E10629" s="197"/>
      <c r="F10629" s="19"/>
      <c r="G10629" s="20"/>
    </row>
    <row r="10630" spans="1:8" ht="14.25" thickBot="1">
      <c r="A10630" s="211" t="s">
        <v>504</v>
      </c>
      <c r="B10630" s="216" t="str">
        <f ca="1">_xlfn.CONCAT(B10608,A10630)</f>
        <v>265D173D-U</v>
      </c>
      <c r="C10630" s="17"/>
      <c r="D10630" s="184"/>
      <c r="E10630" s="197"/>
      <c r="F10630" s="19"/>
      <c r="G10630" s="20"/>
    </row>
    <row r="10631" spans="1:8" ht="14.25" thickBot="1">
      <c r="A10631" s="211" t="s">
        <v>505</v>
      </c>
      <c r="B10631" s="216" t="str">
        <f ca="1">_xlfn.CONCAT(B10608,A10631)</f>
        <v>265D173D-V</v>
      </c>
      <c r="C10631" s="17" t="s">
        <v>17</v>
      </c>
      <c r="D10631" s="192" t="s">
        <v>17</v>
      </c>
      <c r="E10631" s="18"/>
      <c r="F10631" s="22" t="s">
        <v>18</v>
      </c>
      <c r="G10631" s="23">
        <f>SUM(G10610:G10630)</f>
        <v>13184</v>
      </c>
    </row>
    <row r="10632" spans="1:8" ht="15.75" thickBot="1">
      <c r="A10632" s="211" t="s">
        <v>506</v>
      </c>
      <c r="B10632" s="216" t="str">
        <f ca="1">_xlfn.CONCAT(B10608,A10632)</f>
        <v>265D173D-W</v>
      </c>
      <c r="C10632" s="10" t="s">
        <v>19</v>
      </c>
      <c r="D10632" s="190"/>
      <c r="E10632" s="11"/>
      <c r="F10632" s="12"/>
      <c r="G10632" s="13"/>
    </row>
    <row r="10633" spans="1:8" ht="14.25" thickBot="1">
      <c r="A10633" s="211" t="s">
        <v>507</v>
      </c>
      <c r="B10633" s="216" t="str">
        <f ca="1">_xlfn.CONCAT(B10608,A10633)</f>
        <v>265D173D-X</v>
      </c>
      <c r="C10633" s="14" t="s">
        <v>1</v>
      </c>
      <c r="D10633" s="15"/>
      <c r="E10633" s="15" t="s">
        <v>20</v>
      </c>
      <c r="F10633" s="16" t="s">
        <v>21</v>
      </c>
      <c r="G10633" s="15" t="s">
        <v>5</v>
      </c>
      <c r="H10633" s="215"/>
    </row>
    <row r="10634" spans="1:8">
      <c r="A10634" s="211" t="s">
        <v>508</v>
      </c>
      <c r="B10634" s="216" t="str">
        <f ca="1">_xlfn.CONCAT(B10608,A10634)</f>
        <v>265D173D-Y</v>
      </c>
      <c r="C10634" s="24" t="s">
        <v>22</v>
      </c>
      <c r="D10634" s="184"/>
      <c r="E10634" s="25">
        <f>_xlfn.XLOOKUP(C10634,'H-MO'!B$7:B$30,'H-MO'!D$7:D$30,,0,1)</f>
        <v>2436.5624999999995</v>
      </c>
      <c r="F10634" s="19">
        <v>5.5E-2</v>
      </c>
      <c r="G10634" s="33">
        <f t="shared" ref="G10634:G10639" si="302">+E10634*F10634</f>
        <v>134.01093749999998</v>
      </c>
    </row>
    <row r="10635" spans="1:8">
      <c r="A10635" s="211" t="s">
        <v>509</v>
      </c>
      <c r="B10635" s="216" t="str">
        <f ca="1">_xlfn.CONCAT(B10608,A10635)</f>
        <v>265D173D-Z</v>
      </c>
      <c r="C10635" s="24" t="s">
        <v>23</v>
      </c>
      <c r="D10635" s="184"/>
      <c r="E10635" s="25">
        <f>_xlfn.XLOOKUP(C10635,'H-MO'!B$7:B$30,'H-MO'!D$7:D$30,,0,1)</f>
        <v>1461.9374999999998</v>
      </c>
      <c r="F10635" s="19">
        <v>0.04</v>
      </c>
      <c r="G10635" s="33">
        <f t="shared" si="302"/>
        <v>58.477499999999992</v>
      </c>
    </row>
    <row r="10636" spans="1:8">
      <c r="A10636" s="211" t="s">
        <v>510</v>
      </c>
      <c r="B10636" s="216" t="str">
        <f ca="1">_xlfn.CONCAT(B10608,A10636)</f>
        <v>265D173D-aa</v>
      </c>
      <c r="C10636" s="24" t="s">
        <v>24</v>
      </c>
      <c r="D10636" s="185"/>
      <c r="E10636" s="25">
        <f>_xlfn.XLOOKUP(C10636,'H-MO'!B$7:B$30,'H-MO'!D$7:D$30,,0,1)</f>
        <v>29238.749999999996</v>
      </c>
      <c r="F10636" s="28">
        <v>0.01</v>
      </c>
      <c r="G10636" s="33">
        <f t="shared" si="302"/>
        <v>292.38749999999999</v>
      </c>
    </row>
    <row r="10637" spans="1:8">
      <c r="A10637" s="211" t="s">
        <v>511</v>
      </c>
      <c r="B10637" s="216" t="str">
        <f ca="1">_xlfn.CONCAT(B10608,A10637)</f>
        <v>265D173D-ab</v>
      </c>
      <c r="C10637" s="24" t="s">
        <v>25</v>
      </c>
      <c r="D10637" s="185"/>
      <c r="E10637" s="25">
        <f>_xlfn.XLOOKUP(C10637,'H-MO'!B$7:B$30,'H-MO'!D$7:D$30,,0,1)</f>
        <v>2761.4374999999995</v>
      </c>
      <c r="F10637" s="28">
        <v>0.05</v>
      </c>
      <c r="G10637" s="33">
        <f t="shared" si="302"/>
        <v>138.07187499999998</v>
      </c>
    </row>
    <row r="10638" spans="1:8">
      <c r="A10638" s="211" t="s">
        <v>512</v>
      </c>
      <c r="B10638" s="216" t="str">
        <f ca="1">_xlfn.CONCAT(B10608,A10638)</f>
        <v>265D173D-ac</v>
      </c>
      <c r="C10638" s="24"/>
      <c r="D10638" s="185"/>
      <c r="E10638" s="29"/>
      <c r="F10638" s="28"/>
      <c r="G10638" s="33">
        <f t="shared" si="302"/>
        <v>0</v>
      </c>
    </row>
    <row r="10639" spans="1:8" ht="14.25" thickBot="1">
      <c r="A10639" s="211" t="s">
        <v>513</v>
      </c>
      <c r="B10639" s="216" t="str">
        <f ca="1">_xlfn.CONCAT(B10608,A10639)</f>
        <v>265D173D-ad</v>
      </c>
      <c r="C10639" s="24"/>
      <c r="D10639" s="185"/>
      <c r="E10639" s="29"/>
      <c r="F10639" s="28"/>
      <c r="G10639" s="33">
        <f t="shared" si="302"/>
        <v>0</v>
      </c>
    </row>
    <row r="10640" spans="1:8" ht="14.25" thickBot="1">
      <c r="A10640" s="211" t="s">
        <v>514</v>
      </c>
      <c r="B10640" s="216" t="str">
        <f ca="1">_xlfn.CONCAT(B10608,A10640)</f>
        <v>265D173D-ae</v>
      </c>
      <c r="C10640" s="17"/>
      <c r="D10640" s="192"/>
      <c r="E10640" s="18"/>
      <c r="F10640" s="22" t="s">
        <v>26</v>
      </c>
      <c r="G10640" s="23">
        <f>SUM(G10634:G10639)</f>
        <v>622.94781249999994</v>
      </c>
    </row>
    <row r="10641" spans="1:8" ht="15.75" thickBot="1">
      <c r="A10641" s="211" t="s">
        <v>515</v>
      </c>
      <c r="B10641" s="216" t="str">
        <f ca="1">_xlfn.CONCAT(B10608,A10641)</f>
        <v>265D173D-af</v>
      </c>
      <c r="C10641" s="10" t="s">
        <v>27</v>
      </c>
      <c r="D10641" s="190"/>
      <c r="E10641" s="11"/>
      <c r="F10641" s="12"/>
      <c r="G10641" s="13"/>
    </row>
    <row r="10642" spans="1:8" ht="14.25" thickBot="1">
      <c r="A10642" s="211" t="s">
        <v>516</v>
      </c>
      <c r="B10642" s="216" t="str">
        <f ca="1">_xlfn.CONCAT(B10608,A10642)</f>
        <v>265D173D-ag</v>
      </c>
      <c r="C10642" s="14" t="s">
        <v>1</v>
      </c>
      <c r="D10642" s="15" t="s">
        <v>28</v>
      </c>
      <c r="E10642" s="15" t="s">
        <v>20</v>
      </c>
      <c r="F10642" s="16" t="s">
        <v>21</v>
      </c>
      <c r="G10642" s="15" t="s">
        <v>5</v>
      </c>
      <c r="H10642" s="215"/>
    </row>
    <row r="10643" spans="1:8">
      <c r="A10643" s="211" t="s">
        <v>517</v>
      </c>
      <c r="B10643" s="216" t="str">
        <f ca="1">_xlfn.CONCAT(B10608,A10643)</f>
        <v>265D173D-ah</v>
      </c>
      <c r="C10643" s="30" t="s">
        <v>29</v>
      </c>
      <c r="D10643" s="186">
        <f>'H-MO'!$N$77</f>
        <v>725918.52892505517</v>
      </c>
      <c r="E10643" s="31">
        <f>+D10643/8</f>
        <v>90739.816115631897</v>
      </c>
      <c r="F10643" s="32">
        <v>7.0000000000000007E-2</v>
      </c>
      <c r="G10643" s="33">
        <f>+E10643*F10643</f>
        <v>6351.7871280942336</v>
      </c>
    </row>
    <row r="10644" spans="1:8">
      <c r="A10644" s="211" t="s">
        <v>518</v>
      </c>
      <c r="B10644" s="216" t="str">
        <f ca="1">_xlfn.CONCAT(B10608,A10644)</f>
        <v>265D173D-ai</v>
      </c>
      <c r="C10644" s="34" t="s">
        <v>30</v>
      </c>
      <c r="D10644" s="187">
        <f>'H-MO'!$N$86</f>
        <v>685561.39085756091</v>
      </c>
      <c r="E10644" s="29">
        <f>+D10644/8</f>
        <v>85695.173857195114</v>
      </c>
      <c r="F10644" s="28">
        <v>0</v>
      </c>
      <c r="G10644" s="33">
        <f>+E10644*F10644</f>
        <v>0</v>
      </c>
    </row>
    <row r="10645" spans="1:8" ht="14.25" thickBot="1">
      <c r="A10645" s="211" t="s">
        <v>519</v>
      </c>
      <c r="B10645" s="216" t="str">
        <f ca="1">_xlfn.CONCAT(B10608,A10645)</f>
        <v>265D173D-aj</v>
      </c>
      <c r="C10645" s="34"/>
      <c r="D10645" s="187"/>
      <c r="E10645" s="29"/>
      <c r="F10645" s="28"/>
      <c r="G10645" s="33">
        <f>+E10645*F10645</f>
        <v>0</v>
      </c>
    </row>
    <row r="10646" spans="1:8" ht="14.25" thickBot="1">
      <c r="A10646" s="211" t="s">
        <v>520</v>
      </c>
      <c r="B10646" s="216" t="str">
        <f ca="1">_xlfn.CONCAT(B10608,A10646)</f>
        <v>265D173D-ak</v>
      </c>
      <c r="C10646" s="34"/>
      <c r="D10646" s="185"/>
      <c r="E10646" s="26"/>
      <c r="F10646" s="36" t="s">
        <v>31</v>
      </c>
      <c r="G10646" s="23">
        <f>SUM(G10643:G10645)</f>
        <v>6351.7871280942336</v>
      </c>
    </row>
    <row r="10647" spans="1:8" ht="14.25" thickBot="1">
      <c r="A10647" s="211" t="s">
        <v>521</v>
      </c>
      <c r="B10647" s="216" t="str">
        <f ca="1">_xlfn.CONCAT(B10608,A10647)</f>
        <v>265D173D-al</v>
      </c>
      <c r="C10647" s="37"/>
      <c r="E10647" s="38"/>
      <c r="F10647" s="22"/>
      <c r="G10647" s="39"/>
    </row>
    <row r="10648" spans="1:8" ht="16.5" thickBot="1">
      <c r="A10648" s="211" t="s">
        <v>522</v>
      </c>
      <c r="B10648" s="216" t="str">
        <f ca="1">_xlfn.CONCAT(B10608,A10648)</f>
        <v>265D173D-am</v>
      </c>
      <c r="C10648" s="40"/>
      <c r="D10648" s="193"/>
      <c r="E10648" s="41"/>
      <c r="F10648" s="42"/>
      <c r="G10648" s="43">
        <f>+G10631+G10640+G10646</f>
        <v>20158.734940594233</v>
      </c>
    </row>
    <row r="10649" spans="1:8" ht="21.75" thickBot="1">
      <c r="B10649" s="212" t="s">
        <v>550</v>
      </c>
      <c r="C10649" s="2"/>
      <c r="D10649" s="183"/>
      <c r="F10649" s="4"/>
      <c r="G10649" s="5"/>
    </row>
    <row r="10650" spans="1:8" ht="18.75">
      <c r="A10650" s="213"/>
      <c r="B10650" s="214">
        <v>242</v>
      </c>
      <c r="C10650" s="242" t="str">
        <f ca="1">_xlfn.XLOOKUP(B10650,Cantidades!$A$10:$A$314,Cantidades!$C$10:$C$314,,0,1)</f>
        <v>Suministro e instalación de acometida 3#350+350T Cu sin bornas</v>
      </c>
      <c r="D10650" s="243"/>
      <c r="E10650" s="243"/>
      <c r="F10650" s="243"/>
      <c r="G10650" s="244"/>
      <c r="H10650" s="213"/>
    </row>
    <row r="10651" spans="1:8" ht="19.5" thickBot="1">
      <c r="A10651" s="215"/>
      <c r="B10651" s="216" t="s">
        <v>550</v>
      </c>
      <c r="C10651" s="177"/>
      <c r="D10651" s="189"/>
      <c r="E10651" s="178"/>
      <c r="F10651" s="179" t="s">
        <v>636</v>
      </c>
      <c r="G10651" s="209" t="str">
        <f ca="1">B10652</f>
        <v>248B5690-</v>
      </c>
      <c r="H10651" s="215"/>
    </row>
    <row r="10652" spans="1:8" ht="15.75" thickBot="1">
      <c r="B10652" s="212" t="str">
        <f ca="1">_xlfn.XLOOKUP(C10650,Cantidades!$C$1:$C$314,Cantidades!$B$1:$B$314,"",0,1)</f>
        <v>248B5690-</v>
      </c>
      <c r="C10652" s="10" t="s">
        <v>0</v>
      </c>
      <c r="D10652" s="190"/>
      <c r="E10652" s="11"/>
      <c r="F10652" s="12"/>
      <c r="G10652" s="13"/>
    </row>
    <row r="10653" spans="1:8" ht="14.25" thickBot="1">
      <c r="A10653" s="215"/>
      <c r="B10653" s="216" t="s">
        <v>550</v>
      </c>
      <c r="C10653" s="14" t="s">
        <v>1</v>
      </c>
      <c r="D10653" s="15" t="s">
        <v>2</v>
      </c>
      <c r="E10653" s="15" t="s">
        <v>3</v>
      </c>
      <c r="F10653" s="16" t="s">
        <v>4</v>
      </c>
      <c r="G10653" s="15" t="s">
        <v>5</v>
      </c>
      <c r="H10653" s="215"/>
    </row>
    <row r="10654" spans="1:8" ht="15">
      <c r="A10654" s="211" t="s">
        <v>484</v>
      </c>
      <c r="B10654" s="216" t="str">
        <f ca="1">_xlfn.CONCAT(B10652,A10654)</f>
        <v>248B5690-A</v>
      </c>
      <c r="C10654" s="17" t="str">
        <f>_xlfn.XLOOKUP(H10654,'Materiales unitario'!$A$1:$A$2500,'Materiales unitario'!B$1:B$2500,,0,1)</f>
        <v>Cable de cobre aislado #350 MCM-THHN/THWN Color negro</v>
      </c>
      <c r="D10654" s="184" t="str">
        <f>_xlfn.XLOOKUP(H10654,'Materiales unitario'!A$1:A$2500,'Materiales unitario'!C$1:C$2500,,0,1)</f>
        <v>ml</v>
      </c>
      <c r="E10654" s="197">
        <f>_xlfn.XLOOKUP(H10654,'Materiales unitario'!$A$1:$A$2500,'Materiales unitario'!D$1:D$2500,,0,1)</f>
        <v>132540</v>
      </c>
      <c r="F10654" s="19">
        <v>4.2</v>
      </c>
      <c r="G10654" s="20">
        <f>+E10654*F10654</f>
        <v>556668</v>
      </c>
      <c r="H10654" s="217" t="s">
        <v>270</v>
      </c>
    </row>
    <row r="10655" spans="1:8" ht="15">
      <c r="A10655" s="211" t="s">
        <v>485</v>
      </c>
      <c r="B10655" s="216" t="str">
        <f ca="1">_xlfn.CONCAT(B10652,A10655)</f>
        <v>248B5690-B</v>
      </c>
      <c r="C10655" s="17" t="str">
        <f>_xlfn.XLOOKUP(H10655,'Materiales unitario'!$A$1:$A$2500,'Materiales unitario'!B$1:B$2500,,0,1)</f>
        <v>Termoencogible</v>
      </c>
      <c r="D10655" s="184" t="str">
        <f>_xlfn.XLOOKUP(H10655,'Materiales unitario'!A$1:A$2500,'Materiales unitario'!C$1:C$2500,,0,1)</f>
        <v>un</v>
      </c>
      <c r="E10655" s="197">
        <f>_xlfn.XLOOKUP(H10655,'Materiales unitario'!$A$1:$A$2500,'Materiales unitario'!D$1:D$2500,,0,1)</f>
        <v>5000</v>
      </c>
      <c r="F10655" s="19">
        <v>0.3</v>
      </c>
      <c r="G10655" s="20">
        <f t="shared" ref="G10655" si="303">+E10655*F10655</f>
        <v>1500</v>
      </c>
      <c r="H10655" s="217" t="s">
        <v>373</v>
      </c>
    </row>
    <row r="10656" spans="1:8" ht="15">
      <c r="A10656" s="211" t="s">
        <v>486</v>
      </c>
      <c r="B10656" s="216" t="str">
        <f ca="1">_xlfn.CONCAT(B10652,A10656)</f>
        <v>248B5690-C</v>
      </c>
      <c r="C10656" s="17"/>
      <c r="D10656" s="184"/>
      <c r="E10656" s="197"/>
      <c r="F10656" s="19"/>
      <c r="G10656" s="20"/>
      <c r="H10656" s="217"/>
    </row>
    <row r="10657" spans="1:8" ht="15">
      <c r="A10657" s="211" t="s">
        <v>487</v>
      </c>
      <c r="B10657" s="216" t="str">
        <f ca="1">_xlfn.CONCAT(B10652,A10657)</f>
        <v>248B5690-D</v>
      </c>
      <c r="C10657" s="17"/>
      <c r="D10657" s="184"/>
      <c r="E10657" s="197"/>
      <c r="F10657" s="19"/>
      <c r="G10657" s="20"/>
      <c r="H10657" s="217"/>
    </row>
    <row r="10658" spans="1:8" ht="15">
      <c r="A10658" s="211" t="s">
        <v>488</v>
      </c>
      <c r="B10658" s="216" t="str">
        <f ca="1">_xlfn.CONCAT(B10652,A10658)</f>
        <v>248B5690-E</v>
      </c>
      <c r="C10658" s="17"/>
      <c r="D10658" s="184"/>
      <c r="E10658" s="197"/>
      <c r="F10658" s="19"/>
      <c r="G10658" s="20"/>
      <c r="H10658" s="217"/>
    </row>
    <row r="10659" spans="1:8" ht="15">
      <c r="A10659" s="211" t="s">
        <v>489</v>
      </c>
      <c r="B10659" s="216" t="str">
        <f ca="1">_xlfn.CONCAT(B10652,A10659)</f>
        <v>248B5690-F</v>
      </c>
      <c r="C10659" s="17"/>
      <c r="D10659" s="184"/>
      <c r="E10659" s="197"/>
      <c r="F10659" s="19"/>
      <c r="G10659" s="20"/>
      <c r="H10659" s="217"/>
    </row>
    <row r="10660" spans="1:8" ht="15">
      <c r="A10660" s="211" t="s">
        <v>490</v>
      </c>
      <c r="B10660" s="216" t="str">
        <f ca="1">_xlfn.CONCAT(B10652,A10660)</f>
        <v>248B5690-G</v>
      </c>
      <c r="C10660" s="17"/>
      <c r="D10660" s="184"/>
      <c r="E10660" s="197"/>
      <c r="F10660" s="19"/>
      <c r="G10660" s="20"/>
      <c r="H10660" s="217"/>
    </row>
    <row r="10661" spans="1:8" ht="15">
      <c r="A10661" s="211" t="s">
        <v>491</v>
      </c>
      <c r="B10661" s="216" t="str">
        <f ca="1">_xlfn.CONCAT(B10652,A10661)</f>
        <v>248B5690-H</v>
      </c>
      <c r="C10661" s="17"/>
      <c r="D10661" s="184"/>
      <c r="E10661" s="197"/>
      <c r="F10661" s="19"/>
      <c r="G10661" s="20"/>
      <c r="H10661" s="217"/>
    </row>
    <row r="10662" spans="1:8" ht="15">
      <c r="A10662" s="211" t="s">
        <v>492</v>
      </c>
      <c r="B10662" s="216" t="str">
        <f ca="1">_xlfn.CONCAT(B10652,A10662)</f>
        <v>248B5690-I</v>
      </c>
      <c r="C10662" s="17"/>
      <c r="D10662" s="184"/>
      <c r="E10662" s="197"/>
      <c r="F10662" s="19"/>
      <c r="G10662" s="20"/>
      <c r="H10662" s="217"/>
    </row>
    <row r="10663" spans="1:8" ht="15">
      <c r="A10663" s="211" t="s">
        <v>493</v>
      </c>
      <c r="B10663" s="216" t="str">
        <f ca="1">_xlfn.CONCAT(B10652,A10663)</f>
        <v>248B5690-J</v>
      </c>
      <c r="C10663" s="17"/>
      <c r="D10663" s="184"/>
      <c r="E10663" s="197"/>
      <c r="F10663" s="19"/>
      <c r="G10663" s="20"/>
      <c r="H10663" s="217"/>
    </row>
    <row r="10664" spans="1:8" ht="15">
      <c r="A10664" s="211" t="s">
        <v>494</v>
      </c>
      <c r="B10664" s="216" t="str">
        <f ca="1">_xlfn.CONCAT(B10652,A10664)</f>
        <v>248B5690-K</v>
      </c>
      <c r="C10664" s="17"/>
      <c r="D10664" s="184"/>
      <c r="E10664" s="197"/>
      <c r="F10664" s="19"/>
      <c r="G10664" s="20"/>
      <c r="H10664" s="217"/>
    </row>
    <row r="10665" spans="1:8" ht="15">
      <c r="A10665" s="211" t="s">
        <v>495</v>
      </c>
      <c r="B10665" s="216" t="str">
        <f ca="1">_xlfn.CONCAT(B10652,A10665)</f>
        <v>248B5690-L</v>
      </c>
      <c r="C10665" s="17"/>
      <c r="D10665" s="184"/>
      <c r="E10665" s="197"/>
      <c r="F10665" s="19"/>
      <c r="G10665" s="20"/>
      <c r="H10665" s="217"/>
    </row>
    <row r="10666" spans="1:8" ht="15">
      <c r="A10666" s="211" t="s">
        <v>496</v>
      </c>
      <c r="B10666" s="216" t="str">
        <f ca="1">_xlfn.CONCAT(B10652,A10666)</f>
        <v>248B5690-M</v>
      </c>
      <c r="C10666" s="17"/>
      <c r="D10666" s="184"/>
      <c r="E10666" s="197"/>
      <c r="F10666" s="19"/>
      <c r="G10666" s="20"/>
      <c r="H10666" s="217"/>
    </row>
    <row r="10667" spans="1:8">
      <c r="A10667" s="211" t="s">
        <v>497</v>
      </c>
      <c r="B10667" s="216" t="str">
        <f ca="1">_xlfn.CONCAT(B10652,A10667)</f>
        <v>248B5690-N</v>
      </c>
      <c r="C10667" s="17"/>
      <c r="D10667" s="184"/>
      <c r="E10667" s="197"/>
      <c r="F10667" s="19"/>
      <c r="G10667" s="20"/>
    </row>
    <row r="10668" spans="1:8">
      <c r="A10668" s="211" t="s">
        <v>498</v>
      </c>
      <c r="B10668" s="216" t="str">
        <f ca="1">_xlfn.CONCAT(B10652,A10668)</f>
        <v>248B5690-O</v>
      </c>
      <c r="C10668" s="17"/>
      <c r="D10668" s="184"/>
      <c r="E10668" s="197"/>
      <c r="F10668" s="19"/>
      <c r="G10668" s="20"/>
    </row>
    <row r="10669" spans="1:8">
      <c r="A10669" s="211" t="s">
        <v>499</v>
      </c>
      <c r="B10669" s="216" t="str">
        <f ca="1">_xlfn.CONCAT(B10652,A10669)</f>
        <v>248B5690-P</v>
      </c>
      <c r="C10669" s="17"/>
      <c r="D10669" s="184"/>
      <c r="E10669" s="197"/>
      <c r="F10669" s="19"/>
      <c r="G10669" s="20"/>
    </row>
    <row r="10670" spans="1:8">
      <c r="A10670" s="211" t="s">
        <v>500</v>
      </c>
      <c r="B10670" s="216" t="str">
        <f ca="1">_xlfn.CONCAT(B10652,A10670)</f>
        <v>248B5690-Q</v>
      </c>
      <c r="C10670" s="17"/>
      <c r="D10670" s="184"/>
      <c r="E10670" s="197"/>
      <c r="F10670" s="19"/>
      <c r="G10670" s="20"/>
    </row>
    <row r="10671" spans="1:8">
      <c r="A10671" s="211" t="s">
        <v>501</v>
      </c>
      <c r="B10671" s="216" t="str">
        <f ca="1">_xlfn.CONCAT(B10652,A10671)</f>
        <v>248B5690-R</v>
      </c>
      <c r="C10671" s="17"/>
      <c r="D10671" s="184"/>
      <c r="E10671" s="197"/>
      <c r="F10671" s="19"/>
      <c r="G10671" s="20"/>
    </row>
    <row r="10672" spans="1:8">
      <c r="A10672" s="211" t="s">
        <v>502</v>
      </c>
      <c r="B10672" s="216" t="str">
        <f ca="1">_xlfn.CONCAT(B10652,A10672)</f>
        <v>248B5690-S</v>
      </c>
      <c r="C10672" s="17"/>
      <c r="D10672" s="184"/>
      <c r="E10672" s="197"/>
      <c r="F10672" s="19"/>
      <c r="G10672" s="20"/>
    </row>
    <row r="10673" spans="1:8">
      <c r="A10673" s="211" t="s">
        <v>503</v>
      </c>
      <c r="B10673" s="216" t="str">
        <f ca="1">_xlfn.CONCAT(B10652,A10673)</f>
        <v>248B5690-T</v>
      </c>
      <c r="C10673" s="17"/>
      <c r="D10673" s="184"/>
      <c r="E10673" s="197"/>
      <c r="F10673" s="19"/>
      <c r="G10673" s="20"/>
    </row>
    <row r="10674" spans="1:8" ht="14.25" thickBot="1">
      <c r="A10674" s="211" t="s">
        <v>504</v>
      </c>
      <c r="B10674" s="216" t="str">
        <f ca="1">_xlfn.CONCAT(B10652,A10674)</f>
        <v>248B5690-U</v>
      </c>
      <c r="C10674" s="17"/>
      <c r="D10674" s="184"/>
      <c r="E10674" s="197"/>
      <c r="F10674" s="19"/>
      <c r="G10674" s="20"/>
    </row>
    <row r="10675" spans="1:8" ht="14.25" thickBot="1">
      <c r="A10675" s="211" t="s">
        <v>505</v>
      </c>
      <c r="B10675" s="216" t="str">
        <f ca="1">_xlfn.CONCAT(B10652,A10675)</f>
        <v>248B5690-V</v>
      </c>
      <c r="C10675" s="17" t="s">
        <v>17</v>
      </c>
      <c r="D10675" s="192" t="s">
        <v>17</v>
      </c>
      <c r="E10675" s="18"/>
      <c r="F10675" s="22" t="s">
        <v>18</v>
      </c>
      <c r="G10675" s="23">
        <f>SUM(G10654:G10674)</f>
        <v>558168</v>
      </c>
    </row>
    <row r="10676" spans="1:8" ht="15.75" thickBot="1">
      <c r="A10676" s="211" t="s">
        <v>506</v>
      </c>
      <c r="B10676" s="216" t="str">
        <f ca="1">_xlfn.CONCAT(B10652,A10676)</f>
        <v>248B5690-W</v>
      </c>
      <c r="C10676" s="10" t="s">
        <v>19</v>
      </c>
      <c r="D10676" s="190"/>
      <c r="E10676" s="11"/>
      <c r="F10676" s="12"/>
      <c r="G10676" s="13"/>
    </row>
    <row r="10677" spans="1:8" ht="14.25" thickBot="1">
      <c r="A10677" s="211" t="s">
        <v>507</v>
      </c>
      <c r="B10677" s="216" t="str">
        <f ca="1">_xlfn.CONCAT(B10652,A10677)</f>
        <v>248B5690-X</v>
      </c>
      <c r="C10677" s="14" t="s">
        <v>1</v>
      </c>
      <c r="D10677" s="15"/>
      <c r="E10677" s="15" t="s">
        <v>20</v>
      </c>
      <c r="F10677" s="16" t="s">
        <v>21</v>
      </c>
      <c r="G10677" s="15" t="s">
        <v>5</v>
      </c>
      <c r="H10677" s="215"/>
    </row>
    <row r="10678" spans="1:8">
      <c r="A10678" s="211" t="s">
        <v>508</v>
      </c>
      <c r="B10678" s="216" t="str">
        <f ca="1">_xlfn.CONCAT(B10652,A10678)</f>
        <v>248B5690-Y</v>
      </c>
      <c r="C10678" s="24" t="s">
        <v>22</v>
      </c>
      <c r="D10678" s="184"/>
      <c r="E10678" s="25">
        <f>_xlfn.XLOOKUP(C10678,'H-MO'!B$7:B$30,'H-MO'!D$7:D$30,,0,1)</f>
        <v>2436.5624999999995</v>
      </c>
      <c r="F10678" s="19">
        <v>1</v>
      </c>
      <c r="G10678" s="33">
        <f t="shared" ref="G10678:G10683" si="304">+E10678*F10678</f>
        <v>2436.5624999999995</v>
      </c>
    </row>
    <row r="10679" spans="1:8">
      <c r="A10679" s="211" t="s">
        <v>509</v>
      </c>
      <c r="B10679" s="216" t="str">
        <f ca="1">_xlfn.CONCAT(B10652,A10679)</f>
        <v>248B5690-Z</v>
      </c>
      <c r="C10679" s="24" t="s">
        <v>23</v>
      </c>
      <c r="D10679" s="184"/>
      <c r="E10679" s="25">
        <f>_xlfn.XLOOKUP(C10679,'H-MO'!B$7:B$30,'H-MO'!D$7:D$30,,0,1)</f>
        <v>1461.9374999999998</v>
      </c>
      <c r="F10679" s="19">
        <v>0.2</v>
      </c>
      <c r="G10679" s="33">
        <f t="shared" si="304"/>
        <v>292.38749999999999</v>
      </c>
    </row>
    <row r="10680" spans="1:8">
      <c r="A10680" s="211" t="s">
        <v>510</v>
      </c>
      <c r="B10680" s="216" t="str">
        <f ca="1">_xlfn.CONCAT(B10652,A10680)</f>
        <v>248B5690-aa</v>
      </c>
      <c r="C10680" s="24" t="s">
        <v>24</v>
      </c>
      <c r="D10680" s="185"/>
      <c r="E10680" s="25">
        <f>_xlfn.XLOOKUP(C10680,'H-MO'!B$7:B$30,'H-MO'!D$7:D$30,,0,1)</f>
        <v>29238.749999999996</v>
      </c>
      <c r="F10680" s="28">
        <v>0.1</v>
      </c>
      <c r="G10680" s="33">
        <f t="shared" si="304"/>
        <v>2923.875</v>
      </c>
    </row>
    <row r="10681" spans="1:8">
      <c r="A10681" s="211" t="s">
        <v>511</v>
      </c>
      <c r="B10681" s="216" t="str">
        <f ca="1">_xlfn.CONCAT(B10652,A10681)</f>
        <v>248B5690-ab</v>
      </c>
      <c r="C10681" s="24" t="s">
        <v>25</v>
      </c>
      <c r="D10681" s="185"/>
      <c r="E10681" s="25">
        <f>_xlfn.XLOOKUP(C10681,'H-MO'!B$7:B$30,'H-MO'!D$7:D$30,,0,1)</f>
        <v>2761.4374999999995</v>
      </c>
      <c r="F10681" s="28">
        <v>0.7</v>
      </c>
      <c r="G10681" s="33">
        <f t="shared" si="304"/>
        <v>1933.0062499999995</v>
      </c>
    </row>
    <row r="10682" spans="1:8">
      <c r="A10682" s="211" t="s">
        <v>512</v>
      </c>
      <c r="B10682" s="216" t="str">
        <f ca="1">_xlfn.CONCAT(B10652,A10682)</f>
        <v>248B5690-ac</v>
      </c>
      <c r="C10682" s="24"/>
      <c r="D10682" s="185"/>
      <c r="E10682" s="29"/>
      <c r="F10682" s="28"/>
      <c r="G10682" s="33">
        <f t="shared" si="304"/>
        <v>0</v>
      </c>
    </row>
    <row r="10683" spans="1:8" ht="14.25" thickBot="1">
      <c r="A10683" s="211" t="s">
        <v>513</v>
      </c>
      <c r="B10683" s="216" t="str">
        <f ca="1">_xlfn.CONCAT(B10652,A10683)</f>
        <v>248B5690-ad</v>
      </c>
      <c r="C10683" s="24"/>
      <c r="D10683" s="185"/>
      <c r="E10683" s="29"/>
      <c r="F10683" s="28"/>
      <c r="G10683" s="33">
        <f t="shared" si="304"/>
        <v>0</v>
      </c>
    </row>
    <row r="10684" spans="1:8" ht="14.25" thickBot="1">
      <c r="A10684" s="211" t="s">
        <v>514</v>
      </c>
      <c r="B10684" s="216" t="str">
        <f ca="1">_xlfn.CONCAT(B10652,A10684)</f>
        <v>248B5690-ae</v>
      </c>
      <c r="C10684" s="17"/>
      <c r="D10684" s="192"/>
      <c r="E10684" s="18"/>
      <c r="F10684" s="22" t="s">
        <v>26</v>
      </c>
      <c r="G10684" s="23">
        <f>SUM(G10678:G10683)</f>
        <v>7585.8312499999984</v>
      </c>
    </row>
    <row r="10685" spans="1:8" ht="15.75" thickBot="1">
      <c r="A10685" s="211" t="s">
        <v>515</v>
      </c>
      <c r="B10685" s="216" t="str">
        <f ca="1">_xlfn.CONCAT(B10652,A10685)</f>
        <v>248B5690-af</v>
      </c>
      <c r="C10685" s="10" t="s">
        <v>27</v>
      </c>
      <c r="D10685" s="190"/>
      <c r="E10685" s="11"/>
      <c r="F10685" s="12"/>
      <c r="G10685" s="13"/>
    </row>
    <row r="10686" spans="1:8" ht="14.25" thickBot="1">
      <c r="A10686" s="211" t="s">
        <v>516</v>
      </c>
      <c r="B10686" s="216" t="str">
        <f ca="1">_xlfn.CONCAT(B10652,A10686)</f>
        <v>248B5690-ag</v>
      </c>
      <c r="C10686" s="14" t="s">
        <v>1</v>
      </c>
      <c r="D10686" s="15" t="s">
        <v>28</v>
      </c>
      <c r="E10686" s="15" t="s">
        <v>20</v>
      </c>
      <c r="F10686" s="16" t="s">
        <v>21</v>
      </c>
      <c r="G10686" s="15" t="s">
        <v>5</v>
      </c>
      <c r="H10686" s="215"/>
    </row>
    <row r="10687" spans="1:8">
      <c r="A10687" s="211" t="s">
        <v>517</v>
      </c>
      <c r="B10687" s="216" t="str">
        <f ca="1">_xlfn.CONCAT(B10652,A10687)</f>
        <v>248B5690-ah</v>
      </c>
      <c r="C10687" s="30" t="s">
        <v>29</v>
      </c>
      <c r="D10687" s="186">
        <f>'H-MO'!$N$77</f>
        <v>725918.52892505517</v>
      </c>
      <c r="E10687" s="31">
        <f>+D10687/8</f>
        <v>90739.816115631897</v>
      </c>
      <c r="F10687" s="32">
        <v>0.72</v>
      </c>
      <c r="G10687" s="33">
        <f>+E10687*F10687</f>
        <v>65332.667603254966</v>
      </c>
      <c r="H10687" s="229"/>
    </row>
    <row r="10688" spans="1:8">
      <c r="A10688" s="211" t="s">
        <v>518</v>
      </c>
      <c r="B10688" s="216" t="str">
        <f ca="1">_xlfn.CONCAT(B10652,A10688)</f>
        <v>248B5690-ai</v>
      </c>
      <c r="C10688" s="34" t="s">
        <v>30</v>
      </c>
      <c r="D10688" s="187">
        <f>'H-MO'!$N$86</f>
        <v>685561.39085756091</v>
      </c>
      <c r="E10688" s="29">
        <f>+D10688/8</f>
        <v>85695.173857195114</v>
      </c>
      <c r="F10688" s="28"/>
      <c r="G10688" s="33">
        <f>+E10688*F10688</f>
        <v>0</v>
      </c>
    </row>
    <row r="10689" spans="1:8" ht="14.25" thickBot="1">
      <c r="A10689" s="211" t="s">
        <v>519</v>
      </c>
      <c r="B10689" s="216" t="str">
        <f ca="1">_xlfn.CONCAT(B10652,A10689)</f>
        <v>248B5690-aj</v>
      </c>
      <c r="C10689" s="34"/>
      <c r="D10689" s="187"/>
      <c r="E10689" s="29"/>
      <c r="F10689" s="28"/>
      <c r="G10689" s="33">
        <f>+E10689*F10689</f>
        <v>0</v>
      </c>
    </row>
    <row r="10690" spans="1:8" ht="14.25" thickBot="1">
      <c r="A10690" s="211" t="s">
        <v>520</v>
      </c>
      <c r="B10690" s="216" t="str">
        <f ca="1">_xlfn.CONCAT(B10652,A10690)</f>
        <v>248B5690-ak</v>
      </c>
      <c r="C10690" s="34"/>
      <c r="D10690" s="185"/>
      <c r="E10690" s="26"/>
      <c r="F10690" s="36" t="s">
        <v>31</v>
      </c>
      <c r="G10690" s="23">
        <f>SUM(G10687:G10689)</f>
        <v>65332.667603254966</v>
      </c>
    </row>
    <row r="10691" spans="1:8" ht="14.25" thickBot="1">
      <c r="A10691" s="211" t="s">
        <v>521</v>
      </c>
      <c r="B10691" s="216" t="str">
        <f ca="1">_xlfn.CONCAT(B10652,A10691)</f>
        <v>248B5690-al</v>
      </c>
      <c r="C10691" s="37"/>
      <c r="E10691" s="38"/>
      <c r="F10691" s="22"/>
      <c r="G10691" s="39"/>
    </row>
    <row r="10692" spans="1:8" ht="16.5" thickBot="1">
      <c r="A10692" s="211" t="s">
        <v>522</v>
      </c>
      <c r="B10692" s="216" t="str">
        <f ca="1">_xlfn.CONCAT(B10652,A10692)</f>
        <v>248B5690-am</v>
      </c>
      <c r="C10692" s="40"/>
      <c r="D10692" s="193"/>
      <c r="E10692" s="41"/>
      <c r="F10692" s="42"/>
      <c r="G10692" s="43">
        <f>+G10675+G10684+G10690</f>
        <v>631086.49885325506</v>
      </c>
    </row>
    <row r="10693" spans="1:8" ht="21.75" thickBot="1">
      <c r="B10693" s="212" t="s">
        <v>550</v>
      </c>
      <c r="C10693" s="2"/>
      <c r="D10693" s="183"/>
      <c r="F10693" s="4"/>
      <c r="G10693" s="5"/>
    </row>
    <row r="10694" spans="1:8" ht="18.75">
      <c r="A10694" s="213"/>
      <c r="B10694" s="214">
        <v>243</v>
      </c>
      <c r="C10694" s="242" t="str">
        <f ca="1">_xlfn.XLOOKUP(B10694,Cantidades!$A$10:$A$314,Cantidades!$C$10:$C$314,,0,1)</f>
        <v>Suministro e instalación de alimentador 3#10(F)+1#10(T) de cobre</v>
      </c>
      <c r="D10694" s="243"/>
      <c r="E10694" s="243"/>
      <c r="F10694" s="243"/>
      <c r="G10694" s="244"/>
      <c r="H10694" s="213"/>
    </row>
    <row r="10695" spans="1:8" ht="19.5" thickBot="1">
      <c r="A10695" s="215"/>
      <c r="B10695" s="216" t="s">
        <v>550</v>
      </c>
      <c r="C10695" s="177"/>
      <c r="D10695" s="189"/>
      <c r="E10695" s="178"/>
      <c r="F10695" s="179" t="s">
        <v>636</v>
      </c>
      <c r="G10695" s="209" t="str">
        <f ca="1">B10696</f>
        <v>21C135B5-</v>
      </c>
      <c r="H10695" s="215"/>
    </row>
    <row r="10696" spans="1:8" ht="15.75" thickBot="1">
      <c r="B10696" s="212" t="str">
        <f ca="1">_xlfn.XLOOKUP(C10694,Cantidades!$C$1:$C$314,Cantidades!$B$1:$B$314,"",0,1)</f>
        <v>21C135B5-</v>
      </c>
      <c r="C10696" s="10" t="s">
        <v>0</v>
      </c>
      <c r="D10696" s="190"/>
      <c r="E10696" s="11"/>
      <c r="F10696" s="12"/>
      <c r="G10696" s="13"/>
    </row>
    <row r="10697" spans="1:8" ht="14.25" thickBot="1">
      <c r="A10697" s="215"/>
      <c r="B10697" s="216" t="s">
        <v>550</v>
      </c>
      <c r="C10697" s="14" t="s">
        <v>1</v>
      </c>
      <c r="D10697" s="15" t="s">
        <v>2</v>
      </c>
      <c r="E10697" s="15" t="s">
        <v>3</v>
      </c>
      <c r="F10697" s="16" t="s">
        <v>4</v>
      </c>
      <c r="G10697" s="15" t="s">
        <v>5</v>
      </c>
      <c r="H10697" s="215"/>
    </row>
    <row r="10698" spans="1:8" ht="15">
      <c r="A10698" s="211" t="s">
        <v>484</v>
      </c>
      <c r="B10698" s="216" t="str">
        <f ca="1">_xlfn.CONCAT(B10696,A10698)</f>
        <v>21C135B5-A</v>
      </c>
      <c r="C10698" s="17" t="str">
        <f>_xlfn.XLOOKUP(H10698,'Materiales unitario'!$A$1:$A$2500,'Materiales unitario'!B$1:B$2500,,0,1)</f>
        <v>Cable de cobre aislado #10 AWG-THHN/THWN Color negro</v>
      </c>
      <c r="D10698" s="184" t="str">
        <f>_xlfn.XLOOKUP(H10698,'Materiales unitario'!A$1:A$2500,'Materiales unitario'!C$1:C$2500,,0,1)</f>
        <v>ml</v>
      </c>
      <c r="E10698" s="197">
        <f>_xlfn.XLOOKUP(H10698,'Materiales unitario'!$A$1:$A$2500,'Materiales unitario'!D$1:D$2500,,0,1)</f>
        <v>5215</v>
      </c>
      <c r="F10698" s="19">
        <v>4.2</v>
      </c>
      <c r="G10698" s="20">
        <f>+E10698*F10698</f>
        <v>21903</v>
      </c>
      <c r="H10698" s="217" t="s">
        <v>265</v>
      </c>
    </row>
    <row r="10699" spans="1:8" ht="15">
      <c r="A10699" s="211" t="s">
        <v>485</v>
      </c>
      <c r="B10699" s="216" t="str">
        <f ca="1">_xlfn.CONCAT(B10696,A10699)</f>
        <v>21C135B5-B</v>
      </c>
      <c r="C10699" s="17" t="str">
        <f>_xlfn.XLOOKUP(H10699,'Materiales unitario'!$A$1:$A$2500,'Materiales unitario'!B$1:B$2500,,0,1)</f>
        <v>Termoencogible</v>
      </c>
      <c r="D10699" s="184" t="str">
        <f>_xlfn.XLOOKUP(H10699,'Materiales unitario'!A$1:A$2500,'Materiales unitario'!C$1:C$2500,,0,1)</f>
        <v>un</v>
      </c>
      <c r="E10699" s="197">
        <f>_xlfn.XLOOKUP(H10699,'Materiales unitario'!$A$1:$A$2500,'Materiales unitario'!D$1:D$2500,,0,1)</f>
        <v>5000</v>
      </c>
      <c r="F10699" s="19">
        <v>0.1</v>
      </c>
      <c r="G10699" s="20">
        <f>+E10699*F10699</f>
        <v>500</v>
      </c>
      <c r="H10699" s="217" t="s">
        <v>373</v>
      </c>
    </row>
    <row r="10700" spans="1:8" ht="15">
      <c r="A10700" s="211" t="s">
        <v>486</v>
      </c>
      <c r="B10700" s="216" t="str">
        <f ca="1">_xlfn.CONCAT(B10696,A10700)</f>
        <v>21C135B5-C</v>
      </c>
      <c r="C10700" s="17"/>
      <c r="D10700" s="184"/>
      <c r="E10700" s="197"/>
      <c r="F10700" s="19"/>
      <c r="G10700" s="20"/>
      <c r="H10700" s="217"/>
    </row>
    <row r="10701" spans="1:8" ht="15">
      <c r="A10701" s="211" t="s">
        <v>487</v>
      </c>
      <c r="B10701" s="216" t="str">
        <f ca="1">_xlfn.CONCAT(B10696,A10701)</f>
        <v>21C135B5-D</v>
      </c>
      <c r="C10701" s="17"/>
      <c r="D10701" s="184"/>
      <c r="E10701" s="197"/>
      <c r="F10701" s="19"/>
      <c r="G10701" s="20"/>
      <c r="H10701" s="217"/>
    </row>
    <row r="10702" spans="1:8" ht="15">
      <c r="A10702" s="211" t="s">
        <v>488</v>
      </c>
      <c r="B10702" s="216" t="str">
        <f ca="1">_xlfn.CONCAT(B10696,A10702)</f>
        <v>21C135B5-E</v>
      </c>
      <c r="C10702" s="17"/>
      <c r="D10702" s="184"/>
      <c r="E10702" s="197"/>
      <c r="F10702" s="19"/>
      <c r="G10702" s="20"/>
      <c r="H10702" s="217"/>
    </row>
    <row r="10703" spans="1:8">
      <c r="A10703" s="211" t="s">
        <v>489</v>
      </c>
      <c r="B10703" s="216" t="str">
        <f ca="1">_xlfn.CONCAT(B10696,A10703)</f>
        <v>21C135B5-F</v>
      </c>
      <c r="C10703" s="17"/>
      <c r="D10703" s="184"/>
      <c r="E10703" s="197"/>
      <c r="F10703" s="19"/>
      <c r="G10703" s="20"/>
    </row>
    <row r="10704" spans="1:8">
      <c r="A10704" s="211" t="s">
        <v>490</v>
      </c>
      <c r="B10704" s="216" t="str">
        <f ca="1">_xlfn.CONCAT(B10696,A10704)</f>
        <v>21C135B5-G</v>
      </c>
      <c r="C10704" s="17"/>
      <c r="D10704" s="184"/>
      <c r="E10704" s="197"/>
      <c r="F10704" s="19"/>
      <c r="G10704" s="20"/>
    </row>
    <row r="10705" spans="1:7">
      <c r="A10705" s="211" t="s">
        <v>491</v>
      </c>
      <c r="B10705" s="216" t="str">
        <f ca="1">_xlfn.CONCAT(B10696,A10705)</f>
        <v>21C135B5-H</v>
      </c>
      <c r="C10705" s="17"/>
      <c r="D10705" s="184"/>
      <c r="E10705" s="197"/>
      <c r="F10705" s="19"/>
      <c r="G10705" s="20"/>
    </row>
    <row r="10706" spans="1:7">
      <c r="A10706" s="211" t="s">
        <v>492</v>
      </c>
      <c r="B10706" s="216" t="str">
        <f ca="1">_xlfn.CONCAT(B10696,A10706)</f>
        <v>21C135B5-I</v>
      </c>
      <c r="C10706" s="17"/>
      <c r="D10706" s="184"/>
      <c r="E10706" s="197"/>
      <c r="F10706" s="19"/>
      <c r="G10706" s="20"/>
    </row>
    <row r="10707" spans="1:7">
      <c r="A10707" s="211" t="s">
        <v>493</v>
      </c>
      <c r="B10707" s="216" t="str">
        <f ca="1">_xlfn.CONCAT(B10696,A10707)</f>
        <v>21C135B5-J</v>
      </c>
      <c r="C10707" s="17"/>
      <c r="D10707" s="184"/>
      <c r="E10707" s="197"/>
      <c r="F10707" s="19"/>
      <c r="G10707" s="20"/>
    </row>
    <row r="10708" spans="1:7">
      <c r="A10708" s="211" t="s">
        <v>494</v>
      </c>
      <c r="B10708" s="216" t="str">
        <f ca="1">_xlfn.CONCAT(B10696,A10708)</f>
        <v>21C135B5-K</v>
      </c>
      <c r="C10708" s="17"/>
      <c r="D10708" s="184"/>
      <c r="E10708" s="197"/>
      <c r="F10708" s="19"/>
      <c r="G10708" s="20"/>
    </row>
    <row r="10709" spans="1:7">
      <c r="A10709" s="211" t="s">
        <v>495</v>
      </c>
      <c r="B10709" s="216" t="str">
        <f ca="1">_xlfn.CONCAT(B10696,A10709)</f>
        <v>21C135B5-L</v>
      </c>
      <c r="C10709" s="17"/>
      <c r="D10709" s="184"/>
      <c r="E10709" s="197"/>
      <c r="F10709" s="19"/>
      <c r="G10709" s="20"/>
    </row>
    <row r="10710" spans="1:7">
      <c r="A10710" s="211" t="s">
        <v>496</v>
      </c>
      <c r="B10710" s="216" t="str">
        <f ca="1">_xlfn.CONCAT(B10696,A10710)</f>
        <v>21C135B5-M</v>
      </c>
      <c r="C10710" s="17"/>
      <c r="D10710" s="184"/>
      <c r="E10710" s="197"/>
      <c r="F10710" s="19"/>
      <c r="G10710" s="20"/>
    </row>
    <row r="10711" spans="1:7">
      <c r="A10711" s="211" t="s">
        <v>497</v>
      </c>
      <c r="B10711" s="216" t="str">
        <f ca="1">_xlfn.CONCAT(B10696,A10711)</f>
        <v>21C135B5-N</v>
      </c>
      <c r="C10711" s="17"/>
      <c r="D10711" s="184"/>
      <c r="E10711" s="197"/>
      <c r="F10711" s="19"/>
      <c r="G10711" s="20"/>
    </row>
    <row r="10712" spans="1:7">
      <c r="A10712" s="211" t="s">
        <v>498</v>
      </c>
      <c r="B10712" s="216" t="str">
        <f ca="1">_xlfn.CONCAT(B10696,A10712)</f>
        <v>21C135B5-O</v>
      </c>
      <c r="C10712" s="17"/>
      <c r="D10712" s="184"/>
      <c r="E10712" s="197"/>
      <c r="F10712" s="19"/>
      <c r="G10712" s="20"/>
    </row>
    <row r="10713" spans="1:7">
      <c r="A10713" s="211" t="s">
        <v>499</v>
      </c>
      <c r="B10713" s="216" t="str">
        <f ca="1">_xlfn.CONCAT(B10696,A10713)</f>
        <v>21C135B5-P</v>
      </c>
      <c r="C10713" s="17"/>
      <c r="D10713" s="184"/>
      <c r="E10713" s="197"/>
      <c r="F10713" s="19"/>
      <c r="G10713" s="20"/>
    </row>
    <row r="10714" spans="1:7">
      <c r="A10714" s="211" t="s">
        <v>500</v>
      </c>
      <c r="B10714" s="216" t="str">
        <f ca="1">_xlfn.CONCAT(B10696,A10714)</f>
        <v>21C135B5-Q</v>
      </c>
      <c r="C10714" s="17"/>
      <c r="D10714" s="184"/>
      <c r="E10714" s="197"/>
      <c r="F10714" s="19"/>
      <c r="G10714" s="20"/>
    </row>
    <row r="10715" spans="1:7">
      <c r="A10715" s="211" t="s">
        <v>501</v>
      </c>
      <c r="B10715" s="216" t="str">
        <f ca="1">_xlfn.CONCAT(B10696,A10715)</f>
        <v>21C135B5-R</v>
      </c>
      <c r="C10715" s="17"/>
      <c r="D10715" s="184"/>
      <c r="E10715" s="197"/>
      <c r="F10715" s="19"/>
      <c r="G10715" s="20"/>
    </row>
    <row r="10716" spans="1:7">
      <c r="A10716" s="211" t="s">
        <v>502</v>
      </c>
      <c r="B10716" s="216" t="str">
        <f ca="1">_xlfn.CONCAT(B10696,A10716)</f>
        <v>21C135B5-S</v>
      </c>
      <c r="C10716" s="17"/>
      <c r="D10716" s="184"/>
      <c r="E10716" s="197"/>
      <c r="F10716" s="19"/>
      <c r="G10716" s="20"/>
    </row>
    <row r="10717" spans="1:7">
      <c r="A10717" s="211" t="s">
        <v>503</v>
      </c>
      <c r="B10717" s="216" t="str">
        <f ca="1">_xlfn.CONCAT(B10696,A10717)</f>
        <v>21C135B5-T</v>
      </c>
      <c r="C10717" s="17"/>
      <c r="D10717" s="184"/>
      <c r="E10717" s="197"/>
      <c r="F10717" s="19"/>
      <c r="G10717" s="20"/>
    </row>
    <row r="10718" spans="1:7" ht="14.25" thickBot="1">
      <c r="A10718" s="211" t="s">
        <v>504</v>
      </c>
      <c r="B10718" s="216" t="str">
        <f ca="1">_xlfn.CONCAT(B10696,A10718)</f>
        <v>21C135B5-U</v>
      </c>
      <c r="C10718" s="17"/>
      <c r="D10718" s="184"/>
      <c r="E10718" s="197"/>
      <c r="F10718" s="19"/>
      <c r="G10718" s="20"/>
    </row>
    <row r="10719" spans="1:7" ht="14.25" thickBot="1">
      <c r="A10719" s="211" t="s">
        <v>505</v>
      </c>
      <c r="B10719" s="216" t="str">
        <f ca="1">_xlfn.CONCAT(B10696,A10719)</f>
        <v>21C135B5-V</v>
      </c>
      <c r="C10719" s="17" t="s">
        <v>17</v>
      </c>
      <c r="D10719" s="192" t="s">
        <v>17</v>
      </c>
      <c r="E10719" s="18"/>
      <c r="F10719" s="22" t="s">
        <v>18</v>
      </c>
      <c r="G10719" s="23">
        <f>SUM(G10698:G10718)</f>
        <v>22403</v>
      </c>
    </row>
    <row r="10720" spans="1:7" ht="15.75" thickBot="1">
      <c r="A10720" s="211" t="s">
        <v>506</v>
      </c>
      <c r="B10720" s="216" t="str">
        <f ca="1">_xlfn.CONCAT(B10696,A10720)</f>
        <v>21C135B5-W</v>
      </c>
      <c r="C10720" s="10" t="s">
        <v>19</v>
      </c>
      <c r="D10720" s="190"/>
      <c r="E10720" s="11"/>
      <c r="F10720" s="12"/>
      <c r="G10720" s="13"/>
    </row>
    <row r="10721" spans="1:8" ht="14.25" thickBot="1">
      <c r="A10721" s="211" t="s">
        <v>507</v>
      </c>
      <c r="B10721" s="216" t="str">
        <f ca="1">_xlfn.CONCAT(B10696,A10721)</f>
        <v>21C135B5-X</v>
      </c>
      <c r="C10721" s="14" t="s">
        <v>1</v>
      </c>
      <c r="D10721" s="15"/>
      <c r="E10721" s="15" t="s">
        <v>20</v>
      </c>
      <c r="F10721" s="16" t="s">
        <v>21</v>
      </c>
      <c r="G10721" s="15" t="s">
        <v>5</v>
      </c>
      <c r="H10721" s="215"/>
    </row>
    <row r="10722" spans="1:8">
      <c r="A10722" s="211" t="s">
        <v>508</v>
      </c>
      <c r="B10722" s="216" t="str">
        <f ca="1">_xlfn.CONCAT(B10696,A10722)</f>
        <v>21C135B5-Y</v>
      </c>
      <c r="C10722" s="24" t="s">
        <v>22</v>
      </c>
      <c r="D10722" s="184"/>
      <c r="E10722" s="25">
        <f>_xlfn.XLOOKUP(C10722,'H-MO'!B$7:B$30,'H-MO'!D$7:D$30,,0,1)</f>
        <v>2436.5624999999995</v>
      </c>
      <c r="F10722" s="19">
        <v>5.5E-2</v>
      </c>
      <c r="G10722" s="33">
        <f t="shared" ref="G10722:G10727" si="305">+E10722*F10722</f>
        <v>134.01093749999998</v>
      </c>
    </row>
    <row r="10723" spans="1:8">
      <c r="A10723" s="211" t="s">
        <v>509</v>
      </c>
      <c r="B10723" s="216" t="str">
        <f ca="1">_xlfn.CONCAT(B10696,A10723)</f>
        <v>21C135B5-Z</v>
      </c>
      <c r="C10723" s="24" t="s">
        <v>23</v>
      </c>
      <c r="D10723" s="184"/>
      <c r="E10723" s="25">
        <f>_xlfn.XLOOKUP(C10723,'H-MO'!B$7:B$30,'H-MO'!D$7:D$30,,0,1)</f>
        <v>1461.9374999999998</v>
      </c>
      <c r="F10723" s="19">
        <v>0.04</v>
      </c>
      <c r="G10723" s="33">
        <f t="shared" si="305"/>
        <v>58.477499999999992</v>
      </c>
    </row>
    <row r="10724" spans="1:8">
      <c r="A10724" s="211" t="s">
        <v>510</v>
      </c>
      <c r="B10724" s="216" t="str">
        <f ca="1">_xlfn.CONCAT(B10696,A10724)</f>
        <v>21C135B5-aa</v>
      </c>
      <c r="C10724" s="24" t="s">
        <v>24</v>
      </c>
      <c r="D10724" s="185"/>
      <c r="E10724" s="25">
        <f>_xlfn.XLOOKUP(C10724,'H-MO'!B$7:B$30,'H-MO'!D$7:D$30,,0,1)</f>
        <v>29238.749999999996</v>
      </c>
      <c r="F10724" s="28">
        <v>0.01</v>
      </c>
      <c r="G10724" s="33">
        <f t="shared" si="305"/>
        <v>292.38749999999999</v>
      </c>
    </row>
    <row r="10725" spans="1:8">
      <c r="A10725" s="211" t="s">
        <v>511</v>
      </c>
      <c r="B10725" s="216" t="str">
        <f ca="1">_xlfn.CONCAT(B10696,A10725)</f>
        <v>21C135B5-ab</v>
      </c>
      <c r="C10725" s="24" t="s">
        <v>25</v>
      </c>
      <c r="D10725" s="185"/>
      <c r="E10725" s="25">
        <f>_xlfn.XLOOKUP(C10725,'H-MO'!B$7:B$30,'H-MO'!D$7:D$30,,0,1)</f>
        <v>2761.4374999999995</v>
      </c>
      <c r="F10725" s="28">
        <v>0.05</v>
      </c>
      <c r="G10725" s="33">
        <f t="shared" si="305"/>
        <v>138.07187499999998</v>
      </c>
    </row>
    <row r="10726" spans="1:8">
      <c r="A10726" s="211" t="s">
        <v>512</v>
      </c>
      <c r="B10726" s="216" t="str">
        <f ca="1">_xlfn.CONCAT(B10696,A10726)</f>
        <v>21C135B5-ac</v>
      </c>
      <c r="C10726" s="24"/>
      <c r="D10726" s="185"/>
      <c r="E10726" s="29"/>
      <c r="F10726" s="28"/>
      <c r="G10726" s="33">
        <f t="shared" si="305"/>
        <v>0</v>
      </c>
    </row>
    <row r="10727" spans="1:8" ht="14.25" thickBot="1">
      <c r="A10727" s="211" t="s">
        <v>513</v>
      </c>
      <c r="B10727" s="216" t="str">
        <f ca="1">_xlfn.CONCAT(B10696,A10727)</f>
        <v>21C135B5-ad</v>
      </c>
      <c r="C10727" s="24"/>
      <c r="D10727" s="185"/>
      <c r="E10727" s="29"/>
      <c r="F10727" s="28"/>
      <c r="G10727" s="33">
        <f t="shared" si="305"/>
        <v>0</v>
      </c>
    </row>
    <row r="10728" spans="1:8" ht="14.25" thickBot="1">
      <c r="A10728" s="211" t="s">
        <v>514</v>
      </c>
      <c r="B10728" s="216" t="str">
        <f ca="1">_xlfn.CONCAT(B10696,A10728)</f>
        <v>21C135B5-ae</v>
      </c>
      <c r="C10728" s="17"/>
      <c r="D10728" s="192"/>
      <c r="E10728" s="18"/>
      <c r="F10728" s="22" t="s">
        <v>26</v>
      </c>
      <c r="G10728" s="23">
        <f>SUM(G10722:G10727)</f>
        <v>622.94781249999994</v>
      </c>
    </row>
    <row r="10729" spans="1:8" ht="15.75" thickBot="1">
      <c r="A10729" s="211" t="s">
        <v>515</v>
      </c>
      <c r="B10729" s="216" t="str">
        <f ca="1">_xlfn.CONCAT(B10696,A10729)</f>
        <v>21C135B5-af</v>
      </c>
      <c r="C10729" s="10" t="s">
        <v>27</v>
      </c>
      <c r="D10729" s="190"/>
      <c r="E10729" s="11"/>
      <c r="F10729" s="12"/>
      <c r="G10729" s="13"/>
    </row>
    <row r="10730" spans="1:8" ht="14.25" thickBot="1">
      <c r="A10730" s="211" t="s">
        <v>516</v>
      </c>
      <c r="B10730" s="216" t="str">
        <f ca="1">_xlfn.CONCAT(B10696,A10730)</f>
        <v>21C135B5-ag</v>
      </c>
      <c r="C10730" s="14" t="s">
        <v>1</v>
      </c>
      <c r="D10730" s="15" t="s">
        <v>28</v>
      </c>
      <c r="E10730" s="15" t="s">
        <v>20</v>
      </c>
      <c r="F10730" s="16" t="s">
        <v>21</v>
      </c>
      <c r="G10730" s="15" t="s">
        <v>5</v>
      </c>
      <c r="H10730" s="215"/>
    </row>
    <row r="10731" spans="1:8">
      <c r="A10731" s="211" t="s">
        <v>517</v>
      </c>
      <c r="B10731" s="216" t="str">
        <f ca="1">_xlfn.CONCAT(B10696,A10731)</f>
        <v>21C135B5-ah</v>
      </c>
      <c r="C10731" s="30" t="s">
        <v>29</v>
      </c>
      <c r="D10731" s="186">
        <f>'H-MO'!$N$77</f>
        <v>725918.52892505517</v>
      </c>
      <c r="E10731" s="31">
        <f>+D10731/8</f>
        <v>90739.816115631897</v>
      </c>
      <c r="F10731" s="32">
        <v>0.10100000000000001</v>
      </c>
      <c r="G10731" s="33">
        <f>+E10731*F10731</f>
        <v>9164.7214276788218</v>
      </c>
    </row>
    <row r="10732" spans="1:8">
      <c r="A10732" s="211" t="s">
        <v>518</v>
      </c>
      <c r="B10732" s="216" t="str">
        <f ca="1">_xlfn.CONCAT(B10696,A10732)</f>
        <v>21C135B5-ai</v>
      </c>
      <c r="C10732" s="34" t="s">
        <v>30</v>
      </c>
      <c r="D10732" s="187">
        <f>'H-MO'!$N$86</f>
        <v>685561.39085756091</v>
      </c>
      <c r="E10732" s="29">
        <f>+D10732/8</f>
        <v>85695.173857195114</v>
      </c>
      <c r="F10732" s="28">
        <v>0</v>
      </c>
      <c r="G10732" s="33">
        <f>+E10732*F10732</f>
        <v>0</v>
      </c>
    </row>
    <row r="10733" spans="1:8" ht="14.25" thickBot="1">
      <c r="A10733" s="211" t="s">
        <v>519</v>
      </c>
      <c r="B10733" s="216" t="str">
        <f ca="1">_xlfn.CONCAT(B10696,A10733)</f>
        <v>21C135B5-aj</v>
      </c>
      <c r="C10733" s="34"/>
      <c r="D10733" s="187"/>
      <c r="E10733" s="29"/>
      <c r="F10733" s="28"/>
      <c r="G10733" s="33">
        <f>+E10733*F10733</f>
        <v>0</v>
      </c>
    </row>
    <row r="10734" spans="1:8" ht="14.25" thickBot="1">
      <c r="A10734" s="211" t="s">
        <v>520</v>
      </c>
      <c r="B10734" s="216" t="str">
        <f ca="1">_xlfn.CONCAT(B10696,A10734)</f>
        <v>21C135B5-ak</v>
      </c>
      <c r="C10734" s="34"/>
      <c r="D10734" s="185"/>
      <c r="E10734" s="26"/>
      <c r="F10734" s="36" t="s">
        <v>31</v>
      </c>
      <c r="G10734" s="23">
        <f>SUM(G10731:G10733)</f>
        <v>9164.7214276788218</v>
      </c>
    </row>
    <row r="10735" spans="1:8" ht="14.25" thickBot="1">
      <c r="A10735" s="211" t="s">
        <v>521</v>
      </c>
      <c r="B10735" s="216" t="str">
        <f ca="1">_xlfn.CONCAT(B10696,A10735)</f>
        <v>21C135B5-al</v>
      </c>
      <c r="C10735" s="37"/>
      <c r="E10735" s="38"/>
      <c r="F10735" s="22"/>
      <c r="G10735" s="39"/>
    </row>
    <row r="10736" spans="1:8" ht="16.5" thickBot="1">
      <c r="A10736" s="211" t="s">
        <v>522</v>
      </c>
      <c r="B10736" s="216" t="str">
        <f ca="1">_xlfn.CONCAT(B10696,A10736)</f>
        <v>21C135B5-am</v>
      </c>
      <c r="C10736" s="40"/>
      <c r="D10736" s="193"/>
      <c r="E10736" s="41"/>
      <c r="F10736" s="42"/>
      <c r="G10736" s="43">
        <f>+G10719+G10728+G10734</f>
        <v>32190.66924017882</v>
      </c>
    </row>
    <row r="10737" spans="1:8" ht="21.75" thickBot="1">
      <c r="B10737" s="212" t="s">
        <v>550</v>
      </c>
      <c r="C10737" s="2"/>
      <c r="D10737" s="183"/>
      <c r="F10737" s="4"/>
      <c r="G10737" s="5"/>
    </row>
    <row r="10738" spans="1:8" ht="18.75">
      <c r="A10738" s="213"/>
      <c r="B10738" s="214">
        <v>244</v>
      </c>
      <c r="C10738" s="242" t="str">
        <f ca="1">_xlfn.XLOOKUP(B10738,Cantidades!$A$10:$A$314,Cantidades!$C$10:$C$314,,0,1)</f>
        <v>Suministro e instalacion de tubería 1Ø3/4" PVC</v>
      </c>
      <c r="D10738" s="243"/>
      <c r="E10738" s="243"/>
      <c r="F10738" s="243"/>
      <c r="G10738" s="244"/>
      <c r="H10738" s="213"/>
    </row>
    <row r="10739" spans="1:8" ht="19.5" thickBot="1">
      <c r="A10739" s="215"/>
      <c r="B10739" s="216" t="s">
        <v>550</v>
      </c>
      <c r="C10739" s="177"/>
      <c r="D10739" s="189"/>
      <c r="E10739" s="178"/>
      <c r="F10739" s="179" t="s">
        <v>636</v>
      </c>
      <c r="G10739" s="209" t="str">
        <f ca="1">B10740</f>
        <v>103EA7E3-</v>
      </c>
      <c r="H10739" s="215"/>
    </row>
    <row r="10740" spans="1:8" ht="15.75" thickBot="1">
      <c r="B10740" s="212" t="str">
        <f ca="1">_xlfn.XLOOKUP(C10738,Cantidades!$C$1:$C$314,Cantidades!$B$1:$B$314,"",0,1)</f>
        <v>103EA7E3-</v>
      </c>
      <c r="C10740" s="10" t="s">
        <v>0</v>
      </c>
      <c r="D10740" s="190"/>
      <c r="E10740" s="11"/>
      <c r="F10740" s="12"/>
      <c r="G10740" s="13"/>
    </row>
    <row r="10741" spans="1:8" ht="14.25" thickBot="1">
      <c r="A10741" s="215"/>
      <c r="B10741" s="216" t="s">
        <v>550</v>
      </c>
      <c r="C10741" s="14" t="s">
        <v>1</v>
      </c>
      <c r="D10741" s="15" t="s">
        <v>2</v>
      </c>
      <c r="E10741" s="15" t="s">
        <v>3</v>
      </c>
      <c r="F10741" s="16" t="s">
        <v>4</v>
      </c>
      <c r="G10741" s="15" t="s">
        <v>5</v>
      </c>
      <c r="H10741" s="215"/>
    </row>
    <row r="10742" spans="1:8" ht="15">
      <c r="A10742" s="211" t="s">
        <v>484</v>
      </c>
      <c r="B10742" s="216" t="str">
        <f ca="1">_xlfn.CONCAT(B10740,A10742)</f>
        <v>103EA7E3-A</v>
      </c>
      <c r="C10742" s="17" t="str">
        <f>_xlfn.XLOOKUP(H10742,'Materiales unitario'!$A$1:$A$2500,'Materiales unitario'!B$1:B$2500,,0,1)</f>
        <v>Tubo Conduit PVC 3-4 Pulgadas</v>
      </c>
      <c r="D10742" s="184" t="str">
        <f>_xlfn.XLOOKUP(H10742,'Materiales unitario'!A$1:A$2500,'Materiales unitario'!C$1:C$2500,,0,1)</f>
        <v>ml</v>
      </c>
      <c r="E10742" s="197">
        <f>_xlfn.XLOOKUP(H10742,'Materiales unitario'!$A$1:$A$2500,'Materiales unitario'!D$1:D$2500,,0,1)</f>
        <v>2066.6666666666665</v>
      </c>
      <c r="F10742" s="19">
        <v>1.05</v>
      </c>
      <c r="G10742" s="20">
        <f>+E10742*F10742</f>
        <v>2170</v>
      </c>
      <c r="H10742" s="217" t="s">
        <v>614</v>
      </c>
    </row>
    <row r="10743" spans="1:8" ht="15">
      <c r="A10743" s="211" t="s">
        <v>485</v>
      </c>
      <c r="B10743" s="216" t="str">
        <f ca="1">_xlfn.CONCAT(B10740,A10743)</f>
        <v>103EA7E3-B</v>
      </c>
      <c r="C10743" s="17" t="str">
        <f>_xlfn.XLOOKUP(H10743,'Materiales unitario'!$A$1:$A$2500,'Materiales unitario'!B$1:B$2500,,0,1)</f>
        <v>Adaptador terminal PVC ø3/4"</v>
      </c>
      <c r="D10743" s="184" t="str">
        <f>_xlfn.XLOOKUP(H10743,'Materiales unitario'!A$1:A$2500,'Materiales unitario'!C$1:C$2500,,0,1)</f>
        <v>un</v>
      </c>
      <c r="E10743" s="197">
        <f>_xlfn.XLOOKUP(H10743,'Materiales unitario'!$A$1:$A$2500,'Materiales unitario'!D$1:D$2500,,0,1)</f>
        <v>920</v>
      </c>
      <c r="F10743" s="19">
        <v>0.1</v>
      </c>
      <c r="G10743" s="20">
        <f>+E10743*F10743</f>
        <v>92</v>
      </c>
      <c r="H10743" s="217" t="s">
        <v>604</v>
      </c>
    </row>
    <row r="10744" spans="1:8" ht="15">
      <c r="A10744" s="211" t="s">
        <v>486</v>
      </c>
      <c r="B10744" s="216" t="str">
        <f ca="1">_xlfn.CONCAT(B10740,A10744)</f>
        <v>103EA7E3-C</v>
      </c>
      <c r="C10744" s="17" t="str">
        <f>_xlfn.XLOOKUP(H10744,'Materiales unitario'!$A$1:$A$2500,'Materiales unitario'!B$1:B$2500,,0,1)</f>
        <v xml:space="preserve">Soporte Metálico Uniestruc Tubería ø3/4" </v>
      </c>
      <c r="D10744" s="184" t="str">
        <f>_xlfn.XLOOKUP(H10744,'Materiales unitario'!A$1:A$2500,'Materiales unitario'!C$1:C$2500,,0,1)</f>
        <v>un</v>
      </c>
      <c r="E10744" s="197">
        <f>_xlfn.XLOOKUP(H10744,'Materiales unitario'!$A$1:$A$2500,'Materiales unitario'!D$1:D$2500,,0,1)</f>
        <v>630</v>
      </c>
      <c r="F10744" s="19">
        <v>1.05</v>
      </c>
      <c r="G10744" s="20">
        <f>+E10744*F10744</f>
        <v>661.5</v>
      </c>
      <c r="H10744" s="217" t="s">
        <v>356</v>
      </c>
    </row>
    <row r="10745" spans="1:8" ht="15">
      <c r="A10745" s="211" t="s">
        <v>487</v>
      </c>
      <c r="B10745" s="216" t="str">
        <f ca="1">_xlfn.CONCAT(B10740,A10745)</f>
        <v>103EA7E3-D</v>
      </c>
      <c r="C10745" s="17" t="str">
        <f>_xlfn.XLOOKUP(H10745,'Materiales unitario'!$A$1:$A$2500,'Materiales unitario'!B$1:B$2500,,0,1)</f>
        <v>Chazo puntilla de nylol</v>
      </c>
      <c r="D10745" s="184" t="str">
        <f>_xlfn.XLOOKUP(H10745,'Materiales unitario'!A$1:A$2500,'Materiales unitario'!C$1:C$2500,,0,1)</f>
        <v>un</v>
      </c>
      <c r="E10745" s="197">
        <f>_xlfn.XLOOKUP(H10745,'Materiales unitario'!$A$1:$A$2500,'Materiales unitario'!D$1:D$2500,,0,1)</f>
        <v>300</v>
      </c>
      <c r="F10745" s="19">
        <v>2.2000000000000002</v>
      </c>
      <c r="G10745" s="20">
        <f>+E10745*F10745</f>
        <v>660</v>
      </c>
      <c r="H10745" s="217" t="s">
        <v>1706</v>
      </c>
    </row>
    <row r="10746" spans="1:8" ht="15">
      <c r="A10746" s="211" t="s">
        <v>488</v>
      </c>
      <c r="B10746" s="216" t="str">
        <f ca="1">_xlfn.CONCAT(B10740,A10746)</f>
        <v>103EA7E3-E</v>
      </c>
      <c r="C10746" s="17" t="str">
        <f>_xlfn.XLOOKUP(H10746,'Materiales unitario'!$A$1:$A$2500,'Materiales unitario'!B$1:B$2500,,0,1)</f>
        <v>Soldadura liquida PVC 1/4 de galón</v>
      </c>
      <c r="D10746" s="184" t="str">
        <f>_xlfn.XLOOKUP(H10746,'Materiales unitario'!A$1:A$2500,'Materiales unitario'!C$1:C$2500,,0,1)</f>
        <v>un</v>
      </c>
      <c r="E10746" s="197">
        <f>_xlfn.XLOOKUP(H10746,'Materiales unitario'!$A$1:$A$2500,'Materiales unitario'!D$1:D$2500,,0,1)</f>
        <v>60900</v>
      </c>
      <c r="F10746" s="19">
        <v>5.0000000000000001E-3</v>
      </c>
      <c r="G10746" s="20">
        <f>+E10746*F10746</f>
        <v>304.5</v>
      </c>
      <c r="H10746" s="217" t="s">
        <v>530</v>
      </c>
    </row>
    <row r="10747" spans="1:8" ht="15">
      <c r="A10747" s="211" t="s">
        <v>489</v>
      </c>
      <c r="B10747" s="216" t="str">
        <f ca="1">_xlfn.CONCAT(B10740,A10747)</f>
        <v>103EA7E3-F</v>
      </c>
      <c r="C10747" s="17"/>
      <c r="D10747" s="184"/>
      <c r="E10747" s="197"/>
      <c r="F10747" s="19"/>
      <c r="G10747" s="20"/>
      <c r="H10747" s="217"/>
    </row>
    <row r="10748" spans="1:8">
      <c r="A10748" s="211" t="s">
        <v>490</v>
      </c>
      <c r="B10748" s="216" t="str">
        <f ca="1">_xlfn.CONCAT(B10740,A10748)</f>
        <v>103EA7E3-G</v>
      </c>
      <c r="C10748" s="17"/>
      <c r="D10748" s="184"/>
      <c r="E10748" s="197"/>
      <c r="F10748" s="19"/>
      <c r="G10748" s="20"/>
    </row>
    <row r="10749" spans="1:8">
      <c r="A10749" s="211" t="s">
        <v>491</v>
      </c>
      <c r="B10749" s="216" t="str">
        <f ca="1">_xlfn.CONCAT(B10740,A10749)</f>
        <v>103EA7E3-H</v>
      </c>
      <c r="C10749" s="17"/>
      <c r="D10749" s="184"/>
      <c r="E10749" s="197"/>
      <c r="F10749" s="19"/>
      <c r="G10749" s="20"/>
    </row>
    <row r="10750" spans="1:8">
      <c r="A10750" s="211" t="s">
        <v>492</v>
      </c>
      <c r="B10750" s="216" t="str">
        <f ca="1">_xlfn.CONCAT(B10740,A10750)</f>
        <v>103EA7E3-I</v>
      </c>
      <c r="C10750" s="17"/>
      <c r="D10750" s="184"/>
      <c r="E10750" s="197"/>
      <c r="F10750" s="19"/>
      <c r="G10750" s="20"/>
    </row>
    <row r="10751" spans="1:8">
      <c r="A10751" s="211" t="s">
        <v>493</v>
      </c>
      <c r="B10751" s="216" t="str">
        <f ca="1">_xlfn.CONCAT(B10740,A10751)</f>
        <v>103EA7E3-J</v>
      </c>
      <c r="C10751" s="17"/>
      <c r="D10751" s="184"/>
      <c r="E10751" s="197"/>
      <c r="F10751" s="19"/>
      <c r="G10751" s="20"/>
    </row>
    <row r="10752" spans="1:8">
      <c r="A10752" s="211" t="s">
        <v>494</v>
      </c>
      <c r="B10752" s="216" t="str">
        <f ca="1">_xlfn.CONCAT(B10740,A10752)</f>
        <v>103EA7E3-K</v>
      </c>
      <c r="C10752" s="17"/>
      <c r="D10752" s="184"/>
      <c r="E10752" s="197"/>
      <c r="F10752" s="19"/>
      <c r="G10752" s="20"/>
    </row>
    <row r="10753" spans="1:8">
      <c r="A10753" s="211" t="s">
        <v>495</v>
      </c>
      <c r="B10753" s="216" t="str">
        <f ca="1">_xlfn.CONCAT(B10740,A10753)</f>
        <v>103EA7E3-L</v>
      </c>
      <c r="C10753" s="17"/>
      <c r="D10753" s="184"/>
      <c r="E10753" s="197"/>
      <c r="F10753" s="19"/>
      <c r="G10753" s="20"/>
    </row>
    <row r="10754" spans="1:8">
      <c r="A10754" s="211" t="s">
        <v>496</v>
      </c>
      <c r="B10754" s="216" t="str">
        <f ca="1">_xlfn.CONCAT(B10740,A10754)</f>
        <v>103EA7E3-M</v>
      </c>
      <c r="C10754" s="17"/>
      <c r="D10754" s="184"/>
      <c r="E10754" s="197"/>
      <c r="F10754" s="19"/>
      <c r="G10754" s="20"/>
    </row>
    <row r="10755" spans="1:8">
      <c r="A10755" s="211" t="s">
        <v>497</v>
      </c>
      <c r="B10755" s="216" t="str">
        <f ca="1">_xlfn.CONCAT(B10740,A10755)</f>
        <v>103EA7E3-N</v>
      </c>
      <c r="C10755" s="17"/>
      <c r="D10755" s="184"/>
      <c r="E10755" s="197"/>
      <c r="F10755" s="19"/>
      <c r="G10755" s="20"/>
    </row>
    <row r="10756" spans="1:8">
      <c r="A10756" s="211" t="s">
        <v>498</v>
      </c>
      <c r="B10756" s="216" t="str">
        <f ca="1">_xlfn.CONCAT(B10740,A10756)</f>
        <v>103EA7E3-O</v>
      </c>
      <c r="C10756" s="17"/>
      <c r="D10756" s="184"/>
      <c r="E10756" s="197"/>
      <c r="F10756" s="19"/>
      <c r="G10756" s="20"/>
    </row>
    <row r="10757" spans="1:8">
      <c r="A10757" s="211" t="s">
        <v>499</v>
      </c>
      <c r="B10757" s="216" t="str">
        <f ca="1">_xlfn.CONCAT(B10740,A10757)</f>
        <v>103EA7E3-P</v>
      </c>
      <c r="C10757" s="17"/>
      <c r="D10757" s="184"/>
      <c r="E10757" s="197"/>
      <c r="F10757" s="19"/>
      <c r="G10757" s="20"/>
    </row>
    <row r="10758" spans="1:8">
      <c r="A10758" s="211" t="s">
        <v>500</v>
      </c>
      <c r="B10758" s="216" t="str">
        <f ca="1">_xlfn.CONCAT(B10740,A10758)</f>
        <v>103EA7E3-Q</v>
      </c>
      <c r="C10758" s="17"/>
      <c r="D10758" s="184"/>
      <c r="E10758" s="197"/>
      <c r="F10758" s="19"/>
      <c r="G10758" s="20"/>
    </row>
    <row r="10759" spans="1:8">
      <c r="A10759" s="211" t="s">
        <v>501</v>
      </c>
      <c r="B10759" s="216" t="str">
        <f ca="1">_xlfn.CONCAT(B10740,A10759)</f>
        <v>103EA7E3-R</v>
      </c>
      <c r="C10759" s="17"/>
      <c r="D10759" s="184"/>
      <c r="E10759" s="197"/>
      <c r="F10759" s="19"/>
      <c r="G10759" s="20"/>
    </row>
    <row r="10760" spans="1:8">
      <c r="A10760" s="211" t="s">
        <v>502</v>
      </c>
      <c r="B10760" s="216" t="str">
        <f ca="1">_xlfn.CONCAT(B10740,A10760)</f>
        <v>103EA7E3-S</v>
      </c>
      <c r="C10760" s="17"/>
      <c r="D10760" s="184"/>
      <c r="E10760" s="197"/>
      <c r="F10760" s="19"/>
      <c r="G10760" s="20"/>
    </row>
    <row r="10761" spans="1:8">
      <c r="A10761" s="211" t="s">
        <v>503</v>
      </c>
      <c r="B10761" s="216" t="str">
        <f ca="1">_xlfn.CONCAT(B10740,A10761)</f>
        <v>103EA7E3-T</v>
      </c>
      <c r="C10761" s="17"/>
      <c r="D10761" s="184"/>
      <c r="E10761" s="197"/>
      <c r="F10761" s="19"/>
      <c r="G10761" s="20"/>
    </row>
    <row r="10762" spans="1:8" ht="14.25" thickBot="1">
      <c r="A10762" s="211" t="s">
        <v>504</v>
      </c>
      <c r="B10762" s="216" t="str">
        <f ca="1">_xlfn.CONCAT(B10740,A10762)</f>
        <v>103EA7E3-U</v>
      </c>
      <c r="C10762" s="17"/>
      <c r="D10762" s="184"/>
      <c r="E10762" s="197"/>
      <c r="F10762" s="19"/>
      <c r="G10762" s="20"/>
    </row>
    <row r="10763" spans="1:8" ht="14.25" thickBot="1">
      <c r="A10763" s="211" t="s">
        <v>505</v>
      </c>
      <c r="B10763" s="216" t="str">
        <f ca="1">_xlfn.CONCAT(B10740,A10763)</f>
        <v>103EA7E3-V</v>
      </c>
      <c r="C10763" s="17" t="s">
        <v>17</v>
      </c>
      <c r="D10763" s="192" t="s">
        <v>17</v>
      </c>
      <c r="E10763" s="18"/>
      <c r="F10763" s="22" t="s">
        <v>18</v>
      </c>
      <c r="G10763" s="23">
        <f>SUM(G10742:G10762)</f>
        <v>3888</v>
      </c>
    </row>
    <row r="10764" spans="1:8" ht="15.75" thickBot="1">
      <c r="A10764" s="211" t="s">
        <v>506</v>
      </c>
      <c r="B10764" s="216" t="str">
        <f ca="1">_xlfn.CONCAT(B10740,A10764)</f>
        <v>103EA7E3-W</v>
      </c>
      <c r="C10764" s="10" t="s">
        <v>19</v>
      </c>
      <c r="D10764" s="190"/>
      <c r="E10764" s="11"/>
      <c r="F10764" s="12"/>
      <c r="G10764" s="13"/>
    </row>
    <row r="10765" spans="1:8" ht="14.25" thickBot="1">
      <c r="A10765" s="211" t="s">
        <v>507</v>
      </c>
      <c r="B10765" s="216" t="str">
        <f ca="1">_xlfn.CONCAT(B10740,A10765)</f>
        <v>103EA7E3-X</v>
      </c>
      <c r="C10765" s="14" t="s">
        <v>1</v>
      </c>
      <c r="D10765" s="15"/>
      <c r="E10765" s="15" t="s">
        <v>20</v>
      </c>
      <c r="F10765" s="16" t="s">
        <v>21</v>
      </c>
      <c r="G10765" s="15" t="s">
        <v>5</v>
      </c>
      <c r="H10765" s="215"/>
    </row>
    <row r="10766" spans="1:8">
      <c r="A10766" s="211" t="s">
        <v>508</v>
      </c>
      <c r="B10766" s="216" t="str">
        <f ca="1">_xlfn.CONCAT(B10740,A10766)</f>
        <v>103EA7E3-Y</v>
      </c>
      <c r="C10766" s="24" t="s">
        <v>22</v>
      </c>
      <c r="D10766" s="184"/>
      <c r="E10766" s="25">
        <f>_xlfn.XLOOKUP(C10766,'H-MO'!B$7:B$30,'H-MO'!D$7:D$30,,0,1)</f>
        <v>2436.5624999999995</v>
      </c>
      <c r="F10766" s="19">
        <v>3.4000000000000002E-2</v>
      </c>
      <c r="G10766" s="33">
        <f t="shared" ref="G10766:G10771" si="306">+E10766*F10766</f>
        <v>82.843124999999986</v>
      </c>
    </row>
    <row r="10767" spans="1:8">
      <c r="A10767" s="211" t="s">
        <v>509</v>
      </c>
      <c r="B10767" s="216" t="str">
        <f ca="1">_xlfn.CONCAT(B10740,A10767)</f>
        <v>103EA7E3-Z</v>
      </c>
      <c r="C10767" s="24" t="s">
        <v>23</v>
      </c>
      <c r="D10767" s="184"/>
      <c r="E10767" s="25">
        <f>_xlfn.XLOOKUP(C10767,'H-MO'!B$7:B$30,'H-MO'!D$7:D$30,,0,1)</f>
        <v>1461.9374999999998</v>
      </c>
      <c r="F10767" s="19">
        <v>1.0893913043478261E-2</v>
      </c>
      <c r="G10767" s="33">
        <f t="shared" si="306"/>
        <v>15.926219999999997</v>
      </c>
    </row>
    <row r="10768" spans="1:8">
      <c r="A10768" s="211" t="s">
        <v>510</v>
      </c>
      <c r="B10768" s="216" t="str">
        <f ca="1">_xlfn.CONCAT(B10740,A10768)</f>
        <v>103EA7E3-aa</v>
      </c>
      <c r="C10768" s="24" t="s">
        <v>24</v>
      </c>
      <c r="D10768" s="185"/>
      <c r="E10768" s="25">
        <f>_xlfn.XLOOKUP(C10768,'H-MO'!B$7:B$30,'H-MO'!D$7:D$30,,0,1)</f>
        <v>29238.749999999996</v>
      </c>
      <c r="F10768" s="28">
        <v>1.8156521739130435E-4</v>
      </c>
      <c r="G10768" s="33">
        <f t="shared" si="306"/>
        <v>5.3087399999999993</v>
      </c>
    </row>
    <row r="10769" spans="1:8">
      <c r="A10769" s="211" t="s">
        <v>511</v>
      </c>
      <c r="B10769" s="216" t="str">
        <f ca="1">_xlfn.CONCAT(B10740,A10769)</f>
        <v>103EA7E3-ab</v>
      </c>
      <c r="C10769" s="24" t="s">
        <v>25</v>
      </c>
      <c r="D10769" s="185"/>
      <c r="E10769" s="25">
        <f>_xlfn.XLOOKUP(C10769,'H-MO'!B$7:B$30,'H-MO'!D$7:D$30,,0,1)</f>
        <v>2761.4374999999995</v>
      </c>
      <c r="F10769" s="28">
        <v>0.02</v>
      </c>
      <c r="G10769" s="33">
        <f t="shared" si="306"/>
        <v>55.228749999999991</v>
      </c>
    </row>
    <row r="10770" spans="1:8">
      <c r="A10770" s="211" t="s">
        <v>512</v>
      </c>
      <c r="B10770" s="216" t="str">
        <f ca="1">_xlfn.CONCAT(B10740,A10770)</f>
        <v>103EA7E3-ac</v>
      </c>
      <c r="C10770" s="24"/>
      <c r="D10770" s="185"/>
      <c r="E10770" s="29"/>
      <c r="F10770" s="28"/>
      <c r="G10770" s="33">
        <f t="shared" si="306"/>
        <v>0</v>
      </c>
    </row>
    <row r="10771" spans="1:8" ht="14.25" thickBot="1">
      <c r="A10771" s="211" t="s">
        <v>513</v>
      </c>
      <c r="B10771" s="216" t="str">
        <f ca="1">_xlfn.CONCAT(B10740,A10771)</f>
        <v>103EA7E3-ad</v>
      </c>
      <c r="C10771" s="24"/>
      <c r="D10771" s="185"/>
      <c r="E10771" s="29"/>
      <c r="F10771" s="28"/>
      <c r="G10771" s="33">
        <f t="shared" si="306"/>
        <v>0</v>
      </c>
    </row>
    <row r="10772" spans="1:8" ht="14.25" thickBot="1">
      <c r="A10772" s="211" t="s">
        <v>514</v>
      </c>
      <c r="B10772" s="216" t="str">
        <f ca="1">_xlfn.CONCAT(B10740,A10772)</f>
        <v>103EA7E3-ae</v>
      </c>
      <c r="C10772" s="17"/>
      <c r="D10772" s="192"/>
      <c r="E10772" s="18"/>
      <c r="F10772" s="22" t="s">
        <v>26</v>
      </c>
      <c r="G10772" s="23">
        <f>SUM(G10766:G10771)</f>
        <v>159.30683499999998</v>
      </c>
    </row>
    <row r="10773" spans="1:8" ht="15.75" thickBot="1">
      <c r="A10773" s="211" t="s">
        <v>515</v>
      </c>
      <c r="B10773" s="216" t="str">
        <f ca="1">_xlfn.CONCAT(B10740,A10773)</f>
        <v>103EA7E3-af</v>
      </c>
      <c r="C10773" s="10" t="s">
        <v>27</v>
      </c>
      <c r="D10773" s="190"/>
      <c r="E10773" s="11"/>
      <c r="F10773" s="12"/>
      <c r="G10773" s="13"/>
    </row>
    <row r="10774" spans="1:8" ht="14.25" thickBot="1">
      <c r="A10774" s="211" t="s">
        <v>516</v>
      </c>
      <c r="B10774" s="216" t="str">
        <f ca="1">_xlfn.CONCAT(B10740,A10774)</f>
        <v>103EA7E3-ag</v>
      </c>
      <c r="C10774" s="14" t="s">
        <v>1</v>
      </c>
      <c r="D10774" s="15" t="s">
        <v>28</v>
      </c>
      <c r="E10774" s="15" t="s">
        <v>20</v>
      </c>
      <c r="F10774" s="16" t="s">
        <v>21</v>
      </c>
      <c r="G10774" s="15" t="s">
        <v>5</v>
      </c>
      <c r="H10774" s="215"/>
    </row>
    <row r="10775" spans="1:8">
      <c r="A10775" s="211" t="s">
        <v>517</v>
      </c>
      <c r="B10775" s="216" t="str">
        <f ca="1">_xlfn.CONCAT(B10740,A10775)</f>
        <v>103EA7E3-ah</v>
      </c>
      <c r="C10775" s="30" t="s">
        <v>29</v>
      </c>
      <c r="D10775" s="186">
        <f>'H-MO'!$N$77</f>
        <v>725918.52892505517</v>
      </c>
      <c r="E10775" s="31">
        <f>+D10775/8</f>
        <v>90739.816115631897</v>
      </c>
      <c r="F10775" s="32">
        <v>3.4000000000000002E-2</v>
      </c>
      <c r="G10775" s="33">
        <f>+E10775*F10775</f>
        <v>3085.1537479314848</v>
      </c>
    </row>
    <row r="10776" spans="1:8">
      <c r="A10776" s="211" t="s">
        <v>518</v>
      </c>
      <c r="B10776" s="216" t="str">
        <f ca="1">_xlfn.CONCAT(B10740,A10776)</f>
        <v>103EA7E3-ai</v>
      </c>
      <c r="C10776" s="34" t="s">
        <v>30</v>
      </c>
      <c r="D10776" s="187">
        <f>'H-MO'!$N$86</f>
        <v>685561.39085756091</v>
      </c>
      <c r="E10776" s="29">
        <f>+D10776/8</f>
        <v>85695.173857195114</v>
      </c>
      <c r="F10776" s="28">
        <v>0</v>
      </c>
      <c r="G10776" s="33">
        <f>+E10776*F10776</f>
        <v>0</v>
      </c>
    </row>
    <row r="10777" spans="1:8" ht="14.25" thickBot="1">
      <c r="A10777" s="211" t="s">
        <v>519</v>
      </c>
      <c r="B10777" s="216" t="str">
        <f ca="1">_xlfn.CONCAT(B10740,A10777)</f>
        <v>103EA7E3-aj</v>
      </c>
      <c r="C10777" s="34"/>
      <c r="D10777" s="187"/>
      <c r="E10777" s="29"/>
      <c r="F10777" s="28"/>
      <c r="G10777" s="33">
        <f>+E10777*F10777</f>
        <v>0</v>
      </c>
    </row>
    <row r="10778" spans="1:8" ht="14.25" thickBot="1">
      <c r="A10778" s="211" t="s">
        <v>520</v>
      </c>
      <c r="B10778" s="216" t="str">
        <f ca="1">_xlfn.CONCAT(B10740,A10778)</f>
        <v>103EA7E3-ak</v>
      </c>
      <c r="C10778" s="34"/>
      <c r="D10778" s="185"/>
      <c r="E10778" s="26"/>
      <c r="F10778" s="36" t="s">
        <v>31</v>
      </c>
      <c r="G10778" s="23">
        <f>SUM(G10775:G10777)</f>
        <v>3085.1537479314848</v>
      </c>
    </row>
    <row r="10779" spans="1:8" ht="14.25" thickBot="1">
      <c r="A10779" s="211" t="s">
        <v>521</v>
      </c>
      <c r="B10779" s="216" t="str">
        <f ca="1">_xlfn.CONCAT(B10740,A10779)</f>
        <v>103EA7E3-al</v>
      </c>
      <c r="C10779" s="37"/>
      <c r="E10779" s="38"/>
      <c r="F10779" s="22"/>
      <c r="G10779" s="39"/>
    </row>
    <row r="10780" spans="1:8" ht="16.5" thickBot="1">
      <c r="A10780" s="211" t="s">
        <v>522</v>
      </c>
      <c r="B10780" s="216" t="str">
        <f ca="1">_xlfn.CONCAT(B10740,A10780)</f>
        <v>103EA7E3-am</v>
      </c>
      <c r="C10780" s="40"/>
      <c r="D10780" s="193"/>
      <c r="E10780" s="41"/>
      <c r="F10780" s="42"/>
      <c r="G10780" s="43">
        <f>+G10763+G10772+G10778</f>
        <v>7132.4605829314842</v>
      </c>
    </row>
    <row r="10781" spans="1:8" ht="14.25" thickBot="1">
      <c r="B10781" s="216" t="s">
        <v>550</v>
      </c>
    </row>
    <row r="10782" spans="1:8" ht="18.75">
      <c r="A10782" s="213"/>
      <c r="B10782" s="214">
        <v>245</v>
      </c>
      <c r="C10782" s="242" t="str">
        <f ca="1">_xlfn.XLOOKUP(B10782,Cantidades!$A$10:$A$314,Cantidades!$C$10:$C$314,,0,1)</f>
        <v>Suministro e instalacion de tubería 1Ø1 1/2" EMT</v>
      </c>
      <c r="D10782" s="243"/>
      <c r="E10782" s="243"/>
      <c r="F10782" s="243"/>
      <c r="G10782" s="244"/>
      <c r="H10782" s="213"/>
    </row>
    <row r="10783" spans="1:8" ht="19.5" thickBot="1">
      <c r="A10783" s="215"/>
      <c r="B10783" s="216" t="s">
        <v>550</v>
      </c>
      <c r="C10783" s="177"/>
      <c r="D10783" s="189"/>
      <c r="E10783" s="178"/>
      <c r="F10783" s="179" t="s">
        <v>636</v>
      </c>
      <c r="G10783" s="209" t="str">
        <f ca="1">B10784</f>
        <v>195FAE5A-</v>
      </c>
      <c r="H10783" s="215"/>
    </row>
    <row r="10784" spans="1:8" ht="15.75" thickBot="1">
      <c r="B10784" s="212" t="str">
        <f ca="1">_xlfn.XLOOKUP(C10782,Cantidades!$C$1:$C$314,Cantidades!$B$1:$B$314,"",0,1)</f>
        <v>195FAE5A-</v>
      </c>
      <c r="C10784" s="10" t="s">
        <v>0</v>
      </c>
      <c r="D10784" s="190"/>
      <c r="E10784" s="11"/>
      <c r="F10784" s="12"/>
      <c r="G10784" s="13"/>
    </row>
    <row r="10785" spans="1:8" ht="14.25" thickBot="1">
      <c r="A10785" s="215"/>
      <c r="B10785" s="216" t="s">
        <v>550</v>
      </c>
      <c r="C10785" s="14" t="s">
        <v>1</v>
      </c>
      <c r="D10785" s="15" t="s">
        <v>2</v>
      </c>
      <c r="E10785" s="15" t="s">
        <v>3</v>
      </c>
      <c r="F10785" s="16" t="s">
        <v>4</v>
      </c>
      <c r="G10785" s="15" t="s">
        <v>5</v>
      </c>
      <c r="H10785" s="215"/>
    </row>
    <row r="10786" spans="1:8" ht="15">
      <c r="A10786" s="211" t="s">
        <v>484</v>
      </c>
      <c r="B10786" s="216" t="str">
        <f ca="1">_xlfn.CONCAT(B10784,A10786)</f>
        <v>195FAE5A-A</v>
      </c>
      <c r="C10786" s="17" t="str">
        <f>_xlfn.XLOOKUP(H10786,'Materiales unitario'!$A$1:$A$2500,'Materiales unitario'!B$1:B$2500,,0,1)</f>
        <v>Tubo metálico ø1 1/2" EMT</v>
      </c>
      <c r="D10786" s="184" t="str">
        <f>_xlfn.XLOOKUP(H10786,'Materiales unitario'!A$1:A$2500,'Materiales unitario'!C$1:C$2500,,0,1)</f>
        <v>ml</v>
      </c>
      <c r="E10786" s="197">
        <f>_xlfn.XLOOKUP(H10786,'Materiales unitario'!$A$1:$A$2500,'Materiales unitario'!D$1:D$2500,,0,1)</f>
        <v>25100</v>
      </c>
      <c r="F10786" s="19">
        <v>1.05</v>
      </c>
      <c r="G10786" s="20">
        <f>+E10786*F10786</f>
        <v>26355</v>
      </c>
      <c r="H10786" s="217" t="s">
        <v>1442</v>
      </c>
    </row>
    <row r="10787" spans="1:8" ht="15">
      <c r="A10787" s="211" t="s">
        <v>485</v>
      </c>
      <c r="B10787" s="216" t="str">
        <f ca="1">_xlfn.CONCAT(B10784,A10787)</f>
        <v>195FAE5A-B</v>
      </c>
      <c r="C10787" s="17" t="str">
        <f>_xlfn.XLOOKUP(H10787,'Materiales unitario'!$A$1:$A$2500,'Materiales unitario'!B$1:B$2500,,0,1)</f>
        <v>Unión metálica ø1 1/2" EMT</v>
      </c>
      <c r="D10787" s="184" t="str">
        <f>_xlfn.XLOOKUP(H10787,'Materiales unitario'!A$1:A$2500,'Materiales unitario'!C$1:C$2500,,0,1)</f>
        <v>un</v>
      </c>
      <c r="E10787" s="197">
        <f>_xlfn.XLOOKUP(H10787,'Materiales unitario'!$A$1:$A$2500,'Materiales unitario'!D$1:D$2500,,0,1)</f>
        <v>4850</v>
      </c>
      <c r="F10787" s="19">
        <v>0.35</v>
      </c>
      <c r="G10787" s="20">
        <f>+E10787*F10787</f>
        <v>1697.5</v>
      </c>
      <c r="H10787" s="217" t="s">
        <v>1443</v>
      </c>
    </row>
    <row r="10788" spans="1:8" ht="15">
      <c r="A10788" s="211" t="s">
        <v>486</v>
      </c>
      <c r="B10788" s="216" t="str">
        <f ca="1">_xlfn.CONCAT(B10784,A10788)</f>
        <v>195FAE5A-C</v>
      </c>
      <c r="C10788" s="17" t="str">
        <f>_xlfn.XLOOKUP(H10788,'Materiales unitario'!$A$1:$A$2500,'Materiales unitario'!B$1:B$2500,,0,1)</f>
        <v xml:space="preserve">Terminal metálico ø1 1/2" EMT </v>
      </c>
      <c r="D10788" s="184" t="str">
        <f>_xlfn.XLOOKUP(H10788,'Materiales unitario'!A$1:A$2500,'Materiales unitario'!C$1:C$2500,,0,1)</f>
        <v>un</v>
      </c>
      <c r="E10788" s="197">
        <f>_xlfn.XLOOKUP(H10788,'Materiales unitario'!$A$1:$A$2500,'Materiales unitario'!D$1:D$2500,,0,1)</f>
        <v>5860</v>
      </c>
      <c r="F10788" s="19">
        <v>0.1</v>
      </c>
      <c r="G10788" s="20">
        <f>+E10788*F10788</f>
        <v>586</v>
      </c>
      <c r="H10788" s="217" t="s">
        <v>1444</v>
      </c>
    </row>
    <row r="10789" spans="1:8" ht="15">
      <c r="A10789" s="211" t="s">
        <v>487</v>
      </c>
      <c r="B10789" s="216" t="str">
        <f ca="1">_xlfn.CONCAT(B10784,A10789)</f>
        <v>195FAE5A-D</v>
      </c>
      <c r="C10789" s="17" t="str">
        <f>_xlfn.XLOOKUP(H10789,'Materiales unitario'!$A$1:$A$2500,'Materiales unitario'!B$1:B$2500,,0,1)</f>
        <v>Curva metálica ø1 1/2" EMT</v>
      </c>
      <c r="D10789" s="184" t="str">
        <f>_xlfn.XLOOKUP(H10789,'Materiales unitario'!A$1:A$2500,'Materiales unitario'!C$1:C$2500,,0,1)</f>
        <v>un</v>
      </c>
      <c r="E10789" s="197">
        <f>_xlfn.XLOOKUP(H10789,'Materiales unitario'!$A$1:$A$2500,'Materiales unitario'!D$1:D$2500,,0,1)</f>
        <v>11470</v>
      </c>
      <c r="F10789" s="19">
        <v>0.1</v>
      </c>
      <c r="G10789" s="20">
        <f>+E10789*F10789</f>
        <v>1147</v>
      </c>
      <c r="H10789" s="217" t="s">
        <v>1445</v>
      </c>
    </row>
    <row r="10790" spans="1:8" ht="15">
      <c r="A10790" s="211" t="s">
        <v>488</v>
      </c>
      <c r="B10790" s="216" t="str">
        <f ca="1">_xlfn.CONCAT(B10784,A10790)</f>
        <v>195FAE5A-E</v>
      </c>
      <c r="C10790" s="17" t="str">
        <f>_xlfn.XLOOKUP(H10790,'Materiales unitario'!$A$1:$A$2500,'Materiales unitario'!B$1:B$2500,,0,1)</f>
        <v>Soporte metalico 1 1/2"</v>
      </c>
      <c r="D10790" s="184" t="str">
        <f>_xlfn.XLOOKUP(H10790,'Materiales unitario'!A$1:A$2500,'Materiales unitario'!C$1:C$2500,,0,1)</f>
        <v>un</v>
      </c>
      <c r="E10790" s="197">
        <f>_xlfn.XLOOKUP(H10790,'Materiales unitario'!$A$1:$A$2500,'Materiales unitario'!D$1:D$2500,,0,1)</f>
        <v>2860</v>
      </c>
      <c r="F10790" s="19">
        <v>0.75</v>
      </c>
      <c r="G10790" s="20">
        <f>+E10790*F10790</f>
        <v>2145</v>
      </c>
      <c r="H10790" s="217" t="s">
        <v>1446</v>
      </c>
    </row>
    <row r="10791" spans="1:8" ht="15">
      <c r="A10791" s="211" t="s">
        <v>489</v>
      </c>
      <c r="B10791" s="216" t="str">
        <f ca="1">_xlfn.CONCAT(B10784,A10791)</f>
        <v>195FAE5A-F</v>
      </c>
      <c r="C10791" s="17"/>
      <c r="D10791" s="184"/>
      <c r="E10791" s="197"/>
      <c r="F10791" s="19"/>
      <c r="G10791" s="20"/>
      <c r="H10791" s="217"/>
    </row>
    <row r="10792" spans="1:8" ht="15">
      <c r="A10792" s="211" t="s">
        <v>490</v>
      </c>
      <c r="B10792" s="216" t="str">
        <f ca="1">_xlfn.CONCAT(B10784,A10792)</f>
        <v>195FAE5A-G</v>
      </c>
      <c r="C10792" s="17"/>
      <c r="D10792" s="184"/>
      <c r="E10792" s="197"/>
      <c r="F10792" s="19"/>
      <c r="G10792" s="20"/>
      <c r="H10792" s="217"/>
    </row>
    <row r="10793" spans="1:8" ht="15">
      <c r="A10793" s="211" t="s">
        <v>491</v>
      </c>
      <c r="B10793" s="216" t="str">
        <f ca="1">_xlfn.CONCAT(B10784,A10793)</f>
        <v>195FAE5A-H</v>
      </c>
      <c r="C10793" s="17"/>
      <c r="D10793" s="184"/>
      <c r="E10793" s="197"/>
      <c r="F10793" s="19"/>
      <c r="G10793" s="20"/>
      <c r="H10793" s="217"/>
    </row>
    <row r="10794" spans="1:8">
      <c r="A10794" s="211" t="s">
        <v>492</v>
      </c>
      <c r="B10794" s="216" t="str">
        <f ca="1">_xlfn.CONCAT(B10784,A10794)</f>
        <v>195FAE5A-I</v>
      </c>
      <c r="C10794" s="17"/>
      <c r="D10794" s="184"/>
      <c r="E10794" s="197"/>
      <c r="F10794" s="19"/>
      <c r="G10794" s="20"/>
    </row>
    <row r="10795" spans="1:8">
      <c r="A10795" s="211" t="s">
        <v>493</v>
      </c>
      <c r="B10795" s="216" t="str">
        <f ca="1">_xlfn.CONCAT(B10784,A10795)</f>
        <v>195FAE5A-J</v>
      </c>
      <c r="C10795" s="17"/>
      <c r="D10795" s="184"/>
      <c r="E10795" s="197"/>
      <c r="F10795" s="19"/>
      <c r="G10795" s="20"/>
    </row>
    <row r="10796" spans="1:8">
      <c r="A10796" s="211" t="s">
        <v>494</v>
      </c>
      <c r="B10796" s="216" t="str">
        <f ca="1">_xlfn.CONCAT(B10784,A10796)</f>
        <v>195FAE5A-K</v>
      </c>
      <c r="C10796" s="17"/>
      <c r="D10796" s="184"/>
      <c r="E10796" s="197"/>
      <c r="F10796" s="19"/>
      <c r="G10796" s="20"/>
    </row>
    <row r="10797" spans="1:8">
      <c r="A10797" s="211" t="s">
        <v>495</v>
      </c>
      <c r="B10797" s="216" t="str">
        <f ca="1">_xlfn.CONCAT(B10784,A10797)</f>
        <v>195FAE5A-L</v>
      </c>
      <c r="C10797" s="17"/>
      <c r="D10797" s="184"/>
      <c r="E10797" s="197"/>
      <c r="F10797" s="19"/>
      <c r="G10797" s="20"/>
    </row>
    <row r="10798" spans="1:8">
      <c r="A10798" s="211" t="s">
        <v>496</v>
      </c>
      <c r="B10798" s="216" t="str">
        <f ca="1">_xlfn.CONCAT(B10784,A10798)</f>
        <v>195FAE5A-M</v>
      </c>
      <c r="C10798" s="17"/>
      <c r="D10798" s="184"/>
      <c r="E10798" s="197"/>
      <c r="F10798" s="19"/>
      <c r="G10798" s="20"/>
    </row>
    <row r="10799" spans="1:8">
      <c r="A10799" s="211" t="s">
        <v>497</v>
      </c>
      <c r="B10799" s="216" t="str">
        <f ca="1">_xlfn.CONCAT(B10784,A10799)</f>
        <v>195FAE5A-N</v>
      </c>
      <c r="C10799" s="17"/>
      <c r="D10799" s="184"/>
      <c r="E10799" s="197"/>
      <c r="F10799" s="19"/>
      <c r="G10799" s="20"/>
    </row>
    <row r="10800" spans="1:8">
      <c r="A10800" s="211" t="s">
        <v>498</v>
      </c>
      <c r="B10800" s="216" t="str">
        <f ca="1">_xlfn.CONCAT(B10784,A10800)</f>
        <v>195FAE5A-O</v>
      </c>
      <c r="C10800" s="17"/>
      <c r="D10800" s="184"/>
      <c r="E10800" s="197"/>
      <c r="F10800" s="19"/>
      <c r="G10800" s="20"/>
    </row>
    <row r="10801" spans="1:8">
      <c r="A10801" s="211" t="s">
        <v>499</v>
      </c>
      <c r="B10801" s="216" t="str">
        <f ca="1">_xlfn.CONCAT(B10784,A10801)</f>
        <v>195FAE5A-P</v>
      </c>
      <c r="C10801" s="17"/>
      <c r="D10801" s="184"/>
      <c r="E10801" s="197"/>
      <c r="F10801" s="19"/>
      <c r="G10801" s="20"/>
    </row>
    <row r="10802" spans="1:8">
      <c r="A10802" s="211" t="s">
        <v>500</v>
      </c>
      <c r="B10802" s="216" t="str">
        <f ca="1">_xlfn.CONCAT(B10784,A10802)</f>
        <v>195FAE5A-Q</v>
      </c>
      <c r="C10802" s="17"/>
      <c r="D10802" s="184"/>
      <c r="E10802" s="197"/>
      <c r="F10802" s="19"/>
      <c r="G10802" s="20"/>
    </row>
    <row r="10803" spans="1:8">
      <c r="A10803" s="211" t="s">
        <v>501</v>
      </c>
      <c r="B10803" s="216" t="str">
        <f ca="1">_xlfn.CONCAT(B10784,A10803)</f>
        <v>195FAE5A-R</v>
      </c>
      <c r="C10803" s="17"/>
      <c r="D10803" s="184"/>
      <c r="E10803" s="197"/>
      <c r="F10803" s="19"/>
      <c r="G10803" s="20"/>
    </row>
    <row r="10804" spans="1:8">
      <c r="A10804" s="211" t="s">
        <v>502</v>
      </c>
      <c r="B10804" s="216" t="str">
        <f ca="1">_xlfn.CONCAT(B10784,A10804)</f>
        <v>195FAE5A-S</v>
      </c>
      <c r="C10804" s="17"/>
      <c r="D10804" s="184"/>
      <c r="E10804" s="197"/>
      <c r="F10804" s="19"/>
      <c r="G10804" s="20"/>
    </row>
    <row r="10805" spans="1:8">
      <c r="A10805" s="211" t="s">
        <v>503</v>
      </c>
      <c r="B10805" s="216" t="str">
        <f ca="1">_xlfn.CONCAT(B10784,A10805)</f>
        <v>195FAE5A-T</v>
      </c>
      <c r="C10805" s="17"/>
      <c r="D10805" s="184"/>
      <c r="E10805" s="197"/>
      <c r="F10805" s="19"/>
      <c r="G10805" s="20"/>
    </row>
    <row r="10806" spans="1:8" ht="14.25" thickBot="1">
      <c r="A10806" s="211" t="s">
        <v>504</v>
      </c>
      <c r="B10806" s="216" t="str">
        <f ca="1">_xlfn.CONCAT(B10784,A10806)</f>
        <v>195FAE5A-U</v>
      </c>
      <c r="C10806" s="17"/>
      <c r="D10806" s="184"/>
      <c r="E10806" s="197"/>
      <c r="F10806" s="19"/>
      <c r="G10806" s="20"/>
    </row>
    <row r="10807" spans="1:8" ht="14.25" thickBot="1">
      <c r="A10807" s="211" t="s">
        <v>505</v>
      </c>
      <c r="B10807" s="216" t="str">
        <f ca="1">_xlfn.CONCAT(B10784,A10807)</f>
        <v>195FAE5A-V</v>
      </c>
      <c r="C10807" s="17" t="s">
        <v>17</v>
      </c>
      <c r="D10807" s="192" t="s">
        <v>17</v>
      </c>
      <c r="E10807" s="18"/>
      <c r="F10807" s="22" t="s">
        <v>18</v>
      </c>
      <c r="G10807" s="23">
        <f>SUM(G10786:G10806)</f>
        <v>31930.5</v>
      </c>
    </row>
    <row r="10808" spans="1:8" ht="15.75" thickBot="1">
      <c r="A10808" s="211" t="s">
        <v>506</v>
      </c>
      <c r="B10808" s="216" t="str">
        <f ca="1">_xlfn.CONCAT(B10784,A10808)</f>
        <v>195FAE5A-W</v>
      </c>
      <c r="C10808" s="10" t="s">
        <v>19</v>
      </c>
      <c r="D10808" s="190"/>
      <c r="E10808" s="11"/>
      <c r="F10808" s="12"/>
      <c r="G10808" s="13"/>
    </row>
    <row r="10809" spans="1:8" ht="14.25" thickBot="1">
      <c r="A10809" s="211" t="s">
        <v>507</v>
      </c>
      <c r="B10809" s="216" t="str">
        <f ca="1">_xlfn.CONCAT(B10784,A10809)</f>
        <v>195FAE5A-X</v>
      </c>
      <c r="C10809" s="14" t="s">
        <v>1</v>
      </c>
      <c r="D10809" s="15"/>
      <c r="E10809" s="15" t="s">
        <v>20</v>
      </c>
      <c r="F10809" s="16" t="s">
        <v>21</v>
      </c>
      <c r="G10809" s="15" t="s">
        <v>5</v>
      </c>
      <c r="H10809" s="215"/>
    </row>
    <row r="10810" spans="1:8">
      <c r="A10810" s="211" t="s">
        <v>508</v>
      </c>
      <c r="B10810" s="216" t="str">
        <f ca="1">_xlfn.CONCAT(B10784,A10810)</f>
        <v>195FAE5A-Y</v>
      </c>
      <c r="C10810" s="24" t="s">
        <v>22</v>
      </c>
      <c r="D10810" s="184"/>
      <c r="E10810" s="25">
        <f>_xlfn.XLOOKUP(C10810,'H-MO'!B$7:B$30,'H-MO'!D$7:D$30,,0,1)</f>
        <v>2436.5624999999995</v>
      </c>
      <c r="F10810" s="19">
        <v>0.4</v>
      </c>
      <c r="G10810" s="33">
        <f t="shared" ref="G10810:G10815" si="307">+E10810*F10810</f>
        <v>974.62499999999989</v>
      </c>
    </row>
    <row r="10811" spans="1:8">
      <c r="A10811" s="211" t="s">
        <v>509</v>
      </c>
      <c r="B10811" s="216" t="str">
        <f ca="1">_xlfn.CONCAT(B10784,A10811)</f>
        <v>195FAE5A-Z</v>
      </c>
      <c r="C10811" s="24" t="s">
        <v>23</v>
      </c>
      <c r="D10811" s="184"/>
      <c r="E10811" s="25">
        <f>_xlfn.XLOOKUP(C10811,'H-MO'!B$7:B$30,'H-MO'!D$7:D$30,,0,1)</f>
        <v>1461.9374999999998</v>
      </c>
      <c r="F10811" s="19">
        <v>0.05</v>
      </c>
      <c r="G10811" s="33">
        <f t="shared" si="307"/>
        <v>73.096874999999997</v>
      </c>
    </row>
    <row r="10812" spans="1:8">
      <c r="A10812" s="211" t="s">
        <v>510</v>
      </c>
      <c r="B10812" s="216" t="str">
        <f ca="1">_xlfn.CONCAT(B10784,A10812)</f>
        <v>195FAE5A-aa</v>
      </c>
      <c r="C10812" s="24" t="s">
        <v>24</v>
      </c>
      <c r="D10812" s="185"/>
      <c r="E10812" s="25">
        <f>_xlfn.XLOOKUP(C10812,'H-MO'!B$7:B$30,'H-MO'!D$7:D$30,,0,1)</f>
        <v>29238.749999999996</v>
      </c>
      <c r="F10812" s="28">
        <v>0.02</v>
      </c>
      <c r="G10812" s="33">
        <f t="shared" si="307"/>
        <v>584.77499999999998</v>
      </c>
    </row>
    <row r="10813" spans="1:8">
      <c r="A10813" s="211" t="s">
        <v>511</v>
      </c>
      <c r="B10813" s="216" t="str">
        <f ca="1">_xlfn.CONCAT(B10784,A10813)</f>
        <v>195FAE5A-ab</v>
      </c>
      <c r="C10813" s="24" t="s">
        <v>25</v>
      </c>
      <c r="D10813" s="185"/>
      <c r="E10813" s="25">
        <f>_xlfn.XLOOKUP(C10813,'H-MO'!B$7:B$30,'H-MO'!D$7:D$30,,0,1)</f>
        <v>2761.4374999999995</v>
      </c>
      <c r="F10813" s="28">
        <v>0.1</v>
      </c>
      <c r="G10813" s="33">
        <f t="shared" si="307"/>
        <v>276.14374999999995</v>
      </c>
    </row>
    <row r="10814" spans="1:8">
      <c r="A10814" s="211" t="s">
        <v>512</v>
      </c>
      <c r="B10814" s="216" t="str">
        <f ca="1">_xlfn.CONCAT(B10784,A10814)</f>
        <v>195FAE5A-ac</v>
      </c>
      <c r="C10814" s="24"/>
      <c r="D10814" s="185"/>
      <c r="E10814" s="29"/>
      <c r="F10814" s="28"/>
      <c r="G10814" s="33">
        <f t="shared" si="307"/>
        <v>0</v>
      </c>
    </row>
    <row r="10815" spans="1:8" ht="14.25" thickBot="1">
      <c r="A10815" s="211" t="s">
        <v>513</v>
      </c>
      <c r="B10815" s="216" t="str">
        <f ca="1">_xlfn.CONCAT(B10784,A10815)</f>
        <v>195FAE5A-ad</v>
      </c>
      <c r="C10815" s="24"/>
      <c r="D10815" s="185"/>
      <c r="E10815" s="29"/>
      <c r="F10815" s="28"/>
      <c r="G10815" s="33">
        <f t="shared" si="307"/>
        <v>0</v>
      </c>
    </row>
    <row r="10816" spans="1:8" ht="14.25" thickBot="1">
      <c r="A10816" s="211" t="s">
        <v>514</v>
      </c>
      <c r="B10816" s="216" t="str">
        <f ca="1">_xlfn.CONCAT(B10784,A10816)</f>
        <v>195FAE5A-ae</v>
      </c>
      <c r="C10816" s="17"/>
      <c r="D10816" s="192"/>
      <c r="E10816" s="18"/>
      <c r="F10816" s="22" t="s">
        <v>26</v>
      </c>
      <c r="G10816" s="23">
        <f>SUM(G10810:G10815)</f>
        <v>1908.6406249999998</v>
      </c>
    </row>
    <row r="10817" spans="1:8" ht="15.75" thickBot="1">
      <c r="A10817" s="211" t="s">
        <v>515</v>
      </c>
      <c r="B10817" s="216" t="str">
        <f ca="1">_xlfn.CONCAT(B10784,A10817)</f>
        <v>195FAE5A-af</v>
      </c>
      <c r="C10817" s="10" t="s">
        <v>27</v>
      </c>
      <c r="D10817" s="190"/>
      <c r="E10817" s="11"/>
      <c r="F10817" s="12"/>
      <c r="G10817" s="13"/>
    </row>
    <row r="10818" spans="1:8" ht="14.25" thickBot="1">
      <c r="A10818" s="211" t="s">
        <v>516</v>
      </c>
      <c r="B10818" s="216" t="str">
        <f ca="1">_xlfn.CONCAT(B10784,A10818)</f>
        <v>195FAE5A-ag</v>
      </c>
      <c r="C10818" s="14" t="s">
        <v>1</v>
      </c>
      <c r="D10818" s="15" t="s">
        <v>28</v>
      </c>
      <c r="E10818" s="15" t="s">
        <v>20</v>
      </c>
      <c r="F10818" s="16" t="s">
        <v>21</v>
      </c>
      <c r="G10818" s="15" t="s">
        <v>5</v>
      </c>
      <c r="H10818" s="215"/>
    </row>
    <row r="10819" spans="1:8">
      <c r="A10819" s="211" t="s">
        <v>517</v>
      </c>
      <c r="B10819" s="216" t="str">
        <f ca="1">_xlfn.CONCAT(B10784,A10819)</f>
        <v>195FAE5A-ah</v>
      </c>
      <c r="C10819" s="30" t="s">
        <v>29</v>
      </c>
      <c r="D10819" s="186">
        <f>'H-MO'!$N$77</f>
        <v>725918.52892505517</v>
      </c>
      <c r="E10819" s="31">
        <f>+D10819/8</f>
        <v>90739.816115631897</v>
      </c>
      <c r="F10819" s="32">
        <v>0.47</v>
      </c>
      <c r="G10819" s="33">
        <f>+E10819*F10819</f>
        <v>42647.713574346992</v>
      </c>
    </row>
    <row r="10820" spans="1:8">
      <c r="A10820" s="211" t="s">
        <v>518</v>
      </c>
      <c r="B10820" s="216" t="str">
        <f ca="1">_xlfn.CONCAT(B10784,A10820)</f>
        <v>195FAE5A-ai</v>
      </c>
      <c r="C10820" s="34" t="s">
        <v>30</v>
      </c>
      <c r="D10820" s="187">
        <f>'H-MO'!$N$86</f>
        <v>685561.39085756091</v>
      </c>
      <c r="E10820" s="29">
        <f>+D10820/8</f>
        <v>85695.173857195114</v>
      </c>
      <c r="F10820" s="28">
        <v>0.03</v>
      </c>
      <c r="G10820" s="33">
        <f>+E10820*F10820</f>
        <v>2570.8552157158533</v>
      </c>
    </row>
    <row r="10821" spans="1:8" ht="14.25" thickBot="1">
      <c r="A10821" s="211" t="s">
        <v>519</v>
      </c>
      <c r="B10821" s="216" t="str">
        <f ca="1">_xlfn.CONCAT(B10784,A10821)</f>
        <v>195FAE5A-aj</v>
      </c>
      <c r="C10821" s="34"/>
      <c r="D10821" s="187"/>
      <c r="E10821" s="29"/>
      <c r="F10821" s="28"/>
      <c r="G10821" s="33">
        <f>+E10821*F10821</f>
        <v>0</v>
      </c>
    </row>
    <row r="10822" spans="1:8" ht="14.25" thickBot="1">
      <c r="A10822" s="211" t="s">
        <v>520</v>
      </c>
      <c r="B10822" s="216" t="str">
        <f ca="1">_xlfn.CONCAT(B10784,A10822)</f>
        <v>195FAE5A-ak</v>
      </c>
      <c r="C10822" s="34"/>
      <c r="D10822" s="185"/>
      <c r="E10822" s="26"/>
      <c r="F10822" s="36" t="s">
        <v>31</v>
      </c>
      <c r="G10822" s="23">
        <f>SUM(G10819:G10821)</f>
        <v>45218.568790062847</v>
      </c>
    </row>
    <row r="10823" spans="1:8" ht="14.25" thickBot="1">
      <c r="A10823" s="211" t="s">
        <v>521</v>
      </c>
      <c r="B10823" s="216" t="str">
        <f ca="1">_xlfn.CONCAT(B10784,A10823)</f>
        <v>195FAE5A-al</v>
      </c>
      <c r="C10823" s="37"/>
      <c r="E10823" s="38"/>
      <c r="F10823" s="22"/>
      <c r="G10823" s="39"/>
    </row>
    <row r="10824" spans="1:8" ht="16.5" thickBot="1">
      <c r="A10824" s="211" t="s">
        <v>522</v>
      </c>
      <c r="B10824" s="216" t="str">
        <f ca="1">_xlfn.CONCAT(B10784,A10824)</f>
        <v>195FAE5A-am</v>
      </c>
      <c r="C10824" s="40"/>
      <c r="D10824" s="193"/>
      <c r="E10824" s="41"/>
      <c r="F10824" s="42"/>
      <c r="G10824" s="43">
        <f>+G10807+G10816+G10822</f>
        <v>79057.709415062855</v>
      </c>
    </row>
    <row r="10825" spans="1:8" ht="14.25" thickBot="1">
      <c r="B10825" s="216" t="s">
        <v>550</v>
      </c>
    </row>
    <row r="10826" spans="1:8" ht="18.75">
      <c r="A10826" s="213"/>
      <c r="B10826" s="214">
        <v>246</v>
      </c>
      <c r="C10826" s="242" t="str">
        <f ca="1">_xlfn.XLOOKUP(B10826,Cantidades!$A$10:$A$314,Cantidades!$C$10:$C$314,,0,1)</f>
        <v>Suministro e instalacion de tablero de 36 circuitos TWC 36MB</v>
      </c>
      <c r="D10826" s="243"/>
      <c r="E10826" s="243"/>
      <c r="F10826" s="243"/>
      <c r="G10826" s="244"/>
      <c r="H10826" s="213"/>
    </row>
    <row r="10827" spans="1:8" ht="19.5" thickBot="1">
      <c r="A10827" s="215"/>
      <c r="B10827" s="216" t="s">
        <v>550</v>
      </c>
      <c r="C10827" s="177"/>
      <c r="D10827" s="189"/>
      <c r="E10827" s="178"/>
      <c r="F10827" s="179" t="s">
        <v>636</v>
      </c>
      <c r="G10827" s="209" t="str">
        <f ca="1">B10828</f>
        <v>36E2F193-</v>
      </c>
      <c r="H10827" s="215"/>
    </row>
    <row r="10828" spans="1:8" ht="15.75" thickBot="1">
      <c r="B10828" s="212" t="str">
        <f ca="1">_xlfn.XLOOKUP(C10826,Cantidades!$C$1:$C$314,Cantidades!$B$1:$B$314,"",0,1)</f>
        <v>36E2F193-</v>
      </c>
      <c r="C10828" s="10" t="s">
        <v>0</v>
      </c>
      <c r="D10828" s="190"/>
      <c r="E10828" s="11"/>
      <c r="F10828" s="12"/>
      <c r="G10828" s="13"/>
    </row>
    <row r="10829" spans="1:8" ht="14.25" thickBot="1">
      <c r="A10829" s="215"/>
      <c r="B10829" s="216" t="s">
        <v>550</v>
      </c>
      <c r="C10829" s="14" t="s">
        <v>1</v>
      </c>
      <c r="D10829" s="15" t="s">
        <v>2</v>
      </c>
      <c r="E10829" s="15" t="s">
        <v>3</v>
      </c>
      <c r="F10829" s="16" t="s">
        <v>4</v>
      </c>
      <c r="G10829" s="15" t="s">
        <v>5</v>
      </c>
      <c r="H10829" s="215"/>
    </row>
    <row r="10830" spans="1:8" ht="15">
      <c r="A10830" s="211" t="s">
        <v>484</v>
      </c>
      <c r="B10830" s="216" t="str">
        <f ca="1">_xlfn.CONCAT(B10828,A10830)</f>
        <v>36E2F193-A</v>
      </c>
      <c r="C10830" s="17" t="str">
        <f>_xlfn.XLOOKUP(H10830,'Materiales unitario'!$A$1:$A$2500,'Materiales unitario'!B$1:B$2500,,0,1)</f>
        <v>Tablero TWC-36MB ctos 200A  3F-6H.  CPCH. Espacio para totalizador</v>
      </c>
      <c r="D10830" s="184" t="str">
        <f>_xlfn.XLOOKUP(H10830,'Materiales unitario'!A$1:A$2500,'Materiales unitario'!C$1:C$2500,,0,1)</f>
        <v>un</v>
      </c>
      <c r="E10830" s="197">
        <f>_xlfn.XLOOKUP(H10830,'Materiales unitario'!$A$1:$A$2500,'Materiales unitario'!D$1:D$2500,,0,1)</f>
        <v>759240</v>
      </c>
      <c r="F10830" s="19">
        <v>1</v>
      </c>
      <c r="G10830" s="20">
        <f>+E10830*F10830</f>
        <v>759240</v>
      </c>
      <c r="H10830" s="217" t="s">
        <v>1711</v>
      </c>
    </row>
    <row r="10831" spans="1:8" ht="15">
      <c r="A10831" s="211" t="s">
        <v>485</v>
      </c>
      <c r="B10831" s="216" t="str">
        <f ca="1">_xlfn.CONCAT(B10828,A10831)</f>
        <v>36E2F193-B</v>
      </c>
      <c r="C10831" s="17"/>
      <c r="D10831" s="184"/>
      <c r="E10831" s="197"/>
      <c r="F10831" s="19"/>
      <c r="G10831" s="20"/>
      <c r="H10831" s="217"/>
    </row>
    <row r="10832" spans="1:8">
      <c r="A10832" s="211" t="s">
        <v>486</v>
      </c>
      <c r="B10832" s="216" t="str">
        <f ca="1">_xlfn.CONCAT(B10828,A10832)</f>
        <v>36E2F193-C</v>
      </c>
      <c r="C10832" s="17"/>
      <c r="D10832" s="184"/>
      <c r="E10832" s="197"/>
      <c r="F10832" s="19"/>
      <c r="G10832" s="20"/>
    </row>
    <row r="10833" spans="1:7">
      <c r="A10833" s="211" t="s">
        <v>487</v>
      </c>
      <c r="B10833" s="216" t="str">
        <f ca="1">_xlfn.CONCAT(B10828,A10833)</f>
        <v>36E2F193-D</v>
      </c>
      <c r="C10833" s="17"/>
      <c r="D10833" s="184"/>
      <c r="E10833" s="197"/>
      <c r="F10833" s="19"/>
      <c r="G10833" s="20"/>
    </row>
    <row r="10834" spans="1:7">
      <c r="A10834" s="211" t="s">
        <v>488</v>
      </c>
      <c r="B10834" s="216" t="str">
        <f ca="1">_xlfn.CONCAT(B10828,A10834)</f>
        <v>36E2F193-E</v>
      </c>
      <c r="C10834" s="17"/>
      <c r="D10834" s="184"/>
      <c r="E10834" s="197"/>
      <c r="F10834" s="19"/>
      <c r="G10834" s="20"/>
    </row>
    <row r="10835" spans="1:7">
      <c r="A10835" s="211" t="s">
        <v>489</v>
      </c>
      <c r="B10835" s="216" t="str">
        <f ca="1">_xlfn.CONCAT(B10828,A10835)</f>
        <v>36E2F193-F</v>
      </c>
      <c r="C10835" s="17"/>
      <c r="D10835" s="184"/>
      <c r="E10835" s="197"/>
      <c r="F10835" s="19"/>
      <c r="G10835" s="20"/>
    </row>
    <row r="10836" spans="1:7">
      <c r="A10836" s="211" t="s">
        <v>490</v>
      </c>
      <c r="B10836" s="216" t="str">
        <f ca="1">_xlfn.CONCAT(B10828,A10836)</f>
        <v>36E2F193-G</v>
      </c>
      <c r="C10836" s="17"/>
      <c r="D10836" s="184"/>
      <c r="E10836" s="197"/>
      <c r="F10836" s="19"/>
      <c r="G10836" s="20"/>
    </row>
    <row r="10837" spans="1:7">
      <c r="A10837" s="211" t="s">
        <v>491</v>
      </c>
      <c r="B10837" s="216" t="str">
        <f ca="1">_xlfn.CONCAT(B10828,A10837)</f>
        <v>36E2F193-H</v>
      </c>
      <c r="C10837" s="17"/>
      <c r="D10837" s="184"/>
      <c r="E10837" s="197"/>
      <c r="F10837" s="19"/>
      <c r="G10837" s="20"/>
    </row>
    <row r="10838" spans="1:7">
      <c r="A10838" s="211" t="s">
        <v>492</v>
      </c>
      <c r="B10838" s="216" t="str">
        <f ca="1">_xlfn.CONCAT(B10828,A10838)</f>
        <v>36E2F193-I</v>
      </c>
      <c r="C10838" s="17"/>
      <c r="D10838" s="184"/>
      <c r="E10838" s="197"/>
      <c r="F10838" s="19"/>
      <c r="G10838" s="20"/>
    </row>
    <row r="10839" spans="1:7">
      <c r="A10839" s="211" t="s">
        <v>493</v>
      </c>
      <c r="B10839" s="216" t="str">
        <f ca="1">_xlfn.CONCAT(B10828,A10839)</f>
        <v>36E2F193-J</v>
      </c>
      <c r="C10839" s="17"/>
      <c r="D10839" s="184"/>
      <c r="E10839" s="197"/>
      <c r="F10839" s="19"/>
      <c r="G10839" s="20"/>
    </row>
    <row r="10840" spans="1:7">
      <c r="A10840" s="211" t="s">
        <v>494</v>
      </c>
      <c r="B10840" s="216" t="str">
        <f ca="1">_xlfn.CONCAT(B10828,A10840)</f>
        <v>36E2F193-K</v>
      </c>
      <c r="C10840" s="17"/>
      <c r="D10840" s="184"/>
      <c r="E10840" s="197"/>
      <c r="F10840" s="19"/>
      <c r="G10840" s="20"/>
    </row>
    <row r="10841" spans="1:7">
      <c r="A10841" s="211" t="s">
        <v>495</v>
      </c>
      <c r="B10841" s="216" t="str">
        <f ca="1">_xlfn.CONCAT(B10828,A10841)</f>
        <v>36E2F193-L</v>
      </c>
      <c r="C10841" s="17"/>
      <c r="D10841" s="184"/>
      <c r="E10841" s="197"/>
      <c r="F10841" s="19"/>
      <c r="G10841" s="20"/>
    </row>
    <row r="10842" spans="1:7">
      <c r="A10842" s="211" t="s">
        <v>496</v>
      </c>
      <c r="B10842" s="216" t="str">
        <f ca="1">_xlfn.CONCAT(B10828,A10842)</f>
        <v>36E2F193-M</v>
      </c>
      <c r="C10842" s="17"/>
      <c r="D10842" s="184"/>
      <c r="E10842" s="197"/>
      <c r="F10842" s="19"/>
      <c r="G10842" s="20"/>
    </row>
    <row r="10843" spans="1:7">
      <c r="A10843" s="211" t="s">
        <v>497</v>
      </c>
      <c r="B10843" s="216" t="str">
        <f ca="1">_xlfn.CONCAT(B10828,A10843)</f>
        <v>36E2F193-N</v>
      </c>
      <c r="C10843" s="17"/>
      <c r="D10843" s="184"/>
      <c r="E10843" s="197"/>
      <c r="F10843" s="19"/>
      <c r="G10843" s="20"/>
    </row>
    <row r="10844" spans="1:7">
      <c r="A10844" s="211" t="s">
        <v>498</v>
      </c>
      <c r="B10844" s="216" t="str">
        <f ca="1">_xlfn.CONCAT(B10828,A10844)</f>
        <v>36E2F193-O</v>
      </c>
      <c r="C10844" s="17"/>
      <c r="D10844" s="184"/>
      <c r="E10844" s="197"/>
      <c r="F10844" s="19"/>
      <c r="G10844" s="20"/>
    </row>
    <row r="10845" spans="1:7">
      <c r="A10845" s="211" t="s">
        <v>499</v>
      </c>
      <c r="B10845" s="216" t="str">
        <f ca="1">_xlfn.CONCAT(B10828,A10845)</f>
        <v>36E2F193-P</v>
      </c>
      <c r="C10845" s="17"/>
      <c r="D10845" s="184"/>
      <c r="E10845" s="197"/>
      <c r="F10845" s="19"/>
      <c r="G10845" s="20"/>
    </row>
    <row r="10846" spans="1:7">
      <c r="A10846" s="211" t="s">
        <v>500</v>
      </c>
      <c r="B10846" s="216" t="str">
        <f ca="1">_xlfn.CONCAT(B10828,A10846)</f>
        <v>36E2F193-Q</v>
      </c>
      <c r="C10846" s="17"/>
      <c r="D10846" s="184"/>
      <c r="E10846" s="197"/>
      <c r="F10846" s="19"/>
      <c r="G10846" s="20"/>
    </row>
    <row r="10847" spans="1:7">
      <c r="A10847" s="211" t="s">
        <v>501</v>
      </c>
      <c r="B10847" s="216" t="str">
        <f ca="1">_xlfn.CONCAT(B10828,A10847)</f>
        <v>36E2F193-R</v>
      </c>
      <c r="C10847" s="17"/>
      <c r="D10847" s="184"/>
      <c r="E10847" s="197"/>
      <c r="F10847" s="19"/>
      <c r="G10847" s="20"/>
    </row>
    <row r="10848" spans="1:7">
      <c r="A10848" s="211" t="s">
        <v>502</v>
      </c>
      <c r="B10848" s="216" t="str">
        <f ca="1">_xlfn.CONCAT(B10828,A10848)</f>
        <v>36E2F193-S</v>
      </c>
      <c r="C10848" s="17"/>
      <c r="D10848" s="184"/>
      <c r="E10848" s="197"/>
      <c r="F10848" s="19"/>
      <c r="G10848" s="20"/>
    </row>
    <row r="10849" spans="1:8">
      <c r="A10849" s="211" t="s">
        <v>503</v>
      </c>
      <c r="B10849" s="216" t="str">
        <f ca="1">_xlfn.CONCAT(B10828,A10849)</f>
        <v>36E2F193-T</v>
      </c>
      <c r="C10849" s="17"/>
      <c r="D10849" s="184"/>
      <c r="E10849" s="197"/>
      <c r="F10849" s="19"/>
      <c r="G10849" s="20"/>
    </row>
    <row r="10850" spans="1:8" ht="14.25" thickBot="1">
      <c r="A10850" s="211" t="s">
        <v>504</v>
      </c>
      <c r="B10850" s="216" t="str">
        <f ca="1">_xlfn.CONCAT(B10828,A10850)</f>
        <v>36E2F193-U</v>
      </c>
      <c r="C10850" s="17"/>
      <c r="D10850" s="184"/>
      <c r="E10850" s="197"/>
      <c r="F10850" s="19"/>
      <c r="G10850" s="20"/>
    </row>
    <row r="10851" spans="1:8" ht="14.25" thickBot="1">
      <c r="A10851" s="211" t="s">
        <v>505</v>
      </c>
      <c r="B10851" s="216" t="str">
        <f ca="1">_xlfn.CONCAT(B10828,A10851)</f>
        <v>36E2F193-V</v>
      </c>
      <c r="C10851" s="17" t="s">
        <v>17</v>
      </c>
      <c r="D10851" s="192" t="s">
        <v>17</v>
      </c>
      <c r="E10851" s="18"/>
      <c r="F10851" s="22" t="s">
        <v>18</v>
      </c>
      <c r="G10851" s="23">
        <f>SUM(G10830:G10850)</f>
        <v>759240</v>
      </c>
    </row>
    <row r="10852" spans="1:8" ht="15.75" thickBot="1">
      <c r="A10852" s="211" t="s">
        <v>506</v>
      </c>
      <c r="B10852" s="216" t="str">
        <f ca="1">_xlfn.CONCAT(B10828,A10852)</f>
        <v>36E2F193-W</v>
      </c>
      <c r="C10852" s="10" t="s">
        <v>19</v>
      </c>
      <c r="D10852" s="190"/>
      <c r="E10852" s="11"/>
      <c r="F10852" s="12"/>
      <c r="G10852" s="13"/>
    </row>
    <row r="10853" spans="1:8" ht="14.25" thickBot="1">
      <c r="A10853" s="211" t="s">
        <v>507</v>
      </c>
      <c r="B10853" s="216" t="str">
        <f ca="1">_xlfn.CONCAT(B10828,A10853)</f>
        <v>36E2F193-X</v>
      </c>
      <c r="C10853" s="14" t="s">
        <v>1</v>
      </c>
      <c r="D10853" s="15"/>
      <c r="E10853" s="15" t="s">
        <v>20</v>
      </c>
      <c r="F10853" s="16" t="s">
        <v>21</v>
      </c>
      <c r="G10853" s="15" t="s">
        <v>5</v>
      </c>
      <c r="H10853" s="215"/>
    </row>
    <row r="10854" spans="1:8">
      <c r="A10854" s="211" t="s">
        <v>508</v>
      </c>
      <c r="B10854" s="216" t="str">
        <f ca="1">_xlfn.CONCAT(B10828,A10854)</f>
        <v>36E2F193-Y</v>
      </c>
      <c r="C10854" s="24" t="s">
        <v>22</v>
      </c>
      <c r="D10854" s="184"/>
      <c r="E10854" s="25">
        <f>_xlfn.XLOOKUP(C10854,'H-MO'!B$7:B$30,'H-MO'!D$7:D$30,,0,1)</f>
        <v>2436.5624999999995</v>
      </c>
      <c r="F10854" s="19">
        <v>0.9</v>
      </c>
      <c r="G10854" s="33">
        <f t="shared" ref="G10854:G10859" si="308">+E10854*F10854</f>
        <v>2192.9062499999995</v>
      </c>
    </row>
    <row r="10855" spans="1:8">
      <c r="A10855" s="211" t="s">
        <v>509</v>
      </c>
      <c r="B10855" s="216" t="str">
        <f ca="1">_xlfn.CONCAT(B10828,A10855)</f>
        <v>36E2F193-Z</v>
      </c>
      <c r="C10855" s="24" t="s">
        <v>23</v>
      </c>
      <c r="D10855" s="184"/>
      <c r="E10855" s="25">
        <f>_xlfn.XLOOKUP(C10855,'H-MO'!B$7:B$30,'H-MO'!D$7:D$30,,0,1)</f>
        <v>1461.9374999999998</v>
      </c>
      <c r="F10855" s="19">
        <v>0.1</v>
      </c>
      <c r="G10855" s="33">
        <f t="shared" si="308"/>
        <v>146.19374999999999</v>
      </c>
    </row>
    <row r="10856" spans="1:8">
      <c r="A10856" s="211" t="s">
        <v>510</v>
      </c>
      <c r="B10856" s="216" t="str">
        <f ca="1">_xlfn.CONCAT(B10828,A10856)</f>
        <v>36E2F193-aa</v>
      </c>
      <c r="C10856" s="24" t="s">
        <v>24</v>
      </c>
      <c r="D10856" s="185"/>
      <c r="E10856" s="25">
        <f>_xlfn.XLOOKUP(C10856,'H-MO'!B$7:B$30,'H-MO'!D$7:D$30,,0,1)</f>
        <v>29238.749999999996</v>
      </c>
      <c r="F10856" s="28">
        <v>0.2</v>
      </c>
      <c r="G10856" s="33">
        <f t="shared" si="308"/>
        <v>5847.75</v>
      </c>
    </row>
    <row r="10857" spans="1:8">
      <c r="A10857" s="211" t="s">
        <v>511</v>
      </c>
      <c r="B10857" s="216" t="str">
        <f ca="1">_xlfn.CONCAT(B10828,A10857)</f>
        <v>36E2F193-ab</v>
      </c>
      <c r="C10857" s="24" t="s">
        <v>25</v>
      </c>
      <c r="D10857" s="185"/>
      <c r="E10857" s="25">
        <f>_xlfn.XLOOKUP(C10857,'H-MO'!B$7:B$30,'H-MO'!D$7:D$30,,0,1)</f>
        <v>2761.4374999999995</v>
      </c>
      <c r="F10857" s="28">
        <v>0.4</v>
      </c>
      <c r="G10857" s="33">
        <f t="shared" si="308"/>
        <v>1104.5749999999998</v>
      </c>
    </row>
    <row r="10858" spans="1:8">
      <c r="A10858" s="211" t="s">
        <v>512</v>
      </c>
      <c r="B10858" s="216" t="str">
        <f ca="1">_xlfn.CONCAT(B10828,A10858)</f>
        <v>36E2F193-ac</v>
      </c>
      <c r="C10858" s="24"/>
      <c r="D10858" s="185"/>
      <c r="E10858" s="29"/>
      <c r="F10858" s="28"/>
      <c r="G10858" s="33">
        <f t="shared" si="308"/>
        <v>0</v>
      </c>
    </row>
    <row r="10859" spans="1:8" ht="14.25" thickBot="1">
      <c r="A10859" s="211" t="s">
        <v>513</v>
      </c>
      <c r="B10859" s="216" t="str">
        <f ca="1">_xlfn.CONCAT(B10828,A10859)</f>
        <v>36E2F193-ad</v>
      </c>
      <c r="C10859" s="24"/>
      <c r="D10859" s="185"/>
      <c r="E10859" s="29"/>
      <c r="F10859" s="28"/>
      <c r="G10859" s="33">
        <f t="shared" si="308"/>
        <v>0</v>
      </c>
    </row>
    <row r="10860" spans="1:8" ht="14.25" thickBot="1">
      <c r="A10860" s="211" t="s">
        <v>514</v>
      </c>
      <c r="B10860" s="216" t="str">
        <f ca="1">_xlfn.CONCAT(B10828,A10860)</f>
        <v>36E2F193-ae</v>
      </c>
      <c r="C10860" s="17"/>
      <c r="D10860" s="192"/>
      <c r="E10860" s="18"/>
      <c r="F10860" s="22" t="s">
        <v>26</v>
      </c>
      <c r="G10860" s="23">
        <f>SUM(G10854:G10859)</f>
        <v>9291.4249999999993</v>
      </c>
    </row>
    <row r="10861" spans="1:8" ht="15.75" thickBot="1">
      <c r="A10861" s="211" t="s">
        <v>515</v>
      </c>
      <c r="B10861" s="216" t="str">
        <f ca="1">_xlfn.CONCAT(B10828,A10861)</f>
        <v>36E2F193-af</v>
      </c>
      <c r="C10861" s="10" t="s">
        <v>27</v>
      </c>
      <c r="D10861" s="190"/>
      <c r="E10861" s="11"/>
      <c r="F10861" s="12"/>
      <c r="G10861" s="13"/>
    </row>
    <row r="10862" spans="1:8" ht="14.25" thickBot="1">
      <c r="A10862" s="211" t="s">
        <v>516</v>
      </c>
      <c r="B10862" s="216" t="str">
        <f ca="1">_xlfn.CONCAT(B10828,A10862)</f>
        <v>36E2F193-ag</v>
      </c>
      <c r="C10862" s="14" t="s">
        <v>1</v>
      </c>
      <c r="D10862" s="15" t="s">
        <v>28</v>
      </c>
      <c r="E10862" s="15" t="s">
        <v>20</v>
      </c>
      <c r="F10862" s="16" t="s">
        <v>21</v>
      </c>
      <c r="G10862" s="15" t="s">
        <v>5</v>
      </c>
      <c r="H10862" s="215"/>
    </row>
    <row r="10863" spans="1:8">
      <c r="A10863" s="211" t="s">
        <v>517</v>
      </c>
      <c r="B10863" s="216" t="str">
        <f ca="1">_xlfn.CONCAT(B10828,A10863)</f>
        <v>36E2F193-ah</v>
      </c>
      <c r="C10863" s="30" t="s">
        <v>29</v>
      </c>
      <c r="D10863" s="186">
        <f>'H-MO'!$N$77</f>
        <v>725918.52892505517</v>
      </c>
      <c r="E10863" s="31">
        <f>+D10863/8</f>
        <v>90739.816115631897</v>
      </c>
      <c r="F10863" s="32">
        <v>0.9</v>
      </c>
      <c r="G10863" s="33">
        <f>+E10863*F10863</f>
        <v>81665.834504068713</v>
      </c>
    </row>
    <row r="10864" spans="1:8">
      <c r="A10864" s="211" t="s">
        <v>518</v>
      </c>
      <c r="B10864" s="216" t="str">
        <f ca="1">_xlfn.CONCAT(B10828,A10864)</f>
        <v>36E2F193-ai</v>
      </c>
      <c r="C10864" s="34" t="s">
        <v>30</v>
      </c>
      <c r="D10864" s="187">
        <f>'H-MO'!$N$86</f>
        <v>685561.39085756091</v>
      </c>
      <c r="E10864" s="29">
        <f>+D10864/8</f>
        <v>85695.173857195114</v>
      </c>
      <c r="F10864" s="28">
        <v>0.1</v>
      </c>
      <c r="G10864" s="33">
        <f>+E10864*F10864</f>
        <v>8569.5173857195114</v>
      </c>
    </row>
    <row r="10865" spans="1:8" ht="14.25" thickBot="1">
      <c r="A10865" s="211" t="s">
        <v>519</v>
      </c>
      <c r="B10865" s="216" t="str">
        <f ca="1">_xlfn.CONCAT(B10828,A10865)</f>
        <v>36E2F193-aj</v>
      </c>
      <c r="C10865" s="34"/>
      <c r="D10865" s="187"/>
      <c r="E10865" s="29"/>
      <c r="F10865" s="28"/>
      <c r="G10865" s="33">
        <f>+E10865*F10865</f>
        <v>0</v>
      </c>
    </row>
    <row r="10866" spans="1:8" ht="14.25" thickBot="1">
      <c r="A10866" s="211" t="s">
        <v>520</v>
      </c>
      <c r="B10866" s="216" t="str">
        <f ca="1">_xlfn.CONCAT(B10828,A10866)</f>
        <v>36E2F193-ak</v>
      </c>
      <c r="C10866" s="34"/>
      <c r="D10866" s="185"/>
      <c r="E10866" s="26"/>
      <c r="F10866" s="36" t="s">
        <v>31</v>
      </c>
      <c r="G10866" s="23">
        <f>SUM(G10863:G10865)</f>
        <v>90235.351889788231</v>
      </c>
    </row>
    <row r="10867" spans="1:8" ht="14.25" thickBot="1">
      <c r="A10867" s="211" t="s">
        <v>521</v>
      </c>
      <c r="B10867" s="216" t="str">
        <f ca="1">_xlfn.CONCAT(B10828,A10867)</f>
        <v>36E2F193-al</v>
      </c>
      <c r="C10867" s="37"/>
      <c r="E10867" s="38"/>
      <c r="F10867" s="22"/>
      <c r="G10867" s="39"/>
    </row>
    <row r="10868" spans="1:8" ht="16.5" thickBot="1">
      <c r="A10868" s="211" t="s">
        <v>522</v>
      </c>
      <c r="B10868" s="216" t="str">
        <f ca="1">_xlfn.CONCAT(B10828,A10868)</f>
        <v>36E2F193-am</v>
      </c>
      <c r="C10868" s="40"/>
      <c r="D10868" s="193"/>
      <c r="E10868" s="41"/>
      <c r="F10868" s="42"/>
      <c r="G10868" s="43">
        <f>+G10851+G10860+G10866</f>
        <v>858766.77688978822</v>
      </c>
    </row>
    <row r="10869" spans="1:8" ht="21.75" thickBot="1">
      <c r="B10869" s="212" t="s">
        <v>550</v>
      </c>
      <c r="C10869" s="2"/>
      <c r="D10869" s="183"/>
      <c r="F10869" s="4"/>
      <c r="G10869" s="5"/>
    </row>
    <row r="10870" spans="1:8" ht="18.75">
      <c r="A10870" s="213"/>
      <c r="B10870" s="214">
        <v>247</v>
      </c>
      <c r="C10870" s="242" t="str">
        <f ca="1">_xlfn.XLOOKUP(B10870,Cantidades!$A$10:$A$314,Cantidades!$C$10:$C$314,,0,1)</f>
        <v>Suministro e instalacion de tablero de 6 circuitos TWP 6BO</v>
      </c>
      <c r="D10870" s="243"/>
      <c r="E10870" s="243"/>
      <c r="F10870" s="243"/>
      <c r="G10870" s="244"/>
      <c r="H10870" s="213"/>
    </row>
    <row r="10871" spans="1:8" ht="19.5" thickBot="1">
      <c r="A10871" s="215"/>
      <c r="B10871" s="216" t="s">
        <v>550</v>
      </c>
      <c r="C10871" s="177"/>
      <c r="D10871" s="189"/>
      <c r="E10871" s="178"/>
      <c r="F10871" s="179" t="s">
        <v>636</v>
      </c>
      <c r="G10871" s="209" t="str">
        <f ca="1">B10872</f>
        <v>10F3868D-</v>
      </c>
      <c r="H10871" s="215"/>
    </row>
    <row r="10872" spans="1:8" ht="15.75" thickBot="1">
      <c r="B10872" s="212" t="str">
        <f ca="1">_xlfn.XLOOKUP(C10870,Cantidades!$C$1:$C$314,Cantidades!$B$1:$B$314,"",0,1)</f>
        <v>10F3868D-</v>
      </c>
      <c r="C10872" s="10" t="s">
        <v>0</v>
      </c>
      <c r="D10872" s="190"/>
      <c r="E10872" s="11"/>
      <c r="F10872" s="12"/>
      <c r="G10872" s="13"/>
    </row>
    <row r="10873" spans="1:8" ht="14.25" thickBot="1">
      <c r="A10873" s="215"/>
      <c r="B10873" s="216" t="s">
        <v>550</v>
      </c>
      <c r="C10873" s="14" t="s">
        <v>1</v>
      </c>
      <c r="D10873" s="15" t="s">
        <v>2</v>
      </c>
      <c r="E10873" s="15" t="s">
        <v>3</v>
      </c>
      <c r="F10873" s="16" t="s">
        <v>4</v>
      </c>
      <c r="G10873" s="15" t="s">
        <v>5</v>
      </c>
      <c r="H10873" s="215"/>
    </row>
    <row r="10874" spans="1:8" ht="15">
      <c r="A10874" s="211" t="s">
        <v>484</v>
      </c>
      <c r="B10874" s="216" t="str">
        <f ca="1">_xlfn.CONCAT(B10872,A10874)</f>
        <v>10F3868D-A</v>
      </c>
      <c r="C10874" s="17" t="str">
        <f>_xlfn.XLOOKUP(H10874,'Materiales unitario'!$A$1:$A$2500,'Materiales unitario'!B$1:B$2500,,0,1)</f>
        <v>Tablero Monofásico 6 Circuitos 75Amp 120V C/Puerta TWP 6BO</v>
      </c>
      <c r="D10874" s="184" t="str">
        <f>_xlfn.XLOOKUP(H10874,'Materiales unitario'!A$1:A$2500,'Materiales unitario'!C$1:C$2500,,0,1)</f>
        <v>un</v>
      </c>
      <c r="E10874" s="197">
        <f>_xlfn.XLOOKUP(H10874,'Materiales unitario'!$A$1:$A$2500,'Materiales unitario'!D$1:D$2500,,0,1)</f>
        <v>118800</v>
      </c>
      <c r="F10874" s="19">
        <v>1</v>
      </c>
      <c r="G10874" s="20">
        <f>+E10874*F10874</f>
        <v>118800</v>
      </c>
      <c r="H10874" s="217" t="s">
        <v>1717</v>
      </c>
    </row>
    <row r="10875" spans="1:8" ht="15">
      <c r="A10875" s="211" t="s">
        <v>485</v>
      </c>
      <c r="B10875" s="216" t="str">
        <f ca="1">_xlfn.CONCAT(B10872,A10875)</f>
        <v>10F3868D-B</v>
      </c>
      <c r="C10875" s="17"/>
      <c r="D10875" s="184"/>
      <c r="E10875" s="197"/>
      <c r="F10875" s="19"/>
      <c r="G10875" s="20"/>
      <c r="H10875" s="217"/>
    </row>
    <row r="10876" spans="1:8">
      <c r="A10876" s="211" t="s">
        <v>486</v>
      </c>
      <c r="B10876" s="216" t="str">
        <f ca="1">_xlfn.CONCAT(B10872,A10876)</f>
        <v>10F3868D-C</v>
      </c>
      <c r="C10876" s="17"/>
      <c r="D10876" s="184"/>
      <c r="E10876" s="197"/>
      <c r="F10876" s="19"/>
      <c r="G10876" s="20"/>
    </row>
    <row r="10877" spans="1:8">
      <c r="A10877" s="211" t="s">
        <v>487</v>
      </c>
      <c r="B10877" s="216" t="str">
        <f ca="1">_xlfn.CONCAT(B10872,A10877)</f>
        <v>10F3868D-D</v>
      </c>
      <c r="C10877" s="17"/>
      <c r="D10877" s="184"/>
      <c r="E10877" s="197"/>
      <c r="F10877" s="19"/>
      <c r="G10877" s="20"/>
    </row>
    <row r="10878" spans="1:8">
      <c r="A10878" s="211" t="s">
        <v>488</v>
      </c>
      <c r="B10878" s="216" t="str">
        <f ca="1">_xlfn.CONCAT(B10872,A10878)</f>
        <v>10F3868D-E</v>
      </c>
      <c r="C10878" s="17"/>
      <c r="D10878" s="184"/>
      <c r="E10878" s="197"/>
      <c r="F10878" s="19"/>
      <c r="G10878" s="20"/>
    </row>
    <row r="10879" spans="1:8">
      <c r="A10879" s="211" t="s">
        <v>489</v>
      </c>
      <c r="B10879" s="216" t="str">
        <f ca="1">_xlfn.CONCAT(B10872,A10879)</f>
        <v>10F3868D-F</v>
      </c>
      <c r="C10879" s="17"/>
      <c r="D10879" s="184"/>
      <c r="E10879" s="197"/>
      <c r="F10879" s="19"/>
      <c r="G10879" s="20"/>
    </row>
    <row r="10880" spans="1:8">
      <c r="A10880" s="211" t="s">
        <v>490</v>
      </c>
      <c r="B10880" s="216" t="str">
        <f ca="1">_xlfn.CONCAT(B10872,A10880)</f>
        <v>10F3868D-G</v>
      </c>
      <c r="C10880" s="17"/>
      <c r="D10880" s="184"/>
      <c r="E10880" s="197"/>
      <c r="F10880" s="19"/>
      <c r="G10880" s="20"/>
    </row>
    <row r="10881" spans="1:7">
      <c r="A10881" s="211" t="s">
        <v>491</v>
      </c>
      <c r="B10881" s="216" t="str">
        <f ca="1">_xlfn.CONCAT(B10872,A10881)</f>
        <v>10F3868D-H</v>
      </c>
      <c r="C10881" s="17"/>
      <c r="D10881" s="184"/>
      <c r="E10881" s="197"/>
      <c r="F10881" s="19"/>
      <c r="G10881" s="20"/>
    </row>
    <row r="10882" spans="1:7">
      <c r="A10882" s="211" t="s">
        <v>492</v>
      </c>
      <c r="B10882" s="216" t="str">
        <f ca="1">_xlfn.CONCAT(B10872,A10882)</f>
        <v>10F3868D-I</v>
      </c>
      <c r="C10882" s="17"/>
      <c r="D10882" s="184"/>
      <c r="E10882" s="197"/>
      <c r="F10882" s="19"/>
      <c r="G10882" s="20"/>
    </row>
    <row r="10883" spans="1:7">
      <c r="A10883" s="211" t="s">
        <v>493</v>
      </c>
      <c r="B10883" s="216" t="str">
        <f ca="1">_xlfn.CONCAT(B10872,A10883)</f>
        <v>10F3868D-J</v>
      </c>
      <c r="C10883" s="17"/>
      <c r="D10883" s="184"/>
      <c r="E10883" s="197"/>
      <c r="F10883" s="19"/>
      <c r="G10883" s="20"/>
    </row>
    <row r="10884" spans="1:7">
      <c r="A10884" s="211" t="s">
        <v>494</v>
      </c>
      <c r="B10884" s="216" t="str">
        <f ca="1">_xlfn.CONCAT(B10872,A10884)</f>
        <v>10F3868D-K</v>
      </c>
      <c r="C10884" s="17"/>
      <c r="D10884" s="184"/>
      <c r="E10884" s="197"/>
      <c r="F10884" s="19"/>
      <c r="G10884" s="20"/>
    </row>
    <row r="10885" spans="1:7">
      <c r="A10885" s="211" t="s">
        <v>495</v>
      </c>
      <c r="B10885" s="216" t="str">
        <f ca="1">_xlfn.CONCAT(B10872,A10885)</f>
        <v>10F3868D-L</v>
      </c>
      <c r="C10885" s="17"/>
      <c r="D10885" s="184"/>
      <c r="E10885" s="197"/>
      <c r="F10885" s="19"/>
      <c r="G10885" s="20"/>
    </row>
    <row r="10886" spans="1:7">
      <c r="A10886" s="211" t="s">
        <v>496</v>
      </c>
      <c r="B10886" s="216" t="str">
        <f ca="1">_xlfn.CONCAT(B10872,A10886)</f>
        <v>10F3868D-M</v>
      </c>
      <c r="C10886" s="17"/>
      <c r="D10886" s="184"/>
      <c r="E10886" s="197"/>
      <c r="F10886" s="19"/>
      <c r="G10886" s="20"/>
    </row>
    <row r="10887" spans="1:7">
      <c r="A10887" s="211" t="s">
        <v>497</v>
      </c>
      <c r="B10887" s="216" t="str">
        <f ca="1">_xlfn.CONCAT(B10872,A10887)</f>
        <v>10F3868D-N</v>
      </c>
      <c r="C10887" s="17"/>
      <c r="D10887" s="184"/>
      <c r="E10887" s="197"/>
      <c r="F10887" s="19"/>
      <c r="G10887" s="20"/>
    </row>
    <row r="10888" spans="1:7">
      <c r="A10888" s="211" t="s">
        <v>498</v>
      </c>
      <c r="B10888" s="216" t="str">
        <f ca="1">_xlfn.CONCAT(B10872,A10888)</f>
        <v>10F3868D-O</v>
      </c>
      <c r="C10888" s="17"/>
      <c r="D10888" s="184"/>
      <c r="E10888" s="197"/>
      <c r="F10888" s="19"/>
      <c r="G10888" s="20"/>
    </row>
    <row r="10889" spans="1:7">
      <c r="A10889" s="211" t="s">
        <v>499</v>
      </c>
      <c r="B10889" s="216" t="str">
        <f ca="1">_xlfn.CONCAT(B10872,A10889)</f>
        <v>10F3868D-P</v>
      </c>
      <c r="C10889" s="17"/>
      <c r="D10889" s="184"/>
      <c r="E10889" s="197"/>
      <c r="F10889" s="19"/>
      <c r="G10889" s="20"/>
    </row>
    <row r="10890" spans="1:7">
      <c r="A10890" s="211" t="s">
        <v>500</v>
      </c>
      <c r="B10890" s="216" t="str">
        <f ca="1">_xlfn.CONCAT(B10872,A10890)</f>
        <v>10F3868D-Q</v>
      </c>
      <c r="C10890" s="17"/>
      <c r="D10890" s="184"/>
      <c r="E10890" s="197"/>
      <c r="F10890" s="19"/>
      <c r="G10890" s="20"/>
    </row>
    <row r="10891" spans="1:7">
      <c r="A10891" s="211" t="s">
        <v>501</v>
      </c>
      <c r="B10891" s="216" t="str">
        <f ca="1">_xlfn.CONCAT(B10872,A10891)</f>
        <v>10F3868D-R</v>
      </c>
      <c r="C10891" s="17"/>
      <c r="D10891" s="184"/>
      <c r="E10891" s="197"/>
      <c r="F10891" s="19"/>
      <c r="G10891" s="20"/>
    </row>
    <row r="10892" spans="1:7">
      <c r="A10892" s="211" t="s">
        <v>502</v>
      </c>
      <c r="B10892" s="216" t="str">
        <f ca="1">_xlfn.CONCAT(B10872,A10892)</f>
        <v>10F3868D-S</v>
      </c>
      <c r="C10892" s="17"/>
      <c r="D10892" s="184"/>
      <c r="E10892" s="197"/>
      <c r="F10892" s="19"/>
      <c r="G10892" s="20"/>
    </row>
    <row r="10893" spans="1:7">
      <c r="A10893" s="211" t="s">
        <v>503</v>
      </c>
      <c r="B10893" s="216" t="str">
        <f ca="1">_xlfn.CONCAT(B10872,A10893)</f>
        <v>10F3868D-T</v>
      </c>
      <c r="C10893" s="17"/>
      <c r="D10893" s="184"/>
      <c r="E10893" s="197"/>
      <c r="F10893" s="19"/>
      <c r="G10893" s="20"/>
    </row>
    <row r="10894" spans="1:7" ht="14.25" thickBot="1">
      <c r="A10894" s="211" t="s">
        <v>504</v>
      </c>
      <c r="B10894" s="216" t="str">
        <f ca="1">_xlfn.CONCAT(B10872,A10894)</f>
        <v>10F3868D-U</v>
      </c>
      <c r="C10894" s="17"/>
      <c r="D10894" s="184"/>
      <c r="E10894" s="197"/>
      <c r="F10894" s="19"/>
      <c r="G10894" s="20"/>
    </row>
    <row r="10895" spans="1:7" ht="14.25" thickBot="1">
      <c r="A10895" s="211" t="s">
        <v>505</v>
      </c>
      <c r="B10895" s="216" t="str">
        <f ca="1">_xlfn.CONCAT(B10872,A10895)</f>
        <v>10F3868D-V</v>
      </c>
      <c r="C10895" s="17" t="s">
        <v>17</v>
      </c>
      <c r="D10895" s="192" t="s">
        <v>17</v>
      </c>
      <c r="E10895" s="18"/>
      <c r="F10895" s="22" t="s">
        <v>18</v>
      </c>
      <c r="G10895" s="23">
        <f>SUM(G10874:G10894)</f>
        <v>118800</v>
      </c>
    </row>
    <row r="10896" spans="1:7" ht="15.75" thickBot="1">
      <c r="A10896" s="211" t="s">
        <v>506</v>
      </c>
      <c r="B10896" s="216" t="str">
        <f ca="1">_xlfn.CONCAT(B10872,A10896)</f>
        <v>10F3868D-W</v>
      </c>
      <c r="C10896" s="10" t="s">
        <v>19</v>
      </c>
      <c r="D10896" s="190"/>
      <c r="E10896" s="11"/>
      <c r="F10896" s="12"/>
      <c r="G10896" s="13"/>
    </row>
    <row r="10897" spans="1:8" ht="14.25" thickBot="1">
      <c r="A10897" s="211" t="s">
        <v>507</v>
      </c>
      <c r="B10897" s="216" t="str">
        <f ca="1">_xlfn.CONCAT(B10872,A10897)</f>
        <v>10F3868D-X</v>
      </c>
      <c r="C10897" s="14" t="s">
        <v>1</v>
      </c>
      <c r="D10897" s="15"/>
      <c r="E10897" s="15" t="s">
        <v>20</v>
      </c>
      <c r="F10897" s="16" t="s">
        <v>21</v>
      </c>
      <c r="G10897" s="15" t="s">
        <v>5</v>
      </c>
      <c r="H10897" s="215"/>
    </row>
    <row r="10898" spans="1:8">
      <c r="A10898" s="211" t="s">
        <v>508</v>
      </c>
      <c r="B10898" s="216" t="str">
        <f ca="1">_xlfn.CONCAT(B10872,A10898)</f>
        <v>10F3868D-Y</v>
      </c>
      <c r="C10898" s="24" t="s">
        <v>22</v>
      </c>
      <c r="D10898" s="184"/>
      <c r="E10898" s="25">
        <f>_xlfn.XLOOKUP(C10898,'H-MO'!B$7:B$30,'H-MO'!D$7:D$30,,0,1)</f>
        <v>2436.5624999999995</v>
      </c>
      <c r="F10898" s="19">
        <v>0.4</v>
      </c>
      <c r="G10898" s="33">
        <f t="shared" ref="G10898:G10903" si="309">+E10898*F10898</f>
        <v>974.62499999999989</v>
      </c>
    </row>
    <row r="10899" spans="1:8">
      <c r="A10899" s="211" t="s">
        <v>509</v>
      </c>
      <c r="B10899" s="216" t="str">
        <f ca="1">_xlfn.CONCAT(B10872,A10899)</f>
        <v>10F3868D-Z</v>
      </c>
      <c r="C10899" s="24" t="s">
        <v>23</v>
      </c>
      <c r="D10899" s="184"/>
      <c r="E10899" s="25">
        <f>_xlfn.XLOOKUP(C10899,'H-MO'!B$7:B$30,'H-MO'!D$7:D$30,,0,1)</f>
        <v>1461.9374999999998</v>
      </c>
      <c r="F10899" s="19">
        <v>0.05</v>
      </c>
      <c r="G10899" s="33">
        <f t="shared" si="309"/>
        <v>73.096874999999997</v>
      </c>
    </row>
    <row r="10900" spans="1:8">
      <c r="A10900" s="211" t="s">
        <v>510</v>
      </c>
      <c r="B10900" s="216" t="str">
        <f ca="1">_xlfn.CONCAT(B10872,A10900)</f>
        <v>10F3868D-aa</v>
      </c>
      <c r="C10900" s="24" t="s">
        <v>24</v>
      </c>
      <c r="D10900" s="185"/>
      <c r="E10900" s="25">
        <f>_xlfn.XLOOKUP(C10900,'H-MO'!B$7:B$30,'H-MO'!D$7:D$30,,0,1)</f>
        <v>29238.749999999996</v>
      </c>
      <c r="F10900" s="28">
        <v>0.2</v>
      </c>
      <c r="G10900" s="33">
        <f t="shared" si="309"/>
        <v>5847.75</v>
      </c>
    </row>
    <row r="10901" spans="1:8">
      <c r="A10901" s="211" t="s">
        <v>511</v>
      </c>
      <c r="B10901" s="216" t="str">
        <f ca="1">_xlfn.CONCAT(B10872,A10901)</f>
        <v>10F3868D-ab</v>
      </c>
      <c r="C10901" s="24" t="s">
        <v>25</v>
      </c>
      <c r="D10901" s="185"/>
      <c r="E10901" s="25">
        <f>_xlfn.XLOOKUP(C10901,'H-MO'!B$7:B$30,'H-MO'!D$7:D$30,,0,1)</f>
        <v>2761.4374999999995</v>
      </c>
      <c r="F10901" s="28">
        <v>0.4</v>
      </c>
      <c r="G10901" s="33">
        <f t="shared" si="309"/>
        <v>1104.5749999999998</v>
      </c>
    </row>
    <row r="10902" spans="1:8">
      <c r="A10902" s="211" t="s">
        <v>512</v>
      </c>
      <c r="B10902" s="216" t="str">
        <f ca="1">_xlfn.CONCAT(B10872,A10902)</f>
        <v>10F3868D-ac</v>
      </c>
      <c r="C10902" s="24"/>
      <c r="D10902" s="185"/>
      <c r="E10902" s="29"/>
      <c r="F10902" s="28"/>
      <c r="G10902" s="33">
        <f t="shared" si="309"/>
        <v>0</v>
      </c>
    </row>
    <row r="10903" spans="1:8" ht="14.25" thickBot="1">
      <c r="A10903" s="211" t="s">
        <v>513</v>
      </c>
      <c r="B10903" s="216" t="str">
        <f ca="1">_xlfn.CONCAT(B10872,A10903)</f>
        <v>10F3868D-ad</v>
      </c>
      <c r="C10903" s="24"/>
      <c r="D10903" s="185"/>
      <c r="E10903" s="29"/>
      <c r="F10903" s="28"/>
      <c r="G10903" s="33">
        <f t="shared" si="309"/>
        <v>0</v>
      </c>
    </row>
    <row r="10904" spans="1:8" ht="14.25" thickBot="1">
      <c r="A10904" s="211" t="s">
        <v>514</v>
      </c>
      <c r="B10904" s="216" t="str">
        <f ca="1">_xlfn.CONCAT(B10872,A10904)</f>
        <v>10F3868D-ae</v>
      </c>
      <c r="C10904" s="17"/>
      <c r="D10904" s="192"/>
      <c r="E10904" s="18"/>
      <c r="F10904" s="22" t="s">
        <v>26</v>
      </c>
      <c r="G10904" s="23">
        <f>SUM(G10898:G10903)</f>
        <v>8000.046875</v>
      </c>
    </row>
    <row r="10905" spans="1:8" ht="15.75" thickBot="1">
      <c r="A10905" s="211" t="s">
        <v>515</v>
      </c>
      <c r="B10905" s="216" t="str">
        <f ca="1">_xlfn.CONCAT(B10872,A10905)</f>
        <v>10F3868D-af</v>
      </c>
      <c r="C10905" s="10" t="s">
        <v>27</v>
      </c>
      <c r="D10905" s="190"/>
      <c r="E10905" s="11"/>
      <c r="F10905" s="12"/>
      <c r="G10905" s="13"/>
    </row>
    <row r="10906" spans="1:8" ht="14.25" thickBot="1">
      <c r="A10906" s="211" t="s">
        <v>516</v>
      </c>
      <c r="B10906" s="216" t="str">
        <f ca="1">_xlfn.CONCAT(B10872,A10906)</f>
        <v>10F3868D-ag</v>
      </c>
      <c r="C10906" s="14" t="s">
        <v>1</v>
      </c>
      <c r="D10906" s="15" t="s">
        <v>28</v>
      </c>
      <c r="E10906" s="15" t="s">
        <v>20</v>
      </c>
      <c r="F10906" s="16" t="s">
        <v>21</v>
      </c>
      <c r="G10906" s="15" t="s">
        <v>5</v>
      </c>
      <c r="H10906" s="215"/>
    </row>
    <row r="10907" spans="1:8">
      <c r="A10907" s="211" t="s">
        <v>517</v>
      </c>
      <c r="B10907" s="216" t="str">
        <f ca="1">_xlfn.CONCAT(B10872,A10907)</f>
        <v>10F3868D-ah</v>
      </c>
      <c r="C10907" s="30" t="s">
        <v>29</v>
      </c>
      <c r="D10907" s="186">
        <f>'H-MO'!$N$77</f>
        <v>725918.52892505517</v>
      </c>
      <c r="E10907" s="31">
        <f>+D10907/8</f>
        <v>90739.816115631897</v>
      </c>
      <c r="F10907" s="32">
        <v>0.4</v>
      </c>
      <c r="G10907" s="33">
        <f>+E10907*F10907</f>
        <v>36295.926446252757</v>
      </c>
    </row>
    <row r="10908" spans="1:8">
      <c r="A10908" s="211" t="s">
        <v>518</v>
      </c>
      <c r="B10908" s="216" t="str">
        <f ca="1">_xlfn.CONCAT(B10872,A10908)</f>
        <v>10F3868D-ai</v>
      </c>
      <c r="C10908" s="34" t="s">
        <v>30</v>
      </c>
      <c r="D10908" s="187">
        <f>'H-MO'!$N$86</f>
        <v>685561.39085756091</v>
      </c>
      <c r="E10908" s="29">
        <f>+D10908/8</f>
        <v>85695.173857195114</v>
      </c>
      <c r="F10908" s="28">
        <v>0.05</v>
      </c>
      <c r="G10908" s="33">
        <f>+E10908*F10908</f>
        <v>4284.7586928597557</v>
      </c>
    </row>
    <row r="10909" spans="1:8" ht="14.25" thickBot="1">
      <c r="A10909" s="211" t="s">
        <v>519</v>
      </c>
      <c r="B10909" s="216" t="str">
        <f ca="1">_xlfn.CONCAT(B10872,A10909)</f>
        <v>10F3868D-aj</v>
      </c>
      <c r="C10909" s="34"/>
      <c r="D10909" s="187"/>
      <c r="E10909" s="29"/>
      <c r="F10909" s="28"/>
      <c r="G10909" s="33">
        <f>+E10909*F10909</f>
        <v>0</v>
      </c>
    </row>
    <row r="10910" spans="1:8" ht="14.25" thickBot="1">
      <c r="A10910" s="211" t="s">
        <v>520</v>
      </c>
      <c r="B10910" s="216" t="str">
        <f ca="1">_xlfn.CONCAT(B10872,A10910)</f>
        <v>10F3868D-ak</v>
      </c>
      <c r="C10910" s="34"/>
      <c r="D10910" s="185"/>
      <c r="E10910" s="26"/>
      <c r="F10910" s="36" t="s">
        <v>31</v>
      </c>
      <c r="G10910" s="23">
        <f>SUM(G10907:G10909)</f>
        <v>40580.685139112509</v>
      </c>
    </row>
    <row r="10911" spans="1:8" ht="14.25" thickBot="1">
      <c r="A10911" s="211" t="s">
        <v>521</v>
      </c>
      <c r="B10911" s="216" t="str">
        <f ca="1">_xlfn.CONCAT(B10872,A10911)</f>
        <v>10F3868D-al</v>
      </c>
      <c r="C10911" s="37"/>
      <c r="E10911" s="38"/>
      <c r="F10911" s="22"/>
      <c r="G10911" s="39"/>
    </row>
    <row r="10912" spans="1:8" ht="16.5" thickBot="1">
      <c r="A10912" s="211" t="s">
        <v>522</v>
      </c>
      <c r="B10912" s="216" t="str">
        <f ca="1">_xlfn.CONCAT(B10872,A10912)</f>
        <v>10F3868D-am</v>
      </c>
      <c r="C10912" s="40"/>
      <c r="D10912" s="193"/>
      <c r="E10912" s="41"/>
      <c r="F10912" s="42"/>
      <c r="G10912" s="43">
        <f>+G10895+G10904+G10910</f>
        <v>167380.73201411252</v>
      </c>
    </row>
    <row r="10913" spans="1:8" ht="21.75" thickBot="1">
      <c r="B10913" s="212" t="s">
        <v>550</v>
      </c>
      <c r="C10913" s="2"/>
      <c r="D10913" s="183"/>
      <c r="F10913" s="4"/>
      <c r="G10913" s="5"/>
    </row>
    <row r="10914" spans="1:8" ht="18.75">
      <c r="A10914" s="213"/>
      <c r="B10914" s="214">
        <v>248</v>
      </c>
      <c r="C10914" s="242" t="str">
        <f ca="1">_xlfn.XLOOKUP(B10914,Cantidades!$A$10:$A$314,Cantidades!$C$10:$C$314,,0,1)</f>
        <v>Suministro e instalacion de interruptor automatico termomagnetico atornillable 1x15 - 1x20 - 1x30</v>
      </c>
      <c r="D10914" s="243"/>
      <c r="E10914" s="243"/>
      <c r="F10914" s="243"/>
      <c r="G10914" s="244"/>
      <c r="H10914" s="213"/>
    </row>
    <row r="10915" spans="1:8" ht="19.5" thickBot="1">
      <c r="A10915" s="215"/>
      <c r="B10915" s="216" t="s">
        <v>550</v>
      </c>
      <c r="C10915" s="177"/>
      <c r="D10915" s="189"/>
      <c r="E10915" s="178"/>
      <c r="F10915" s="179" t="s">
        <v>636</v>
      </c>
      <c r="G10915" s="209" t="str">
        <f ca="1">B10916</f>
        <v>14C50884-</v>
      </c>
      <c r="H10915" s="215"/>
    </row>
    <row r="10916" spans="1:8" ht="15.75" thickBot="1">
      <c r="B10916" s="212" t="str">
        <f ca="1">_xlfn.XLOOKUP(C10914,Cantidades!$C$1:$C$314,Cantidades!$B$1:$B$314,"",0,1)</f>
        <v>14C50884-</v>
      </c>
      <c r="C10916" s="10" t="s">
        <v>0</v>
      </c>
      <c r="D10916" s="190"/>
      <c r="E10916" s="11"/>
      <c r="F10916" s="12"/>
      <c r="G10916" s="13"/>
    </row>
    <row r="10917" spans="1:8" ht="14.25" thickBot="1">
      <c r="A10917" s="215"/>
      <c r="B10917" s="216" t="s">
        <v>550</v>
      </c>
      <c r="C10917" s="14" t="s">
        <v>1</v>
      </c>
      <c r="D10917" s="15" t="s">
        <v>2</v>
      </c>
      <c r="E10917" s="15" t="s">
        <v>3</v>
      </c>
      <c r="F10917" s="16" t="s">
        <v>4</v>
      </c>
      <c r="G10917" s="15" t="s">
        <v>5</v>
      </c>
      <c r="H10917" s="215"/>
    </row>
    <row r="10918" spans="1:8" ht="15">
      <c r="A10918" s="211" t="s">
        <v>484</v>
      </c>
      <c r="B10918" s="216" t="str">
        <f ca="1">_xlfn.CONCAT(B10916,A10918)</f>
        <v>14C50884-A</v>
      </c>
      <c r="C10918" s="17" t="str">
        <f>_xlfn.XLOOKUP(H10918,'Materiales unitario'!$A$1:$A$2500,'Materiales unitario'!B$1:B$2500,,0,1)</f>
        <v>Interruptor automatico atornillable 1x20A</v>
      </c>
      <c r="D10918" s="184" t="str">
        <f>_xlfn.XLOOKUP(H10918,'Materiales unitario'!A$1:A$2500,'Materiales unitario'!C$1:C$2500,,0,1)</f>
        <v>un</v>
      </c>
      <c r="E10918" s="197">
        <f>_xlfn.XLOOKUP(H10918,'Materiales unitario'!$A$1:$A$2500,'Materiales unitario'!D$1:D$2500,,0,1)</f>
        <v>23844</v>
      </c>
      <c r="F10918" s="19">
        <v>1</v>
      </c>
      <c r="G10918" s="20">
        <f>+E10918*F10918</f>
        <v>23844</v>
      </c>
      <c r="H10918" s="217" t="s">
        <v>1720</v>
      </c>
    </row>
    <row r="10919" spans="1:8" ht="15">
      <c r="A10919" s="211" t="s">
        <v>485</v>
      </c>
      <c r="B10919" s="216" t="str">
        <f ca="1">_xlfn.CONCAT(B10916,A10919)</f>
        <v>14C50884-B</v>
      </c>
      <c r="C10919" s="17"/>
      <c r="D10919" s="184"/>
      <c r="E10919" s="197"/>
      <c r="F10919" s="19"/>
      <c r="G10919" s="20"/>
      <c r="H10919" s="217"/>
    </row>
    <row r="10920" spans="1:8">
      <c r="A10920" s="211" t="s">
        <v>486</v>
      </c>
      <c r="B10920" s="216" t="str">
        <f ca="1">_xlfn.CONCAT(B10916,A10920)</f>
        <v>14C50884-C</v>
      </c>
      <c r="C10920" s="17"/>
      <c r="D10920" s="184"/>
      <c r="E10920" s="197"/>
      <c r="F10920" s="19"/>
      <c r="G10920" s="20"/>
    </row>
    <row r="10921" spans="1:8">
      <c r="A10921" s="211" t="s">
        <v>487</v>
      </c>
      <c r="B10921" s="216" t="str">
        <f ca="1">_xlfn.CONCAT(B10916,A10921)</f>
        <v>14C50884-D</v>
      </c>
      <c r="C10921" s="17"/>
      <c r="D10921" s="184"/>
      <c r="E10921" s="197"/>
      <c r="F10921" s="19"/>
      <c r="G10921" s="20"/>
    </row>
    <row r="10922" spans="1:8">
      <c r="A10922" s="211" t="s">
        <v>488</v>
      </c>
      <c r="B10922" s="216" t="str">
        <f ca="1">_xlfn.CONCAT(B10916,A10922)</f>
        <v>14C50884-E</v>
      </c>
      <c r="C10922" s="17"/>
      <c r="D10922" s="184"/>
      <c r="E10922" s="197"/>
      <c r="F10922" s="19"/>
      <c r="G10922" s="20"/>
    </row>
    <row r="10923" spans="1:8">
      <c r="A10923" s="211" t="s">
        <v>489</v>
      </c>
      <c r="B10923" s="216" t="str">
        <f ca="1">_xlfn.CONCAT(B10916,A10923)</f>
        <v>14C50884-F</v>
      </c>
      <c r="C10923" s="17"/>
      <c r="D10923" s="184"/>
      <c r="E10923" s="197"/>
      <c r="F10923" s="19"/>
      <c r="G10923" s="20"/>
    </row>
    <row r="10924" spans="1:8">
      <c r="A10924" s="211" t="s">
        <v>490</v>
      </c>
      <c r="B10924" s="216" t="str">
        <f ca="1">_xlfn.CONCAT(B10916,A10924)</f>
        <v>14C50884-G</v>
      </c>
      <c r="C10924" s="17"/>
      <c r="D10924" s="184"/>
      <c r="E10924" s="197"/>
      <c r="F10924" s="19"/>
      <c r="G10924" s="20"/>
    </row>
    <row r="10925" spans="1:8">
      <c r="A10925" s="211" t="s">
        <v>491</v>
      </c>
      <c r="B10925" s="216" t="str">
        <f ca="1">_xlfn.CONCAT(B10916,A10925)</f>
        <v>14C50884-H</v>
      </c>
      <c r="C10925" s="17"/>
      <c r="D10925" s="184"/>
      <c r="E10925" s="197"/>
      <c r="F10925" s="19"/>
      <c r="G10925" s="20"/>
    </row>
    <row r="10926" spans="1:8">
      <c r="A10926" s="211" t="s">
        <v>492</v>
      </c>
      <c r="B10926" s="216" t="str">
        <f ca="1">_xlfn.CONCAT(B10916,A10926)</f>
        <v>14C50884-I</v>
      </c>
      <c r="C10926" s="17"/>
      <c r="D10926" s="184"/>
      <c r="E10926" s="197"/>
      <c r="F10926" s="19"/>
      <c r="G10926" s="20"/>
    </row>
    <row r="10927" spans="1:8">
      <c r="A10927" s="211" t="s">
        <v>493</v>
      </c>
      <c r="B10927" s="216" t="str">
        <f ca="1">_xlfn.CONCAT(B10916,A10927)</f>
        <v>14C50884-J</v>
      </c>
      <c r="C10927" s="17"/>
      <c r="D10927" s="184"/>
      <c r="E10927" s="197"/>
      <c r="F10927" s="19"/>
      <c r="G10927" s="20"/>
    </row>
    <row r="10928" spans="1:8">
      <c r="A10928" s="211" t="s">
        <v>494</v>
      </c>
      <c r="B10928" s="216" t="str">
        <f ca="1">_xlfn.CONCAT(B10916,A10928)</f>
        <v>14C50884-K</v>
      </c>
      <c r="C10928" s="17"/>
      <c r="D10928" s="184"/>
      <c r="E10928" s="197"/>
      <c r="F10928" s="19"/>
      <c r="G10928" s="20"/>
    </row>
    <row r="10929" spans="1:8">
      <c r="A10929" s="211" t="s">
        <v>495</v>
      </c>
      <c r="B10929" s="216" t="str">
        <f ca="1">_xlfn.CONCAT(B10916,A10929)</f>
        <v>14C50884-L</v>
      </c>
      <c r="C10929" s="17"/>
      <c r="D10929" s="184"/>
      <c r="E10929" s="197"/>
      <c r="F10929" s="19"/>
      <c r="G10929" s="20"/>
    </row>
    <row r="10930" spans="1:8">
      <c r="A10930" s="211" t="s">
        <v>496</v>
      </c>
      <c r="B10930" s="216" t="str">
        <f ca="1">_xlfn.CONCAT(B10916,A10930)</f>
        <v>14C50884-M</v>
      </c>
      <c r="C10930" s="17"/>
      <c r="D10930" s="184"/>
      <c r="E10930" s="197"/>
      <c r="F10930" s="19"/>
      <c r="G10930" s="20"/>
    </row>
    <row r="10931" spans="1:8">
      <c r="A10931" s="211" t="s">
        <v>497</v>
      </c>
      <c r="B10931" s="216" t="str">
        <f ca="1">_xlfn.CONCAT(B10916,A10931)</f>
        <v>14C50884-N</v>
      </c>
      <c r="C10931" s="17"/>
      <c r="D10931" s="184"/>
      <c r="E10931" s="197"/>
      <c r="F10931" s="19"/>
      <c r="G10931" s="20"/>
    </row>
    <row r="10932" spans="1:8">
      <c r="A10932" s="211" t="s">
        <v>498</v>
      </c>
      <c r="B10932" s="216" t="str">
        <f ca="1">_xlfn.CONCAT(B10916,A10932)</f>
        <v>14C50884-O</v>
      </c>
      <c r="C10932" s="17"/>
      <c r="D10932" s="184"/>
      <c r="E10932" s="197"/>
      <c r="F10932" s="19"/>
      <c r="G10932" s="20"/>
    </row>
    <row r="10933" spans="1:8">
      <c r="A10933" s="211" t="s">
        <v>499</v>
      </c>
      <c r="B10933" s="216" t="str">
        <f ca="1">_xlfn.CONCAT(B10916,A10933)</f>
        <v>14C50884-P</v>
      </c>
      <c r="C10933" s="17"/>
      <c r="D10933" s="184"/>
      <c r="E10933" s="197"/>
      <c r="F10933" s="19"/>
      <c r="G10933" s="20"/>
    </row>
    <row r="10934" spans="1:8">
      <c r="A10934" s="211" t="s">
        <v>500</v>
      </c>
      <c r="B10934" s="216" t="str">
        <f ca="1">_xlfn.CONCAT(B10916,A10934)</f>
        <v>14C50884-Q</v>
      </c>
      <c r="C10934" s="17"/>
      <c r="D10934" s="184"/>
      <c r="E10934" s="197"/>
      <c r="F10934" s="19"/>
      <c r="G10934" s="20"/>
    </row>
    <row r="10935" spans="1:8">
      <c r="A10935" s="211" t="s">
        <v>501</v>
      </c>
      <c r="B10935" s="216" t="str">
        <f ca="1">_xlfn.CONCAT(B10916,A10935)</f>
        <v>14C50884-R</v>
      </c>
      <c r="C10935" s="17"/>
      <c r="D10935" s="184"/>
      <c r="E10935" s="197"/>
      <c r="F10935" s="19"/>
      <c r="G10935" s="20"/>
    </row>
    <row r="10936" spans="1:8">
      <c r="A10936" s="211" t="s">
        <v>502</v>
      </c>
      <c r="B10936" s="216" t="str">
        <f ca="1">_xlfn.CONCAT(B10916,A10936)</f>
        <v>14C50884-S</v>
      </c>
      <c r="C10936" s="17"/>
      <c r="D10936" s="184"/>
      <c r="E10936" s="197"/>
      <c r="F10936" s="19"/>
      <c r="G10936" s="20"/>
    </row>
    <row r="10937" spans="1:8">
      <c r="A10937" s="211" t="s">
        <v>503</v>
      </c>
      <c r="B10937" s="216" t="str">
        <f ca="1">_xlfn.CONCAT(B10916,A10937)</f>
        <v>14C50884-T</v>
      </c>
      <c r="C10937" s="17"/>
      <c r="D10937" s="184"/>
      <c r="E10937" s="197"/>
      <c r="F10937" s="19"/>
      <c r="G10937" s="20"/>
    </row>
    <row r="10938" spans="1:8" ht="14.25" thickBot="1">
      <c r="A10938" s="211" t="s">
        <v>504</v>
      </c>
      <c r="B10938" s="216" t="str">
        <f ca="1">_xlfn.CONCAT(B10916,A10938)</f>
        <v>14C50884-U</v>
      </c>
      <c r="C10938" s="17"/>
      <c r="D10938" s="184"/>
      <c r="E10938" s="197"/>
      <c r="F10938" s="19"/>
      <c r="G10938" s="20"/>
    </row>
    <row r="10939" spans="1:8" ht="14.25" thickBot="1">
      <c r="A10939" s="211" t="s">
        <v>505</v>
      </c>
      <c r="B10939" s="216" t="str">
        <f ca="1">_xlfn.CONCAT(B10916,A10939)</f>
        <v>14C50884-V</v>
      </c>
      <c r="C10939" s="17" t="s">
        <v>17</v>
      </c>
      <c r="D10939" s="192" t="s">
        <v>17</v>
      </c>
      <c r="E10939" s="18"/>
      <c r="F10939" s="22" t="s">
        <v>18</v>
      </c>
      <c r="G10939" s="23">
        <f>SUM(G10918:G10938)</f>
        <v>23844</v>
      </c>
    </row>
    <row r="10940" spans="1:8" ht="15.75" thickBot="1">
      <c r="A10940" s="211" t="s">
        <v>506</v>
      </c>
      <c r="B10940" s="216" t="str">
        <f ca="1">_xlfn.CONCAT(B10916,A10940)</f>
        <v>14C50884-W</v>
      </c>
      <c r="C10940" s="10" t="s">
        <v>19</v>
      </c>
      <c r="D10940" s="190"/>
      <c r="E10940" s="11"/>
      <c r="F10940" s="12"/>
      <c r="G10940" s="13"/>
    </row>
    <row r="10941" spans="1:8" ht="14.25" thickBot="1">
      <c r="A10941" s="211" t="s">
        <v>507</v>
      </c>
      <c r="B10941" s="216" t="str">
        <f ca="1">_xlfn.CONCAT(B10916,A10941)</f>
        <v>14C50884-X</v>
      </c>
      <c r="C10941" s="14" t="s">
        <v>1</v>
      </c>
      <c r="D10941" s="15"/>
      <c r="E10941" s="15" t="s">
        <v>20</v>
      </c>
      <c r="F10941" s="16" t="s">
        <v>21</v>
      </c>
      <c r="G10941" s="15" t="s">
        <v>5</v>
      </c>
      <c r="H10941" s="215"/>
    </row>
    <row r="10942" spans="1:8">
      <c r="A10942" s="211" t="s">
        <v>508</v>
      </c>
      <c r="B10942" s="216" t="str">
        <f ca="1">_xlfn.CONCAT(B10916,A10942)</f>
        <v>14C50884-Y</v>
      </c>
      <c r="C10942" s="24" t="s">
        <v>22</v>
      </c>
      <c r="D10942" s="184"/>
      <c r="E10942" s="25">
        <f>_xlfn.XLOOKUP(C10942,'H-MO'!B$7:B$30,'H-MO'!D$7:D$30,,0,1)</f>
        <v>2436.5624999999995</v>
      </c>
      <c r="F10942" s="19">
        <v>0.1</v>
      </c>
      <c r="G10942" s="33">
        <f t="shared" ref="G10942:G10947" si="310">+E10942*F10942</f>
        <v>243.65624999999997</v>
      </c>
    </row>
    <row r="10943" spans="1:8">
      <c r="A10943" s="211" t="s">
        <v>509</v>
      </c>
      <c r="B10943" s="216" t="str">
        <f ca="1">_xlfn.CONCAT(B10916,A10943)</f>
        <v>14C50884-Z</v>
      </c>
      <c r="C10943" s="24" t="s">
        <v>23</v>
      </c>
      <c r="D10943" s="184"/>
      <c r="E10943" s="25">
        <f>_xlfn.XLOOKUP(C10943,'H-MO'!B$7:B$30,'H-MO'!D$7:D$30,,0,1)</f>
        <v>1461.9374999999998</v>
      </c>
      <c r="F10943" s="19">
        <v>0.1</v>
      </c>
      <c r="G10943" s="33">
        <f t="shared" si="310"/>
        <v>146.19374999999999</v>
      </c>
    </row>
    <row r="10944" spans="1:8">
      <c r="A10944" s="211" t="s">
        <v>510</v>
      </c>
      <c r="B10944" s="216" t="str">
        <f ca="1">_xlfn.CONCAT(B10916,A10944)</f>
        <v>14C50884-aa</v>
      </c>
      <c r="C10944" s="24" t="s">
        <v>24</v>
      </c>
      <c r="D10944" s="185"/>
      <c r="E10944" s="25">
        <f>_xlfn.XLOOKUP(C10944,'H-MO'!B$7:B$30,'H-MO'!D$7:D$30,,0,1)</f>
        <v>29238.749999999996</v>
      </c>
      <c r="F10944" s="28">
        <v>0.05</v>
      </c>
      <c r="G10944" s="33">
        <f t="shared" si="310"/>
        <v>1461.9375</v>
      </c>
    </row>
    <row r="10945" spans="1:8">
      <c r="A10945" s="211" t="s">
        <v>511</v>
      </c>
      <c r="B10945" s="216" t="str">
        <f ca="1">_xlfn.CONCAT(B10916,A10945)</f>
        <v>14C50884-ab</v>
      </c>
      <c r="C10945" s="24" t="s">
        <v>25</v>
      </c>
      <c r="D10945" s="185"/>
      <c r="E10945" s="25">
        <f>_xlfn.XLOOKUP(C10945,'H-MO'!B$7:B$30,'H-MO'!D$7:D$30,,0,1)</f>
        <v>2761.4374999999995</v>
      </c>
      <c r="F10945" s="28">
        <v>0.01</v>
      </c>
      <c r="G10945" s="33">
        <f t="shared" si="310"/>
        <v>27.614374999999995</v>
      </c>
    </row>
    <row r="10946" spans="1:8">
      <c r="A10946" s="211" t="s">
        <v>512</v>
      </c>
      <c r="B10946" s="216" t="str">
        <f ca="1">_xlfn.CONCAT(B10916,A10946)</f>
        <v>14C50884-ac</v>
      </c>
      <c r="C10946" s="24"/>
      <c r="D10946" s="185"/>
      <c r="E10946" s="29"/>
      <c r="F10946" s="28"/>
      <c r="G10946" s="33">
        <f t="shared" si="310"/>
        <v>0</v>
      </c>
    </row>
    <row r="10947" spans="1:8" ht="14.25" thickBot="1">
      <c r="A10947" s="211" t="s">
        <v>513</v>
      </c>
      <c r="B10947" s="216" t="str">
        <f ca="1">_xlfn.CONCAT(B10916,A10947)</f>
        <v>14C50884-ad</v>
      </c>
      <c r="C10947" s="24"/>
      <c r="D10947" s="185"/>
      <c r="E10947" s="29"/>
      <c r="F10947" s="28"/>
      <c r="G10947" s="33">
        <f t="shared" si="310"/>
        <v>0</v>
      </c>
    </row>
    <row r="10948" spans="1:8" ht="14.25" thickBot="1">
      <c r="A10948" s="211" t="s">
        <v>514</v>
      </c>
      <c r="B10948" s="216" t="str">
        <f ca="1">_xlfn.CONCAT(B10916,A10948)</f>
        <v>14C50884-ae</v>
      </c>
      <c r="C10948" s="17"/>
      <c r="D10948" s="192"/>
      <c r="E10948" s="18"/>
      <c r="F10948" s="22" t="s">
        <v>26</v>
      </c>
      <c r="G10948" s="23">
        <f>SUM(G10942:G10947)</f>
        <v>1879.401875</v>
      </c>
    </row>
    <row r="10949" spans="1:8" ht="15.75" thickBot="1">
      <c r="A10949" s="211" t="s">
        <v>515</v>
      </c>
      <c r="B10949" s="216" t="str">
        <f ca="1">_xlfn.CONCAT(B10916,A10949)</f>
        <v>14C50884-af</v>
      </c>
      <c r="C10949" s="10" t="s">
        <v>27</v>
      </c>
      <c r="D10949" s="190"/>
      <c r="E10949" s="11"/>
      <c r="F10949" s="12"/>
      <c r="G10949" s="13"/>
    </row>
    <row r="10950" spans="1:8" ht="14.25" thickBot="1">
      <c r="A10950" s="211" t="s">
        <v>516</v>
      </c>
      <c r="B10950" s="216" t="str">
        <f ca="1">_xlfn.CONCAT(B10916,A10950)</f>
        <v>14C50884-ag</v>
      </c>
      <c r="C10950" s="14" t="s">
        <v>1</v>
      </c>
      <c r="D10950" s="15" t="s">
        <v>28</v>
      </c>
      <c r="E10950" s="15" t="s">
        <v>20</v>
      </c>
      <c r="F10950" s="16" t="s">
        <v>21</v>
      </c>
      <c r="G10950" s="15" t="s">
        <v>5</v>
      </c>
      <c r="H10950" s="215"/>
    </row>
    <row r="10951" spans="1:8">
      <c r="A10951" s="211" t="s">
        <v>517</v>
      </c>
      <c r="B10951" s="216" t="str">
        <f ca="1">_xlfn.CONCAT(B10916,A10951)</f>
        <v>14C50884-ah</v>
      </c>
      <c r="C10951" s="30" t="s">
        <v>29</v>
      </c>
      <c r="D10951" s="186">
        <f>'H-MO'!$N$77</f>
        <v>725918.52892505517</v>
      </c>
      <c r="E10951" s="31">
        <f>+D10951/8</f>
        <v>90739.816115631897</v>
      </c>
      <c r="F10951" s="32">
        <v>0.06</v>
      </c>
      <c r="G10951" s="33">
        <f>+E10951*F10951</f>
        <v>5444.3889669379132</v>
      </c>
    </row>
    <row r="10952" spans="1:8">
      <c r="A10952" s="211" t="s">
        <v>518</v>
      </c>
      <c r="B10952" s="216" t="str">
        <f ca="1">_xlfn.CONCAT(B10916,A10952)</f>
        <v>14C50884-ai</v>
      </c>
      <c r="C10952" s="34" t="s">
        <v>30</v>
      </c>
      <c r="D10952" s="187">
        <f>'H-MO'!$N$86</f>
        <v>685561.39085756091</v>
      </c>
      <c r="E10952" s="29">
        <f>+D10952/8</f>
        <v>85695.173857195114</v>
      </c>
      <c r="F10952" s="28">
        <v>0</v>
      </c>
      <c r="G10952" s="33">
        <f>+E10952*F10952</f>
        <v>0</v>
      </c>
    </row>
    <row r="10953" spans="1:8" ht="14.25" thickBot="1">
      <c r="A10953" s="211" t="s">
        <v>519</v>
      </c>
      <c r="B10953" s="216" t="str">
        <f ca="1">_xlfn.CONCAT(B10916,A10953)</f>
        <v>14C50884-aj</v>
      </c>
      <c r="C10953" s="34"/>
      <c r="D10953" s="187"/>
      <c r="E10953" s="29"/>
      <c r="F10953" s="28"/>
      <c r="G10953" s="33">
        <f>+E10953*F10953</f>
        <v>0</v>
      </c>
    </row>
    <row r="10954" spans="1:8" ht="14.25" thickBot="1">
      <c r="A10954" s="211" t="s">
        <v>520</v>
      </c>
      <c r="B10954" s="216" t="str">
        <f ca="1">_xlfn.CONCAT(B10916,A10954)</f>
        <v>14C50884-ak</v>
      </c>
      <c r="C10954" s="34"/>
      <c r="D10954" s="185"/>
      <c r="E10954" s="26"/>
      <c r="F10954" s="36" t="s">
        <v>31</v>
      </c>
      <c r="G10954" s="23">
        <f>SUM(G10951:G10953)</f>
        <v>5444.3889669379132</v>
      </c>
    </row>
    <row r="10955" spans="1:8" ht="14.25" thickBot="1">
      <c r="A10955" s="211" t="s">
        <v>521</v>
      </c>
      <c r="B10955" s="216" t="str">
        <f ca="1">_xlfn.CONCAT(B10916,A10955)</f>
        <v>14C50884-al</v>
      </c>
      <c r="C10955" s="37"/>
      <c r="E10955" s="38"/>
      <c r="F10955" s="22"/>
      <c r="G10955" s="39"/>
    </row>
    <row r="10956" spans="1:8" ht="16.5" thickBot="1">
      <c r="A10956" s="211" t="s">
        <v>522</v>
      </c>
      <c r="B10956" s="216" t="str">
        <f ca="1">_xlfn.CONCAT(B10916,A10956)</f>
        <v>14C50884-am</v>
      </c>
      <c r="C10956" s="40"/>
      <c r="D10956" s="193"/>
      <c r="E10956" s="41"/>
      <c r="F10956" s="42"/>
      <c r="G10956" s="43">
        <f>+G10939+G10948+G10954</f>
        <v>31167.790841937913</v>
      </c>
    </row>
    <row r="10957" spans="1:8" ht="21.75" thickBot="1">
      <c r="B10957" s="212" t="s">
        <v>550</v>
      </c>
      <c r="C10957" s="2"/>
      <c r="D10957" s="183"/>
      <c r="F10957" s="4"/>
      <c r="G10957" s="5"/>
    </row>
    <row r="10958" spans="1:8" ht="18.75">
      <c r="A10958" s="213"/>
      <c r="B10958" s="214">
        <v>249</v>
      </c>
      <c r="C10958" s="242" t="str">
        <f ca="1">_xlfn.XLOOKUP(B10958,Cantidades!$A$10:$A$314,Cantidades!$C$10:$C$314,,0,1)</f>
        <v>Suministro e instalacion de interruptor automatico termomagnetico atornillable 2x20A</v>
      </c>
      <c r="D10958" s="243"/>
      <c r="E10958" s="243"/>
      <c r="F10958" s="243"/>
      <c r="G10958" s="244"/>
      <c r="H10958" s="213"/>
    </row>
    <row r="10959" spans="1:8" ht="19.5" thickBot="1">
      <c r="A10959" s="215"/>
      <c r="B10959" s="216" t="s">
        <v>550</v>
      </c>
      <c r="C10959" s="177"/>
      <c r="D10959" s="189"/>
      <c r="E10959" s="178"/>
      <c r="F10959" s="179" t="s">
        <v>636</v>
      </c>
      <c r="G10959" s="209" t="str">
        <f ca="1">B10960</f>
        <v>4B8ECE5-</v>
      </c>
      <c r="H10959" s="215"/>
    </row>
    <row r="10960" spans="1:8" ht="15.75" thickBot="1">
      <c r="B10960" s="212" t="str">
        <f ca="1">_xlfn.XLOOKUP(C10958,Cantidades!$C$1:$C$314,Cantidades!$B$1:$B$314,"",0,1)</f>
        <v>4B8ECE5-</v>
      </c>
      <c r="C10960" s="10" t="s">
        <v>0</v>
      </c>
      <c r="D10960" s="190"/>
      <c r="E10960" s="11"/>
      <c r="F10960" s="12"/>
      <c r="G10960" s="13"/>
    </row>
    <row r="10961" spans="1:8" ht="14.25" thickBot="1">
      <c r="A10961" s="215"/>
      <c r="B10961" s="216" t="s">
        <v>550</v>
      </c>
      <c r="C10961" s="14" t="s">
        <v>1</v>
      </c>
      <c r="D10961" s="15" t="s">
        <v>2</v>
      </c>
      <c r="E10961" s="15" t="s">
        <v>3</v>
      </c>
      <c r="F10961" s="16" t="s">
        <v>4</v>
      </c>
      <c r="G10961" s="15" t="s">
        <v>5</v>
      </c>
      <c r="H10961" s="215"/>
    </row>
    <row r="10962" spans="1:8" ht="15">
      <c r="A10962" s="211" t="s">
        <v>484</v>
      </c>
      <c r="B10962" s="216" t="str">
        <f ca="1">_xlfn.CONCAT(B10960,A10962)</f>
        <v>4B8ECE5-A</v>
      </c>
      <c r="C10962" s="17" t="str">
        <f>_xlfn.XLOOKUP(H10962,'Materiales unitario'!$A$1:$A$2500,'Materiales unitario'!B$1:B$2500,,0,1)</f>
        <v>Interruptor automatico atornillable 2x20A</v>
      </c>
      <c r="D10962" s="184" t="str">
        <f>_xlfn.XLOOKUP(H10962,'Materiales unitario'!A$1:A$2500,'Materiales unitario'!C$1:C$2500,,0,1)</f>
        <v>un</v>
      </c>
      <c r="E10962" s="197">
        <f>_xlfn.XLOOKUP(H10962,'Materiales unitario'!$A$1:$A$2500,'Materiales unitario'!D$1:D$2500,,0,1)</f>
        <v>112300</v>
      </c>
      <c r="F10962" s="19">
        <v>1</v>
      </c>
      <c r="G10962" s="20">
        <f>+E10962*F10962</f>
        <v>112300</v>
      </c>
      <c r="H10962" s="217" t="s">
        <v>1723</v>
      </c>
    </row>
    <row r="10963" spans="1:8" ht="15">
      <c r="A10963" s="211" t="s">
        <v>485</v>
      </c>
      <c r="B10963" s="216" t="str">
        <f ca="1">_xlfn.CONCAT(B10960,A10963)</f>
        <v>4B8ECE5-B</v>
      </c>
      <c r="C10963" s="17"/>
      <c r="D10963" s="184"/>
      <c r="E10963" s="197"/>
      <c r="F10963" s="19"/>
      <c r="G10963" s="20"/>
      <c r="H10963" s="217"/>
    </row>
    <row r="10964" spans="1:8">
      <c r="A10964" s="211" t="s">
        <v>486</v>
      </c>
      <c r="B10964" s="216" t="str">
        <f ca="1">_xlfn.CONCAT(B10960,A10964)</f>
        <v>4B8ECE5-C</v>
      </c>
      <c r="C10964" s="17"/>
      <c r="D10964" s="184"/>
      <c r="E10964" s="197"/>
      <c r="F10964" s="19"/>
      <c r="G10964" s="20"/>
    </row>
    <row r="10965" spans="1:8">
      <c r="A10965" s="211" t="s">
        <v>487</v>
      </c>
      <c r="B10965" s="216" t="str">
        <f ca="1">_xlfn.CONCAT(B10960,A10965)</f>
        <v>4B8ECE5-D</v>
      </c>
      <c r="C10965" s="17"/>
      <c r="D10965" s="184"/>
      <c r="E10965" s="197"/>
      <c r="F10965" s="19"/>
      <c r="G10965" s="20"/>
    </row>
    <row r="10966" spans="1:8">
      <c r="A10966" s="211" t="s">
        <v>488</v>
      </c>
      <c r="B10966" s="216" t="str">
        <f ca="1">_xlfn.CONCAT(B10960,A10966)</f>
        <v>4B8ECE5-E</v>
      </c>
      <c r="C10966" s="17"/>
      <c r="D10966" s="184"/>
      <c r="E10966" s="197"/>
      <c r="F10966" s="19"/>
      <c r="G10966" s="20"/>
    </row>
    <row r="10967" spans="1:8">
      <c r="A10967" s="211" t="s">
        <v>489</v>
      </c>
      <c r="B10967" s="216" t="str">
        <f ca="1">_xlfn.CONCAT(B10960,A10967)</f>
        <v>4B8ECE5-F</v>
      </c>
      <c r="C10967" s="17"/>
      <c r="D10967" s="184"/>
      <c r="E10967" s="197"/>
      <c r="F10967" s="19"/>
      <c r="G10967" s="20"/>
    </row>
    <row r="10968" spans="1:8">
      <c r="A10968" s="211" t="s">
        <v>490</v>
      </c>
      <c r="B10968" s="216" t="str">
        <f ca="1">_xlfn.CONCAT(B10960,A10968)</f>
        <v>4B8ECE5-G</v>
      </c>
      <c r="C10968" s="17"/>
      <c r="D10968" s="184"/>
      <c r="E10968" s="197"/>
      <c r="F10968" s="19"/>
      <c r="G10968" s="20"/>
    </row>
    <row r="10969" spans="1:8">
      <c r="A10969" s="211" t="s">
        <v>491</v>
      </c>
      <c r="B10969" s="216" t="str">
        <f ca="1">_xlfn.CONCAT(B10960,A10969)</f>
        <v>4B8ECE5-H</v>
      </c>
      <c r="C10969" s="17"/>
      <c r="D10969" s="184"/>
      <c r="E10969" s="197"/>
      <c r="F10969" s="19"/>
      <c r="G10969" s="20"/>
    </row>
    <row r="10970" spans="1:8">
      <c r="A10970" s="211" t="s">
        <v>492</v>
      </c>
      <c r="B10970" s="216" t="str">
        <f ca="1">_xlfn.CONCAT(B10960,A10970)</f>
        <v>4B8ECE5-I</v>
      </c>
      <c r="C10970" s="17"/>
      <c r="D10970" s="184"/>
      <c r="E10970" s="197"/>
      <c r="F10970" s="19"/>
      <c r="G10970" s="20"/>
    </row>
    <row r="10971" spans="1:8">
      <c r="A10971" s="211" t="s">
        <v>493</v>
      </c>
      <c r="B10971" s="216" t="str">
        <f ca="1">_xlfn.CONCAT(B10960,A10971)</f>
        <v>4B8ECE5-J</v>
      </c>
      <c r="C10971" s="17"/>
      <c r="D10971" s="184"/>
      <c r="E10971" s="197"/>
      <c r="F10971" s="19"/>
      <c r="G10971" s="20"/>
    </row>
    <row r="10972" spans="1:8">
      <c r="A10972" s="211" t="s">
        <v>494</v>
      </c>
      <c r="B10972" s="216" t="str">
        <f ca="1">_xlfn.CONCAT(B10960,A10972)</f>
        <v>4B8ECE5-K</v>
      </c>
      <c r="C10972" s="17"/>
      <c r="D10972" s="184"/>
      <c r="E10972" s="197"/>
      <c r="F10972" s="19"/>
      <c r="G10972" s="20"/>
    </row>
    <row r="10973" spans="1:8">
      <c r="A10973" s="211" t="s">
        <v>495</v>
      </c>
      <c r="B10973" s="216" t="str">
        <f ca="1">_xlfn.CONCAT(B10960,A10973)</f>
        <v>4B8ECE5-L</v>
      </c>
      <c r="C10973" s="17"/>
      <c r="D10973" s="184"/>
      <c r="E10973" s="197"/>
      <c r="F10973" s="19"/>
      <c r="G10973" s="20"/>
    </row>
    <row r="10974" spans="1:8">
      <c r="A10974" s="211" t="s">
        <v>496</v>
      </c>
      <c r="B10974" s="216" t="str">
        <f ca="1">_xlfn.CONCAT(B10960,A10974)</f>
        <v>4B8ECE5-M</v>
      </c>
      <c r="C10974" s="17"/>
      <c r="D10974" s="184"/>
      <c r="E10974" s="197"/>
      <c r="F10974" s="19"/>
      <c r="G10974" s="20"/>
    </row>
    <row r="10975" spans="1:8">
      <c r="A10975" s="211" t="s">
        <v>497</v>
      </c>
      <c r="B10975" s="216" t="str">
        <f ca="1">_xlfn.CONCAT(B10960,A10975)</f>
        <v>4B8ECE5-N</v>
      </c>
      <c r="C10975" s="17"/>
      <c r="D10975" s="184"/>
      <c r="E10975" s="197"/>
      <c r="F10975" s="19"/>
      <c r="G10975" s="20"/>
    </row>
    <row r="10976" spans="1:8">
      <c r="A10976" s="211" t="s">
        <v>498</v>
      </c>
      <c r="B10976" s="216" t="str">
        <f ca="1">_xlfn.CONCAT(B10960,A10976)</f>
        <v>4B8ECE5-O</v>
      </c>
      <c r="C10976" s="17"/>
      <c r="D10976" s="184"/>
      <c r="E10976" s="197"/>
      <c r="F10976" s="19"/>
      <c r="G10976" s="20"/>
    </row>
    <row r="10977" spans="1:8">
      <c r="A10977" s="211" t="s">
        <v>499</v>
      </c>
      <c r="B10977" s="216" t="str">
        <f ca="1">_xlfn.CONCAT(B10960,A10977)</f>
        <v>4B8ECE5-P</v>
      </c>
      <c r="C10977" s="17"/>
      <c r="D10977" s="184"/>
      <c r="E10977" s="197"/>
      <c r="F10977" s="19"/>
      <c r="G10977" s="20"/>
    </row>
    <row r="10978" spans="1:8">
      <c r="A10978" s="211" t="s">
        <v>500</v>
      </c>
      <c r="B10978" s="216" t="str">
        <f ca="1">_xlfn.CONCAT(B10960,A10978)</f>
        <v>4B8ECE5-Q</v>
      </c>
      <c r="C10978" s="17"/>
      <c r="D10978" s="184"/>
      <c r="E10978" s="197"/>
      <c r="F10978" s="19"/>
      <c r="G10978" s="20"/>
    </row>
    <row r="10979" spans="1:8">
      <c r="A10979" s="211" t="s">
        <v>501</v>
      </c>
      <c r="B10979" s="216" t="str">
        <f ca="1">_xlfn.CONCAT(B10960,A10979)</f>
        <v>4B8ECE5-R</v>
      </c>
      <c r="C10979" s="17"/>
      <c r="D10979" s="184"/>
      <c r="E10979" s="197"/>
      <c r="F10979" s="19"/>
      <c r="G10979" s="20"/>
    </row>
    <row r="10980" spans="1:8">
      <c r="A10980" s="211" t="s">
        <v>502</v>
      </c>
      <c r="B10980" s="216" t="str">
        <f ca="1">_xlfn.CONCAT(B10960,A10980)</f>
        <v>4B8ECE5-S</v>
      </c>
      <c r="C10980" s="17"/>
      <c r="D10980" s="184"/>
      <c r="E10980" s="197"/>
      <c r="F10980" s="19"/>
      <c r="G10980" s="20"/>
    </row>
    <row r="10981" spans="1:8">
      <c r="A10981" s="211" t="s">
        <v>503</v>
      </c>
      <c r="B10981" s="216" t="str">
        <f ca="1">_xlfn.CONCAT(B10960,A10981)</f>
        <v>4B8ECE5-T</v>
      </c>
      <c r="C10981" s="17"/>
      <c r="D10981" s="184"/>
      <c r="E10981" s="197"/>
      <c r="F10981" s="19"/>
      <c r="G10981" s="20"/>
    </row>
    <row r="10982" spans="1:8" ht="14.25" thickBot="1">
      <c r="A10982" s="211" t="s">
        <v>504</v>
      </c>
      <c r="B10982" s="216" t="str">
        <f ca="1">_xlfn.CONCAT(B10960,A10982)</f>
        <v>4B8ECE5-U</v>
      </c>
      <c r="C10982" s="17"/>
      <c r="D10982" s="184"/>
      <c r="E10982" s="197"/>
      <c r="F10982" s="19"/>
      <c r="G10982" s="20"/>
    </row>
    <row r="10983" spans="1:8" ht="14.25" thickBot="1">
      <c r="A10983" s="211" t="s">
        <v>505</v>
      </c>
      <c r="B10983" s="216" t="str">
        <f ca="1">_xlfn.CONCAT(B10960,A10983)</f>
        <v>4B8ECE5-V</v>
      </c>
      <c r="C10983" s="17" t="s">
        <v>17</v>
      </c>
      <c r="D10983" s="192" t="s">
        <v>17</v>
      </c>
      <c r="E10983" s="18"/>
      <c r="F10983" s="22" t="s">
        <v>18</v>
      </c>
      <c r="G10983" s="23">
        <f>SUM(G10962:G10982)</f>
        <v>112300</v>
      </c>
    </row>
    <row r="10984" spans="1:8" ht="15.75" thickBot="1">
      <c r="A10984" s="211" t="s">
        <v>506</v>
      </c>
      <c r="B10984" s="216" t="str">
        <f ca="1">_xlfn.CONCAT(B10960,A10984)</f>
        <v>4B8ECE5-W</v>
      </c>
      <c r="C10984" s="10" t="s">
        <v>19</v>
      </c>
      <c r="D10984" s="190"/>
      <c r="E10984" s="11"/>
      <c r="F10984" s="12"/>
      <c r="G10984" s="13"/>
    </row>
    <row r="10985" spans="1:8" ht="14.25" thickBot="1">
      <c r="A10985" s="211" t="s">
        <v>507</v>
      </c>
      <c r="B10985" s="216" t="str">
        <f ca="1">_xlfn.CONCAT(B10960,A10985)</f>
        <v>4B8ECE5-X</v>
      </c>
      <c r="C10985" s="14" t="s">
        <v>1</v>
      </c>
      <c r="D10985" s="15"/>
      <c r="E10985" s="15" t="s">
        <v>20</v>
      </c>
      <c r="F10985" s="16" t="s">
        <v>21</v>
      </c>
      <c r="G10985" s="15" t="s">
        <v>5</v>
      </c>
      <c r="H10985" s="215"/>
    </row>
    <row r="10986" spans="1:8">
      <c r="A10986" s="211" t="s">
        <v>508</v>
      </c>
      <c r="B10986" s="216" t="str">
        <f ca="1">_xlfn.CONCAT(B10960,A10986)</f>
        <v>4B8ECE5-Y</v>
      </c>
      <c r="C10986" s="24" t="s">
        <v>22</v>
      </c>
      <c r="D10986" s="184"/>
      <c r="E10986" s="25">
        <f>_xlfn.XLOOKUP(C10986,'H-MO'!B$7:B$30,'H-MO'!D$7:D$30,,0,1)</f>
        <v>2436.5624999999995</v>
      </c>
      <c r="F10986" s="19">
        <v>0.2</v>
      </c>
      <c r="G10986" s="33">
        <f t="shared" ref="G10986:G10991" si="311">+E10986*F10986</f>
        <v>487.31249999999994</v>
      </c>
    </row>
    <row r="10987" spans="1:8">
      <c r="A10987" s="211" t="s">
        <v>509</v>
      </c>
      <c r="B10987" s="216" t="str">
        <f ca="1">_xlfn.CONCAT(B10960,A10987)</f>
        <v>4B8ECE5-Z</v>
      </c>
      <c r="C10987" s="24" t="s">
        <v>23</v>
      </c>
      <c r="D10987" s="184"/>
      <c r="E10987" s="25">
        <f>_xlfn.XLOOKUP(C10987,'H-MO'!B$7:B$30,'H-MO'!D$7:D$30,,0,1)</f>
        <v>1461.9374999999998</v>
      </c>
      <c r="F10987" s="19">
        <v>0.2</v>
      </c>
      <c r="G10987" s="33">
        <f t="shared" si="311"/>
        <v>292.38749999999999</v>
      </c>
    </row>
    <row r="10988" spans="1:8">
      <c r="A10988" s="211" t="s">
        <v>510</v>
      </c>
      <c r="B10988" s="216" t="str">
        <f ca="1">_xlfn.CONCAT(B10960,A10988)</f>
        <v>4B8ECE5-aa</v>
      </c>
      <c r="C10988" s="24" t="s">
        <v>24</v>
      </c>
      <c r="D10988" s="185"/>
      <c r="E10988" s="25">
        <f>_xlfn.XLOOKUP(C10988,'H-MO'!B$7:B$30,'H-MO'!D$7:D$30,,0,1)</f>
        <v>29238.749999999996</v>
      </c>
      <c r="F10988" s="28">
        <v>0.05</v>
      </c>
      <c r="G10988" s="33">
        <f t="shared" si="311"/>
        <v>1461.9375</v>
      </c>
    </row>
    <row r="10989" spans="1:8">
      <c r="A10989" s="211" t="s">
        <v>511</v>
      </c>
      <c r="B10989" s="216" t="str">
        <f ca="1">_xlfn.CONCAT(B10960,A10989)</f>
        <v>4B8ECE5-ab</v>
      </c>
      <c r="C10989" s="24" t="s">
        <v>25</v>
      </c>
      <c r="D10989" s="185"/>
      <c r="E10989" s="25">
        <f>_xlfn.XLOOKUP(C10989,'H-MO'!B$7:B$30,'H-MO'!D$7:D$30,,0,1)</f>
        <v>2761.4374999999995</v>
      </c>
      <c r="F10989" s="28">
        <v>0.01</v>
      </c>
      <c r="G10989" s="33">
        <f t="shared" si="311"/>
        <v>27.614374999999995</v>
      </c>
    </row>
    <row r="10990" spans="1:8">
      <c r="A10990" s="211" t="s">
        <v>512</v>
      </c>
      <c r="B10990" s="216" t="str">
        <f ca="1">_xlfn.CONCAT(B10960,A10990)</f>
        <v>4B8ECE5-ac</v>
      </c>
      <c r="C10990" s="24"/>
      <c r="D10990" s="185"/>
      <c r="E10990" s="29"/>
      <c r="F10990" s="28"/>
      <c r="G10990" s="33">
        <f t="shared" si="311"/>
        <v>0</v>
      </c>
    </row>
    <row r="10991" spans="1:8" ht="14.25" thickBot="1">
      <c r="A10991" s="211" t="s">
        <v>513</v>
      </c>
      <c r="B10991" s="216" t="str">
        <f ca="1">_xlfn.CONCAT(B10960,A10991)</f>
        <v>4B8ECE5-ad</v>
      </c>
      <c r="C10991" s="24"/>
      <c r="D10991" s="185"/>
      <c r="E10991" s="29"/>
      <c r="F10991" s="28"/>
      <c r="G10991" s="33">
        <f t="shared" si="311"/>
        <v>0</v>
      </c>
    </row>
    <row r="10992" spans="1:8" ht="14.25" thickBot="1">
      <c r="A10992" s="211" t="s">
        <v>514</v>
      </c>
      <c r="B10992" s="216" t="str">
        <f ca="1">_xlfn.CONCAT(B10960,A10992)</f>
        <v>4B8ECE5-ae</v>
      </c>
      <c r="C10992" s="17"/>
      <c r="D10992" s="192"/>
      <c r="E10992" s="18"/>
      <c r="F10992" s="22" t="s">
        <v>26</v>
      </c>
      <c r="G10992" s="23">
        <f>SUM(G10986:G10991)</f>
        <v>2269.2518749999999</v>
      </c>
    </row>
    <row r="10993" spans="1:8" ht="15.75" thickBot="1">
      <c r="A10993" s="211" t="s">
        <v>515</v>
      </c>
      <c r="B10993" s="216" t="str">
        <f ca="1">_xlfn.CONCAT(B10960,A10993)</f>
        <v>4B8ECE5-af</v>
      </c>
      <c r="C10993" s="10" t="s">
        <v>27</v>
      </c>
      <c r="D10993" s="190"/>
      <c r="E10993" s="11"/>
      <c r="F10993" s="12"/>
      <c r="G10993" s="13"/>
    </row>
    <row r="10994" spans="1:8" ht="14.25" thickBot="1">
      <c r="A10994" s="211" t="s">
        <v>516</v>
      </c>
      <c r="B10994" s="216" t="str">
        <f ca="1">_xlfn.CONCAT(B10960,A10994)</f>
        <v>4B8ECE5-ag</v>
      </c>
      <c r="C10994" s="14" t="s">
        <v>1</v>
      </c>
      <c r="D10994" s="15" t="s">
        <v>28</v>
      </c>
      <c r="E10994" s="15" t="s">
        <v>20</v>
      </c>
      <c r="F10994" s="16" t="s">
        <v>21</v>
      </c>
      <c r="G10994" s="15" t="s">
        <v>5</v>
      </c>
      <c r="H10994" s="215"/>
    </row>
    <row r="10995" spans="1:8">
      <c r="A10995" s="211" t="s">
        <v>517</v>
      </c>
      <c r="B10995" s="216" t="str">
        <f ca="1">_xlfn.CONCAT(B10960,A10995)</f>
        <v>4B8ECE5-ah</v>
      </c>
      <c r="C10995" s="30" t="s">
        <v>29</v>
      </c>
      <c r="D10995" s="186">
        <f>'H-MO'!$N$77</f>
        <v>725918.52892505517</v>
      </c>
      <c r="E10995" s="31">
        <f>+D10995/8</f>
        <v>90739.816115631897</v>
      </c>
      <c r="F10995" s="32">
        <v>0.12</v>
      </c>
      <c r="G10995" s="33">
        <f>+E10995*F10995</f>
        <v>10888.777933875826</v>
      </c>
    </row>
    <row r="10996" spans="1:8">
      <c r="A10996" s="211" t="s">
        <v>518</v>
      </c>
      <c r="B10996" s="216" t="str">
        <f ca="1">_xlfn.CONCAT(B10960,A10996)</f>
        <v>4B8ECE5-ai</v>
      </c>
      <c r="C10996" s="34" t="s">
        <v>30</v>
      </c>
      <c r="D10996" s="187">
        <f>'H-MO'!$N$86</f>
        <v>685561.39085756091</v>
      </c>
      <c r="E10996" s="29">
        <f>+D10996/8</f>
        <v>85695.173857195114</v>
      </c>
      <c r="F10996" s="28">
        <v>0</v>
      </c>
      <c r="G10996" s="33">
        <f>+E10996*F10996</f>
        <v>0</v>
      </c>
    </row>
    <row r="10997" spans="1:8" ht="14.25" thickBot="1">
      <c r="A10997" s="211" t="s">
        <v>519</v>
      </c>
      <c r="B10997" s="216" t="str">
        <f ca="1">_xlfn.CONCAT(B10960,A10997)</f>
        <v>4B8ECE5-aj</v>
      </c>
      <c r="C10997" s="34"/>
      <c r="D10997" s="187"/>
      <c r="E10997" s="29"/>
      <c r="F10997" s="28"/>
      <c r="G10997" s="33">
        <f>+E10997*F10997</f>
        <v>0</v>
      </c>
    </row>
    <row r="10998" spans="1:8" ht="14.25" thickBot="1">
      <c r="A10998" s="211" t="s">
        <v>520</v>
      </c>
      <c r="B10998" s="216" t="str">
        <f ca="1">_xlfn.CONCAT(B10960,A10998)</f>
        <v>4B8ECE5-ak</v>
      </c>
      <c r="C10998" s="34"/>
      <c r="D10998" s="185"/>
      <c r="E10998" s="26"/>
      <c r="F10998" s="36" t="s">
        <v>31</v>
      </c>
      <c r="G10998" s="23">
        <f>SUM(G10995:G10997)</f>
        <v>10888.777933875826</v>
      </c>
    </row>
    <row r="10999" spans="1:8" ht="14.25" thickBot="1">
      <c r="A10999" s="211" t="s">
        <v>521</v>
      </c>
      <c r="B10999" s="216" t="str">
        <f ca="1">_xlfn.CONCAT(B10960,A10999)</f>
        <v>4B8ECE5-al</v>
      </c>
      <c r="C10999" s="37"/>
      <c r="E10999" s="38"/>
      <c r="F10999" s="22"/>
      <c r="G10999" s="39"/>
    </row>
    <row r="11000" spans="1:8" ht="16.5" thickBot="1">
      <c r="A11000" s="211" t="s">
        <v>522</v>
      </c>
      <c r="B11000" s="216" t="str">
        <f ca="1">_xlfn.CONCAT(B10960,A11000)</f>
        <v>4B8ECE5-am</v>
      </c>
      <c r="C11000" s="40"/>
      <c r="D11000" s="193"/>
      <c r="E11000" s="41"/>
      <c r="F11000" s="42"/>
      <c r="G11000" s="43">
        <f>+G10983+G10992+G10998</f>
        <v>125458.02980887583</v>
      </c>
    </row>
    <row r="11001" spans="1:8" ht="21.75" thickBot="1">
      <c r="B11001" s="212" t="s">
        <v>550</v>
      </c>
      <c r="C11001" s="2"/>
      <c r="D11001" s="183"/>
      <c r="F11001" s="4"/>
      <c r="G11001" s="5"/>
    </row>
    <row r="11002" spans="1:8" ht="18.75">
      <c r="A11002" s="213"/>
      <c r="B11002" s="214">
        <v>250</v>
      </c>
      <c r="C11002" s="242" t="str">
        <f ca="1">_xlfn.XLOOKUP(B11002,Cantidades!$A$10:$A$314,Cantidades!$C$10:$C$314,,0,1)</f>
        <v>Suministro e instalacion de interruptor automatico termomagnetico atornillable 3x40A</v>
      </c>
      <c r="D11002" s="243"/>
      <c r="E11002" s="243"/>
      <c r="F11002" s="243"/>
      <c r="G11002" s="244"/>
      <c r="H11002" s="213"/>
    </row>
    <row r="11003" spans="1:8" ht="19.5" thickBot="1">
      <c r="A11003" s="215"/>
      <c r="B11003" s="216" t="s">
        <v>550</v>
      </c>
      <c r="C11003" s="177"/>
      <c r="D11003" s="189"/>
      <c r="E11003" s="178"/>
      <c r="F11003" s="179" t="s">
        <v>636</v>
      </c>
      <c r="G11003" s="209" t="str">
        <f ca="1">B11004</f>
        <v>63D95D2-</v>
      </c>
      <c r="H11003" s="215"/>
    </row>
    <row r="11004" spans="1:8" ht="15.75" thickBot="1">
      <c r="B11004" s="212" t="str">
        <f ca="1">_xlfn.XLOOKUP(C11002,Cantidades!$C$1:$C$314,Cantidades!$B$1:$B$314,"",0,1)</f>
        <v>63D95D2-</v>
      </c>
      <c r="C11004" s="10" t="s">
        <v>0</v>
      </c>
      <c r="D11004" s="190"/>
      <c r="E11004" s="11"/>
      <c r="F11004" s="12"/>
      <c r="G11004" s="13"/>
    </row>
    <row r="11005" spans="1:8" ht="14.25" thickBot="1">
      <c r="A11005" s="215"/>
      <c r="B11005" s="216" t="s">
        <v>550</v>
      </c>
      <c r="C11005" s="14" t="s">
        <v>1</v>
      </c>
      <c r="D11005" s="15" t="s">
        <v>2</v>
      </c>
      <c r="E11005" s="15" t="s">
        <v>3</v>
      </c>
      <c r="F11005" s="16" t="s">
        <v>4</v>
      </c>
      <c r="G11005" s="15" t="s">
        <v>5</v>
      </c>
      <c r="H11005" s="215"/>
    </row>
    <row r="11006" spans="1:8" ht="15">
      <c r="A11006" s="211" t="s">
        <v>484</v>
      </c>
      <c r="B11006" s="216" t="str">
        <f ca="1">_xlfn.CONCAT(B11004,A11006)</f>
        <v>63D95D2-A</v>
      </c>
      <c r="C11006" s="17" t="str">
        <f>_xlfn.XLOOKUP(H11006,'Materiales unitario'!$A$1:$A$2500,'Materiales unitario'!B$1:B$2500,,0,1)</f>
        <v>Interruptor automatico atornillable 3x40A</v>
      </c>
      <c r="D11006" s="184" t="str">
        <f>_xlfn.XLOOKUP(H11006,'Materiales unitario'!A$1:A$2500,'Materiales unitario'!C$1:C$2500,,0,1)</f>
        <v>un</v>
      </c>
      <c r="E11006" s="197">
        <f>_xlfn.XLOOKUP(H11006,'Materiales unitario'!$A$1:$A$2500,'Materiales unitario'!D$1:D$2500,,0,1)</f>
        <v>207560</v>
      </c>
      <c r="F11006" s="19">
        <v>1</v>
      </c>
      <c r="G11006" s="20">
        <f>+E11006*F11006</f>
        <v>207560</v>
      </c>
      <c r="H11006" s="217" t="s">
        <v>1727</v>
      </c>
    </row>
    <row r="11007" spans="1:8" ht="15">
      <c r="A11007" s="211" t="s">
        <v>485</v>
      </c>
      <c r="B11007" s="216" t="str">
        <f ca="1">_xlfn.CONCAT(B11004,A11007)</f>
        <v>63D95D2-B</v>
      </c>
      <c r="C11007" s="17"/>
      <c r="D11007" s="184"/>
      <c r="E11007" s="197"/>
      <c r="F11007" s="19"/>
      <c r="G11007" s="20"/>
      <c r="H11007" s="217"/>
    </row>
    <row r="11008" spans="1:8">
      <c r="A11008" s="211" t="s">
        <v>486</v>
      </c>
      <c r="B11008" s="216" t="str">
        <f ca="1">_xlfn.CONCAT(B11004,A11008)</f>
        <v>63D95D2-C</v>
      </c>
      <c r="C11008" s="17"/>
      <c r="D11008" s="184"/>
      <c r="E11008" s="197"/>
      <c r="F11008" s="19"/>
      <c r="G11008" s="20"/>
    </row>
    <row r="11009" spans="1:7">
      <c r="A11009" s="211" t="s">
        <v>487</v>
      </c>
      <c r="B11009" s="216" t="str">
        <f ca="1">_xlfn.CONCAT(B11004,A11009)</f>
        <v>63D95D2-D</v>
      </c>
      <c r="C11009" s="17"/>
      <c r="D11009" s="184"/>
      <c r="E11009" s="197"/>
      <c r="F11009" s="19"/>
      <c r="G11009" s="20"/>
    </row>
    <row r="11010" spans="1:7">
      <c r="A11010" s="211" t="s">
        <v>488</v>
      </c>
      <c r="B11010" s="216" t="str">
        <f ca="1">_xlfn.CONCAT(B11004,A11010)</f>
        <v>63D95D2-E</v>
      </c>
      <c r="C11010" s="17"/>
      <c r="D11010" s="184"/>
      <c r="E11010" s="197"/>
      <c r="F11010" s="19"/>
      <c r="G11010" s="20"/>
    </row>
    <row r="11011" spans="1:7">
      <c r="A11011" s="211" t="s">
        <v>489</v>
      </c>
      <c r="B11011" s="216" t="str">
        <f ca="1">_xlfn.CONCAT(B11004,A11011)</f>
        <v>63D95D2-F</v>
      </c>
      <c r="C11011" s="17"/>
      <c r="D11011" s="184"/>
      <c r="E11011" s="197"/>
      <c r="F11011" s="19"/>
      <c r="G11011" s="20"/>
    </row>
    <row r="11012" spans="1:7">
      <c r="A11012" s="211" t="s">
        <v>490</v>
      </c>
      <c r="B11012" s="216" t="str">
        <f ca="1">_xlfn.CONCAT(B11004,A11012)</f>
        <v>63D95D2-G</v>
      </c>
      <c r="C11012" s="17"/>
      <c r="D11012" s="184"/>
      <c r="E11012" s="197"/>
      <c r="F11012" s="19"/>
      <c r="G11012" s="20"/>
    </row>
    <row r="11013" spans="1:7">
      <c r="A11013" s="211" t="s">
        <v>491</v>
      </c>
      <c r="B11013" s="216" t="str">
        <f ca="1">_xlfn.CONCAT(B11004,A11013)</f>
        <v>63D95D2-H</v>
      </c>
      <c r="C11013" s="17"/>
      <c r="D11013" s="184"/>
      <c r="E11013" s="197"/>
      <c r="F11013" s="19"/>
      <c r="G11013" s="20"/>
    </row>
    <row r="11014" spans="1:7">
      <c r="A11014" s="211" t="s">
        <v>492</v>
      </c>
      <c r="B11014" s="216" t="str">
        <f ca="1">_xlfn.CONCAT(B11004,A11014)</f>
        <v>63D95D2-I</v>
      </c>
      <c r="C11014" s="17"/>
      <c r="D11014" s="184"/>
      <c r="E11014" s="197"/>
      <c r="F11014" s="19"/>
      <c r="G11014" s="20"/>
    </row>
    <row r="11015" spans="1:7">
      <c r="A11015" s="211" t="s">
        <v>493</v>
      </c>
      <c r="B11015" s="216" t="str">
        <f ca="1">_xlfn.CONCAT(B11004,A11015)</f>
        <v>63D95D2-J</v>
      </c>
      <c r="C11015" s="17"/>
      <c r="D11015" s="184"/>
      <c r="E11015" s="197"/>
      <c r="F11015" s="19"/>
      <c r="G11015" s="20"/>
    </row>
    <row r="11016" spans="1:7">
      <c r="A11016" s="211" t="s">
        <v>494</v>
      </c>
      <c r="B11016" s="216" t="str">
        <f ca="1">_xlfn.CONCAT(B11004,A11016)</f>
        <v>63D95D2-K</v>
      </c>
      <c r="C11016" s="17"/>
      <c r="D11016" s="184"/>
      <c r="E11016" s="197"/>
      <c r="F11016" s="19"/>
      <c r="G11016" s="20"/>
    </row>
    <row r="11017" spans="1:7">
      <c r="A11017" s="211" t="s">
        <v>495</v>
      </c>
      <c r="B11017" s="216" t="str">
        <f ca="1">_xlfn.CONCAT(B11004,A11017)</f>
        <v>63D95D2-L</v>
      </c>
      <c r="C11017" s="17"/>
      <c r="D11017" s="184"/>
      <c r="E11017" s="197"/>
      <c r="F11017" s="19"/>
      <c r="G11017" s="20"/>
    </row>
    <row r="11018" spans="1:7">
      <c r="A11018" s="211" t="s">
        <v>496</v>
      </c>
      <c r="B11018" s="216" t="str">
        <f ca="1">_xlfn.CONCAT(B11004,A11018)</f>
        <v>63D95D2-M</v>
      </c>
      <c r="C11018" s="17"/>
      <c r="D11018" s="184"/>
      <c r="E11018" s="197"/>
      <c r="F11018" s="19"/>
      <c r="G11018" s="20"/>
    </row>
    <row r="11019" spans="1:7">
      <c r="A11019" s="211" t="s">
        <v>497</v>
      </c>
      <c r="B11019" s="216" t="str">
        <f ca="1">_xlfn.CONCAT(B11004,A11019)</f>
        <v>63D95D2-N</v>
      </c>
      <c r="C11019" s="17"/>
      <c r="D11019" s="184"/>
      <c r="E11019" s="197"/>
      <c r="F11019" s="19"/>
      <c r="G11019" s="20"/>
    </row>
    <row r="11020" spans="1:7">
      <c r="A11020" s="211" t="s">
        <v>498</v>
      </c>
      <c r="B11020" s="216" t="str">
        <f ca="1">_xlfn.CONCAT(B11004,A11020)</f>
        <v>63D95D2-O</v>
      </c>
      <c r="C11020" s="17"/>
      <c r="D11020" s="184"/>
      <c r="E11020" s="197"/>
      <c r="F11020" s="19"/>
      <c r="G11020" s="20"/>
    </row>
    <row r="11021" spans="1:7">
      <c r="A11021" s="211" t="s">
        <v>499</v>
      </c>
      <c r="B11021" s="216" t="str">
        <f ca="1">_xlfn.CONCAT(B11004,A11021)</f>
        <v>63D95D2-P</v>
      </c>
      <c r="C11021" s="17"/>
      <c r="D11021" s="184"/>
      <c r="E11021" s="197"/>
      <c r="F11021" s="19"/>
      <c r="G11021" s="20"/>
    </row>
    <row r="11022" spans="1:7">
      <c r="A11022" s="211" t="s">
        <v>500</v>
      </c>
      <c r="B11022" s="216" t="str">
        <f ca="1">_xlfn.CONCAT(B11004,A11022)</f>
        <v>63D95D2-Q</v>
      </c>
      <c r="C11022" s="17"/>
      <c r="D11022" s="184"/>
      <c r="E11022" s="197"/>
      <c r="F11022" s="19"/>
      <c r="G11022" s="20"/>
    </row>
    <row r="11023" spans="1:7">
      <c r="A11023" s="211" t="s">
        <v>501</v>
      </c>
      <c r="B11023" s="216" t="str">
        <f ca="1">_xlfn.CONCAT(B11004,A11023)</f>
        <v>63D95D2-R</v>
      </c>
      <c r="C11023" s="17"/>
      <c r="D11023" s="184"/>
      <c r="E11023" s="197"/>
      <c r="F11023" s="19"/>
      <c r="G11023" s="20"/>
    </row>
    <row r="11024" spans="1:7">
      <c r="A11024" s="211" t="s">
        <v>502</v>
      </c>
      <c r="B11024" s="216" t="str">
        <f ca="1">_xlfn.CONCAT(B11004,A11024)</f>
        <v>63D95D2-S</v>
      </c>
      <c r="C11024" s="17"/>
      <c r="D11024" s="184"/>
      <c r="E11024" s="197"/>
      <c r="F11024" s="19"/>
      <c r="G11024" s="20"/>
    </row>
    <row r="11025" spans="1:8">
      <c r="A11025" s="211" t="s">
        <v>503</v>
      </c>
      <c r="B11025" s="216" t="str">
        <f ca="1">_xlfn.CONCAT(B11004,A11025)</f>
        <v>63D95D2-T</v>
      </c>
      <c r="C11025" s="17"/>
      <c r="D11025" s="184"/>
      <c r="E11025" s="197"/>
      <c r="F11025" s="19"/>
      <c r="G11025" s="20"/>
    </row>
    <row r="11026" spans="1:8" ht="14.25" thickBot="1">
      <c r="A11026" s="211" t="s">
        <v>504</v>
      </c>
      <c r="B11026" s="216" t="str">
        <f ca="1">_xlfn.CONCAT(B11004,A11026)</f>
        <v>63D95D2-U</v>
      </c>
      <c r="C11026" s="17"/>
      <c r="D11026" s="184"/>
      <c r="E11026" s="197"/>
      <c r="F11026" s="19"/>
      <c r="G11026" s="20"/>
    </row>
    <row r="11027" spans="1:8" ht="14.25" thickBot="1">
      <c r="A11027" s="211" t="s">
        <v>505</v>
      </c>
      <c r="B11027" s="216" t="str">
        <f ca="1">_xlfn.CONCAT(B11004,A11027)</f>
        <v>63D95D2-V</v>
      </c>
      <c r="C11027" s="17" t="s">
        <v>17</v>
      </c>
      <c r="D11027" s="192" t="s">
        <v>17</v>
      </c>
      <c r="E11027" s="18"/>
      <c r="F11027" s="22" t="s">
        <v>18</v>
      </c>
      <c r="G11027" s="23">
        <f>SUM(G11006:G11026)</f>
        <v>207560</v>
      </c>
    </row>
    <row r="11028" spans="1:8" ht="15.75" thickBot="1">
      <c r="A11028" s="211" t="s">
        <v>506</v>
      </c>
      <c r="B11028" s="216" t="str">
        <f ca="1">_xlfn.CONCAT(B11004,A11028)</f>
        <v>63D95D2-W</v>
      </c>
      <c r="C11028" s="10" t="s">
        <v>19</v>
      </c>
      <c r="D11028" s="190"/>
      <c r="E11028" s="11"/>
      <c r="F11028" s="12"/>
      <c r="G11028" s="13"/>
    </row>
    <row r="11029" spans="1:8" ht="14.25" thickBot="1">
      <c r="A11029" s="211" t="s">
        <v>507</v>
      </c>
      <c r="B11029" s="216" t="str">
        <f ca="1">_xlfn.CONCAT(B11004,A11029)</f>
        <v>63D95D2-X</v>
      </c>
      <c r="C11029" s="14" t="s">
        <v>1</v>
      </c>
      <c r="D11029" s="15"/>
      <c r="E11029" s="15" t="s">
        <v>20</v>
      </c>
      <c r="F11029" s="16" t="s">
        <v>21</v>
      </c>
      <c r="G11029" s="15" t="s">
        <v>5</v>
      </c>
      <c r="H11029" s="215"/>
    </row>
    <row r="11030" spans="1:8">
      <c r="A11030" s="211" t="s">
        <v>508</v>
      </c>
      <c r="B11030" s="216" t="str">
        <f ca="1">_xlfn.CONCAT(B11004,A11030)</f>
        <v>63D95D2-Y</v>
      </c>
      <c r="C11030" s="24" t="s">
        <v>22</v>
      </c>
      <c r="D11030" s="184"/>
      <c r="E11030" s="25">
        <f>_xlfn.XLOOKUP(C11030,'H-MO'!B$7:B$30,'H-MO'!D$7:D$30,,0,1)</f>
        <v>2436.5624999999995</v>
      </c>
      <c r="F11030" s="19">
        <v>0.3</v>
      </c>
      <c r="G11030" s="33">
        <f t="shared" ref="G11030:G11035" si="312">+E11030*F11030</f>
        <v>730.96874999999989</v>
      </c>
    </row>
    <row r="11031" spans="1:8">
      <c r="A11031" s="211" t="s">
        <v>509</v>
      </c>
      <c r="B11031" s="216" t="str">
        <f ca="1">_xlfn.CONCAT(B11004,A11031)</f>
        <v>63D95D2-Z</v>
      </c>
      <c r="C11031" s="24" t="s">
        <v>23</v>
      </c>
      <c r="D11031" s="184"/>
      <c r="E11031" s="25">
        <f>_xlfn.XLOOKUP(C11031,'H-MO'!B$7:B$30,'H-MO'!D$7:D$30,,0,1)</f>
        <v>1461.9374999999998</v>
      </c>
      <c r="F11031" s="19">
        <v>0.3</v>
      </c>
      <c r="G11031" s="33">
        <f t="shared" si="312"/>
        <v>438.5812499999999</v>
      </c>
    </row>
    <row r="11032" spans="1:8">
      <c r="A11032" s="211" t="s">
        <v>510</v>
      </c>
      <c r="B11032" s="216" t="str">
        <f ca="1">_xlfn.CONCAT(B11004,A11032)</f>
        <v>63D95D2-aa</v>
      </c>
      <c r="C11032" s="24" t="s">
        <v>24</v>
      </c>
      <c r="D11032" s="185"/>
      <c r="E11032" s="25">
        <f>_xlfn.XLOOKUP(C11032,'H-MO'!B$7:B$30,'H-MO'!D$7:D$30,,0,1)</f>
        <v>29238.749999999996</v>
      </c>
      <c r="F11032" s="28">
        <v>0.05</v>
      </c>
      <c r="G11032" s="33">
        <f t="shared" si="312"/>
        <v>1461.9375</v>
      </c>
    </row>
    <row r="11033" spans="1:8">
      <c r="A11033" s="211" t="s">
        <v>511</v>
      </c>
      <c r="B11033" s="216" t="str">
        <f ca="1">_xlfn.CONCAT(B11004,A11033)</f>
        <v>63D95D2-ab</v>
      </c>
      <c r="C11033" s="24" t="s">
        <v>25</v>
      </c>
      <c r="D11033" s="185"/>
      <c r="E11033" s="25">
        <f>_xlfn.XLOOKUP(C11033,'H-MO'!B$7:B$30,'H-MO'!D$7:D$30,,0,1)</f>
        <v>2761.4374999999995</v>
      </c>
      <c r="F11033" s="28">
        <v>0.01</v>
      </c>
      <c r="G11033" s="33">
        <f t="shared" si="312"/>
        <v>27.614374999999995</v>
      </c>
    </row>
    <row r="11034" spans="1:8">
      <c r="A11034" s="211" t="s">
        <v>512</v>
      </c>
      <c r="B11034" s="216" t="str">
        <f ca="1">_xlfn.CONCAT(B11004,A11034)</f>
        <v>63D95D2-ac</v>
      </c>
      <c r="C11034" s="24"/>
      <c r="D11034" s="185"/>
      <c r="E11034" s="29"/>
      <c r="F11034" s="28"/>
      <c r="G11034" s="33">
        <f t="shared" si="312"/>
        <v>0</v>
      </c>
    </row>
    <row r="11035" spans="1:8" ht="14.25" thickBot="1">
      <c r="A11035" s="211" t="s">
        <v>513</v>
      </c>
      <c r="B11035" s="216" t="str">
        <f ca="1">_xlfn.CONCAT(B11004,A11035)</f>
        <v>63D95D2-ad</v>
      </c>
      <c r="C11035" s="24"/>
      <c r="D11035" s="185"/>
      <c r="E11035" s="29"/>
      <c r="F11035" s="28"/>
      <c r="G11035" s="33">
        <f t="shared" si="312"/>
        <v>0</v>
      </c>
    </row>
    <row r="11036" spans="1:8" ht="14.25" thickBot="1">
      <c r="A11036" s="211" t="s">
        <v>514</v>
      </c>
      <c r="B11036" s="216" t="str">
        <f ca="1">_xlfn.CONCAT(B11004,A11036)</f>
        <v>63D95D2-ae</v>
      </c>
      <c r="C11036" s="17"/>
      <c r="D11036" s="192"/>
      <c r="E11036" s="18"/>
      <c r="F11036" s="22" t="s">
        <v>26</v>
      </c>
      <c r="G11036" s="23">
        <f>SUM(G11030:G11035)</f>
        <v>2659.1018749999998</v>
      </c>
    </row>
    <row r="11037" spans="1:8" ht="15.75" thickBot="1">
      <c r="A11037" s="211" t="s">
        <v>515</v>
      </c>
      <c r="B11037" s="216" t="str">
        <f ca="1">_xlfn.CONCAT(B11004,A11037)</f>
        <v>63D95D2-af</v>
      </c>
      <c r="C11037" s="10" t="s">
        <v>27</v>
      </c>
      <c r="D11037" s="190"/>
      <c r="E11037" s="11"/>
      <c r="F11037" s="12"/>
      <c r="G11037" s="13"/>
    </row>
    <row r="11038" spans="1:8" ht="14.25" thickBot="1">
      <c r="A11038" s="211" t="s">
        <v>516</v>
      </c>
      <c r="B11038" s="216" t="str">
        <f ca="1">_xlfn.CONCAT(B11004,A11038)</f>
        <v>63D95D2-ag</v>
      </c>
      <c r="C11038" s="14" t="s">
        <v>1</v>
      </c>
      <c r="D11038" s="15" t="s">
        <v>28</v>
      </c>
      <c r="E11038" s="15" t="s">
        <v>20</v>
      </c>
      <c r="F11038" s="16" t="s">
        <v>21</v>
      </c>
      <c r="G11038" s="15" t="s">
        <v>5</v>
      </c>
      <c r="H11038" s="215"/>
    </row>
    <row r="11039" spans="1:8">
      <c r="A11039" s="211" t="s">
        <v>517</v>
      </c>
      <c r="B11039" s="216" t="str">
        <f ca="1">_xlfn.CONCAT(B11004,A11039)</f>
        <v>63D95D2-ah</v>
      </c>
      <c r="C11039" s="30" t="s">
        <v>29</v>
      </c>
      <c r="D11039" s="186">
        <f>'H-MO'!$N$77</f>
        <v>725918.52892505517</v>
      </c>
      <c r="E11039" s="31">
        <f>+D11039/8</f>
        <v>90739.816115631897</v>
      </c>
      <c r="F11039" s="32">
        <v>0.18</v>
      </c>
      <c r="G11039" s="33">
        <f>+E11039*F11039</f>
        <v>16333.166900813741</v>
      </c>
    </row>
    <row r="11040" spans="1:8">
      <c r="A11040" s="211" t="s">
        <v>518</v>
      </c>
      <c r="B11040" s="216" t="str">
        <f ca="1">_xlfn.CONCAT(B11004,A11040)</f>
        <v>63D95D2-ai</v>
      </c>
      <c r="C11040" s="34" t="s">
        <v>30</v>
      </c>
      <c r="D11040" s="187">
        <f>'H-MO'!$N$86</f>
        <v>685561.39085756091</v>
      </c>
      <c r="E11040" s="29">
        <f>+D11040/8</f>
        <v>85695.173857195114</v>
      </c>
      <c r="F11040" s="28">
        <v>0</v>
      </c>
      <c r="G11040" s="33">
        <f>+E11040*F11040</f>
        <v>0</v>
      </c>
    </row>
    <row r="11041" spans="1:8" ht="14.25" thickBot="1">
      <c r="A11041" s="211" t="s">
        <v>519</v>
      </c>
      <c r="B11041" s="216" t="str">
        <f ca="1">_xlfn.CONCAT(B11004,A11041)</f>
        <v>63D95D2-aj</v>
      </c>
      <c r="C11041" s="34"/>
      <c r="D11041" s="187"/>
      <c r="E11041" s="29"/>
      <c r="F11041" s="28"/>
      <c r="G11041" s="33">
        <f>+E11041*F11041</f>
        <v>0</v>
      </c>
    </row>
    <row r="11042" spans="1:8" ht="14.25" thickBot="1">
      <c r="A11042" s="211" t="s">
        <v>520</v>
      </c>
      <c r="B11042" s="216" t="str">
        <f ca="1">_xlfn.CONCAT(B11004,A11042)</f>
        <v>63D95D2-ak</v>
      </c>
      <c r="C11042" s="34"/>
      <c r="D11042" s="185"/>
      <c r="E11042" s="26"/>
      <c r="F11042" s="36" t="s">
        <v>31</v>
      </c>
      <c r="G11042" s="23">
        <f>SUM(G11039:G11041)</f>
        <v>16333.166900813741</v>
      </c>
    </row>
    <row r="11043" spans="1:8" ht="14.25" thickBot="1">
      <c r="A11043" s="211" t="s">
        <v>521</v>
      </c>
      <c r="B11043" s="216" t="str">
        <f ca="1">_xlfn.CONCAT(B11004,A11043)</f>
        <v>63D95D2-al</v>
      </c>
      <c r="C11043" s="37"/>
      <c r="E11043" s="38"/>
      <c r="F11043" s="22"/>
      <c r="G11043" s="39"/>
    </row>
    <row r="11044" spans="1:8" ht="16.5" thickBot="1">
      <c r="A11044" s="211" t="s">
        <v>522</v>
      </c>
      <c r="B11044" s="216" t="str">
        <f ca="1">_xlfn.CONCAT(B11004,A11044)</f>
        <v>63D95D2-am</v>
      </c>
      <c r="C11044" s="40"/>
      <c r="D11044" s="193"/>
      <c r="E11044" s="41"/>
      <c r="F11044" s="42"/>
      <c r="G11044" s="43">
        <f>+G11027+G11036+G11042</f>
        <v>226552.26877581375</v>
      </c>
    </row>
    <row r="11045" spans="1:8" ht="21.75" thickBot="1">
      <c r="B11045" s="212" t="s">
        <v>550</v>
      </c>
      <c r="C11045" s="2"/>
      <c r="D11045" s="183"/>
      <c r="F11045" s="4"/>
      <c r="G11045" s="5"/>
    </row>
    <row r="11046" spans="1:8" ht="18.75">
      <c r="A11046" s="213"/>
      <c r="B11046" s="214">
        <v>251</v>
      </c>
      <c r="C11046" s="242" t="str">
        <f ca="1">_xlfn.XLOOKUP(B11046,Cantidades!$A$10:$A$314,Cantidades!$C$10:$C$314,,0,1)</f>
        <v>Suministro e instalacion de interruptor automatico termomagnetico atornillable 3x50A</v>
      </c>
      <c r="D11046" s="243"/>
      <c r="E11046" s="243"/>
      <c r="F11046" s="243"/>
      <c r="G11046" s="244"/>
      <c r="H11046" s="213"/>
    </row>
    <row r="11047" spans="1:8" ht="19.5" thickBot="1">
      <c r="A11047" s="215"/>
      <c r="B11047" s="216" t="s">
        <v>550</v>
      </c>
      <c r="C11047" s="177"/>
      <c r="D11047" s="189"/>
      <c r="E11047" s="178"/>
      <c r="F11047" s="179" t="s">
        <v>636</v>
      </c>
      <c r="G11047" s="209" t="str">
        <f ca="1">B11048</f>
        <v>356CE6F8-</v>
      </c>
      <c r="H11047" s="215"/>
    </row>
    <row r="11048" spans="1:8" ht="15.75" thickBot="1">
      <c r="B11048" s="212" t="str">
        <f ca="1">_xlfn.XLOOKUP(C11046,Cantidades!$C$1:$C$314,Cantidades!$B$1:$B$314,"",0,1)</f>
        <v>356CE6F8-</v>
      </c>
      <c r="C11048" s="10" t="s">
        <v>0</v>
      </c>
      <c r="D11048" s="190"/>
      <c r="E11048" s="11"/>
      <c r="F11048" s="12"/>
      <c r="G11048" s="13"/>
    </row>
    <row r="11049" spans="1:8" ht="14.25" thickBot="1">
      <c r="A11049" s="215"/>
      <c r="B11049" s="216" t="s">
        <v>550</v>
      </c>
      <c r="C11049" s="14" t="s">
        <v>1</v>
      </c>
      <c r="D11049" s="15" t="s">
        <v>2</v>
      </c>
      <c r="E11049" s="15" t="s">
        <v>3</v>
      </c>
      <c r="F11049" s="16" t="s">
        <v>4</v>
      </c>
      <c r="G11049" s="15" t="s">
        <v>5</v>
      </c>
      <c r="H11049" s="215"/>
    </row>
    <row r="11050" spans="1:8" ht="15">
      <c r="A11050" s="211" t="s">
        <v>484</v>
      </c>
      <c r="B11050" s="216" t="str">
        <f ca="1">_xlfn.CONCAT(B11048,A11050)</f>
        <v>356CE6F8-A</v>
      </c>
      <c r="C11050" s="17" t="str">
        <f>_xlfn.XLOOKUP(H11050,'Materiales unitario'!$A$1:$A$2500,'Materiales unitario'!B$1:B$2500,,0,1)</f>
        <v>Interruptor automatico atornillable 3x50A</v>
      </c>
      <c r="D11050" s="184" t="str">
        <f>_xlfn.XLOOKUP(H11050,'Materiales unitario'!A$1:A$2500,'Materiales unitario'!C$1:C$2500,,0,1)</f>
        <v>un</v>
      </c>
      <c r="E11050" s="197">
        <f>_xlfn.XLOOKUP(H11050,'Materiales unitario'!$A$1:$A$2500,'Materiales unitario'!D$1:D$2500,,0,1)</f>
        <v>247630</v>
      </c>
      <c r="F11050" s="19">
        <v>1</v>
      </c>
      <c r="G11050" s="20">
        <f>+E11050*F11050</f>
        <v>247630</v>
      </c>
      <c r="H11050" s="217" t="s">
        <v>1730</v>
      </c>
    </row>
    <row r="11051" spans="1:8" ht="15">
      <c r="A11051" s="211" t="s">
        <v>485</v>
      </c>
      <c r="B11051" s="216" t="str">
        <f ca="1">_xlfn.CONCAT(B11048,A11051)</f>
        <v>356CE6F8-B</v>
      </c>
      <c r="C11051" s="17"/>
      <c r="D11051" s="184"/>
      <c r="E11051" s="197"/>
      <c r="F11051" s="19"/>
      <c r="G11051" s="20"/>
      <c r="H11051" s="217"/>
    </row>
    <row r="11052" spans="1:8">
      <c r="A11052" s="211" t="s">
        <v>486</v>
      </c>
      <c r="B11052" s="216" t="str">
        <f ca="1">_xlfn.CONCAT(B11048,A11052)</f>
        <v>356CE6F8-C</v>
      </c>
      <c r="C11052" s="17"/>
      <c r="D11052" s="184"/>
      <c r="E11052" s="197"/>
      <c r="F11052" s="19"/>
      <c r="G11052" s="20"/>
    </row>
    <row r="11053" spans="1:8">
      <c r="A11053" s="211" t="s">
        <v>487</v>
      </c>
      <c r="B11053" s="216" t="str">
        <f ca="1">_xlfn.CONCAT(B11048,A11053)</f>
        <v>356CE6F8-D</v>
      </c>
      <c r="C11053" s="17"/>
      <c r="D11053" s="184"/>
      <c r="E11053" s="197"/>
      <c r="F11053" s="19"/>
      <c r="G11053" s="20"/>
    </row>
    <row r="11054" spans="1:8">
      <c r="A11054" s="211" t="s">
        <v>488</v>
      </c>
      <c r="B11054" s="216" t="str">
        <f ca="1">_xlfn.CONCAT(B11048,A11054)</f>
        <v>356CE6F8-E</v>
      </c>
      <c r="C11054" s="17"/>
      <c r="D11054" s="184"/>
      <c r="E11054" s="197"/>
      <c r="F11054" s="19"/>
      <c r="G11054" s="20"/>
    </row>
    <row r="11055" spans="1:8">
      <c r="A11055" s="211" t="s">
        <v>489</v>
      </c>
      <c r="B11055" s="216" t="str">
        <f ca="1">_xlfn.CONCAT(B11048,A11055)</f>
        <v>356CE6F8-F</v>
      </c>
      <c r="C11055" s="17"/>
      <c r="D11055" s="184"/>
      <c r="E11055" s="197"/>
      <c r="F11055" s="19"/>
      <c r="G11055" s="20"/>
    </row>
    <row r="11056" spans="1:8">
      <c r="A11056" s="211" t="s">
        <v>490</v>
      </c>
      <c r="B11056" s="216" t="str">
        <f ca="1">_xlfn.CONCAT(B11048,A11056)</f>
        <v>356CE6F8-G</v>
      </c>
      <c r="C11056" s="17"/>
      <c r="D11056" s="184"/>
      <c r="E11056" s="197"/>
      <c r="F11056" s="19"/>
      <c r="G11056" s="20"/>
    </row>
    <row r="11057" spans="1:7">
      <c r="A11057" s="211" t="s">
        <v>491</v>
      </c>
      <c r="B11057" s="216" t="str">
        <f ca="1">_xlfn.CONCAT(B11048,A11057)</f>
        <v>356CE6F8-H</v>
      </c>
      <c r="C11057" s="17"/>
      <c r="D11057" s="184"/>
      <c r="E11057" s="197"/>
      <c r="F11057" s="19"/>
      <c r="G11057" s="20"/>
    </row>
    <row r="11058" spans="1:7">
      <c r="A11058" s="211" t="s">
        <v>492</v>
      </c>
      <c r="B11058" s="216" t="str">
        <f ca="1">_xlfn.CONCAT(B11048,A11058)</f>
        <v>356CE6F8-I</v>
      </c>
      <c r="C11058" s="17"/>
      <c r="D11058" s="184"/>
      <c r="E11058" s="197"/>
      <c r="F11058" s="19"/>
      <c r="G11058" s="20"/>
    </row>
    <row r="11059" spans="1:7">
      <c r="A11059" s="211" t="s">
        <v>493</v>
      </c>
      <c r="B11059" s="216" t="str">
        <f ca="1">_xlfn.CONCAT(B11048,A11059)</f>
        <v>356CE6F8-J</v>
      </c>
      <c r="C11059" s="17"/>
      <c r="D11059" s="184"/>
      <c r="E11059" s="197"/>
      <c r="F11059" s="19"/>
      <c r="G11059" s="20"/>
    </row>
    <row r="11060" spans="1:7">
      <c r="A11060" s="211" t="s">
        <v>494</v>
      </c>
      <c r="B11060" s="216" t="str">
        <f ca="1">_xlfn.CONCAT(B11048,A11060)</f>
        <v>356CE6F8-K</v>
      </c>
      <c r="C11060" s="17"/>
      <c r="D11060" s="184"/>
      <c r="E11060" s="197"/>
      <c r="F11060" s="19"/>
      <c r="G11060" s="20"/>
    </row>
    <row r="11061" spans="1:7">
      <c r="A11061" s="211" t="s">
        <v>495</v>
      </c>
      <c r="B11061" s="216" t="str">
        <f ca="1">_xlfn.CONCAT(B11048,A11061)</f>
        <v>356CE6F8-L</v>
      </c>
      <c r="C11061" s="17"/>
      <c r="D11061" s="184"/>
      <c r="E11061" s="197"/>
      <c r="F11061" s="19"/>
      <c r="G11061" s="20"/>
    </row>
    <row r="11062" spans="1:7">
      <c r="A11062" s="211" t="s">
        <v>496</v>
      </c>
      <c r="B11062" s="216" t="str">
        <f ca="1">_xlfn.CONCAT(B11048,A11062)</f>
        <v>356CE6F8-M</v>
      </c>
      <c r="C11062" s="17"/>
      <c r="D11062" s="184"/>
      <c r="E11062" s="197"/>
      <c r="F11062" s="19"/>
      <c r="G11062" s="20"/>
    </row>
    <row r="11063" spans="1:7">
      <c r="A11063" s="211" t="s">
        <v>497</v>
      </c>
      <c r="B11063" s="216" t="str">
        <f ca="1">_xlfn.CONCAT(B11048,A11063)</f>
        <v>356CE6F8-N</v>
      </c>
      <c r="C11063" s="17"/>
      <c r="D11063" s="184"/>
      <c r="E11063" s="197"/>
      <c r="F11063" s="19"/>
      <c r="G11063" s="20"/>
    </row>
    <row r="11064" spans="1:7">
      <c r="A11064" s="211" t="s">
        <v>498</v>
      </c>
      <c r="B11064" s="216" t="str">
        <f ca="1">_xlfn.CONCAT(B11048,A11064)</f>
        <v>356CE6F8-O</v>
      </c>
      <c r="C11064" s="17"/>
      <c r="D11064" s="184"/>
      <c r="E11064" s="197"/>
      <c r="F11064" s="19"/>
      <c r="G11064" s="20"/>
    </row>
    <row r="11065" spans="1:7">
      <c r="A11065" s="211" t="s">
        <v>499</v>
      </c>
      <c r="B11065" s="216" t="str">
        <f ca="1">_xlfn.CONCAT(B11048,A11065)</f>
        <v>356CE6F8-P</v>
      </c>
      <c r="C11065" s="17"/>
      <c r="D11065" s="184"/>
      <c r="E11065" s="197"/>
      <c r="F11065" s="19"/>
      <c r="G11065" s="20"/>
    </row>
    <row r="11066" spans="1:7">
      <c r="A11066" s="211" t="s">
        <v>500</v>
      </c>
      <c r="B11066" s="216" t="str">
        <f ca="1">_xlfn.CONCAT(B11048,A11066)</f>
        <v>356CE6F8-Q</v>
      </c>
      <c r="C11066" s="17"/>
      <c r="D11066" s="184"/>
      <c r="E11066" s="197"/>
      <c r="F11066" s="19"/>
      <c r="G11066" s="20"/>
    </row>
    <row r="11067" spans="1:7">
      <c r="A11067" s="211" t="s">
        <v>501</v>
      </c>
      <c r="B11067" s="216" t="str">
        <f ca="1">_xlfn.CONCAT(B11048,A11067)</f>
        <v>356CE6F8-R</v>
      </c>
      <c r="C11067" s="17"/>
      <c r="D11067" s="184"/>
      <c r="E11067" s="197"/>
      <c r="F11067" s="19"/>
      <c r="G11067" s="20"/>
    </row>
    <row r="11068" spans="1:7">
      <c r="A11068" s="211" t="s">
        <v>502</v>
      </c>
      <c r="B11068" s="216" t="str">
        <f ca="1">_xlfn.CONCAT(B11048,A11068)</f>
        <v>356CE6F8-S</v>
      </c>
      <c r="C11068" s="17"/>
      <c r="D11068" s="184"/>
      <c r="E11068" s="197"/>
      <c r="F11068" s="19"/>
      <c r="G11068" s="20"/>
    </row>
    <row r="11069" spans="1:7">
      <c r="A11069" s="211" t="s">
        <v>503</v>
      </c>
      <c r="B11069" s="216" t="str">
        <f ca="1">_xlfn.CONCAT(B11048,A11069)</f>
        <v>356CE6F8-T</v>
      </c>
      <c r="C11069" s="17"/>
      <c r="D11069" s="184"/>
      <c r="E11069" s="197"/>
      <c r="F11069" s="19"/>
      <c r="G11069" s="20"/>
    </row>
    <row r="11070" spans="1:7" ht="14.25" thickBot="1">
      <c r="A11070" s="211" t="s">
        <v>504</v>
      </c>
      <c r="B11070" s="216" t="str">
        <f ca="1">_xlfn.CONCAT(B11048,A11070)</f>
        <v>356CE6F8-U</v>
      </c>
      <c r="C11070" s="17"/>
      <c r="D11070" s="184"/>
      <c r="E11070" s="197"/>
      <c r="F11070" s="19"/>
      <c r="G11070" s="20"/>
    </row>
    <row r="11071" spans="1:7" ht="14.25" thickBot="1">
      <c r="A11071" s="211" t="s">
        <v>505</v>
      </c>
      <c r="B11071" s="216" t="str">
        <f ca="1">_xlfn.CONCAT(B11048,A11071)</f>
        <v>356CE6F8-V</v>
      </c>
      <c r="C11071" s="17" t="s">
        <v>17</v>
      </c>
      <c r="D11071" s="192" t="s">
        <v>17</v>
      </c>
      <c r="E11071" s="18"/>
      <c r="F11071" s="22" t="s">
        <v>18</v>
      </c>
      <c r="G11071" s="23">
        <f>SUM(G11050:G11070)</f>
        <v>247630</v>
      </c>
    </row>
    <row r="11072" spans="1:7" ht="15.75" thickBot="1">
      <c r="A11072" s="211" t="s">
        <v>506</v>
      </c>
      <c r="B11072" s="216" t="str">
        <f ca="1">_xlfn.CONCAT(B11048,A11072)</f>
        <v>356CE6F8-W</v>
      </c>
      <c r="C11072" s="10" t="s">
        <v>19</v>
      </c>
      <c r="D11072" s="190"/>
      <c r="E11072" s="11"/>
      <c r="F11072" s="12"/>
      <c r="G11072" s="13"/>
    </row>
    <row r="11073" spans="1:8" ht="14.25" thickBot="1">
      <c r="A11073" s="211" t="s">
        <v>507</v>
      </c>
      <c r="B11073" s="216" t="str">
        <f ca="1">_xlfn.CONCAT(B11048,A11073)</f>
        <v>356CE6F8-X</v>
      </c>
      <c r="C11073" s="14" t="s">
        <v>1</v>
      </c>
      <c r="D11073" s="15"/>
      <c r="E11073" s="15" t="s">
        <v>20</v>
      </c>
      <c r="F11073" s="16" t="s">
        <v>21</v>
      </c>
      <c r="G11073" s="15" t="s">
        <v>5</v>
      </c>
      <c r="H11073" s="215"/>
    </row>
    <row r="11074" spans="1:8">
      <c r="A11074" s="211" t="s">
        <v>508</v>
      </c>
      <c r="B11074" s="216" t="str">
        <f ca="1">_xlfn.CONCAT(B11048,A11074)</f>
        <v>356CE6F8-Y</v>
      </c>
      <c r="C11074" s="24" t="s">
        <v>22</v>
      </c>
      <c r="D11074" s="184"/>
      <c r="E11074" s="25">
        <f>_xlfn.XLOOKUP(C11074,'H-MO'!B$7:B$30,'H-MO'!D$7:D$30,,0,1)</f>
        <v>2436.5624999999995</v>
      </c>
      <c r="F11074" s="19">
        <v>0.3</v>
      </c>
      <c r="G11074" s="33">
        <f t="shared" ref="G11074:G11079" si="313">+E11074*F11074</f>
        <v>730.96874999999989</v>
      </c>
    </row>
    <row r="11075" spans="1:8">
      <c r="A11075" s="211" t="s">
        <v>509</v>
      </c>
      <c r="B11075" s="216" t="str">
        <f ca="1">_xlfn.CONCAT(B11048,A11075)</f>
        <v>356CE6F8-Z</v>
      </c>
      <c r="C11075" s="24" t="s">
        <v>23</v>
      </c>
      <c r="D11075" s="184"/>
      <c r="E11075" s="25">
        <f>_xlfn.XLOOKUP(C11075,'H-MO'!B$7:B$30,'H-MO'!D$7:D$30,,0,1)</f>
        <v>1461.9374999999998</v>
      </c>
      <c r="F11075" s="19">
        <v>0.3</v>
      </c>
      <c r="G11075" s="33">
        <f t="shared" si="313"/>
        <v>438.5812499999999</v>
      </c>
    </row>
    <row r="11076" spans="1:8">
      <c r="A11076" s="211" t="s">
        <v>510</v>
      </c>
      <c r="B11076" s="216" t="str">
        <f ca="1">_xlfn.CONCAT(B11048,A11076)</f>
        <v>356CE6F8-aa</v>
      </c>
      <c r="C11076" s="24" t="s">
        <v>24</v>
      </c>
      <c r="D11076" s="185"/>
      <c r="E11076" s="25">
        <f>_xlfn.XLOOKUP(C11076,'H-MO'!B$7:B$30,'H-MO'!D$7:D$30,,0,1)</f>
        <v>29238.749999999996</v>
      </c>
      <c r="F11076" s="28">
        <v>0.05</v>
      </c>
      <c r="G11076" s="33">
        <f t="shared" si="313"/>
        <v>1461.9375</v>
      </c>
    </row>
    <row r="11077" spans="1:8">
      <c r="A11077" s="211" t="s">
        <v>511</v>
      </c>
      <c r="B11077" s="216" t="str">
        <f ca="1">_xlfn.CONCAT(B11048,A11077)</f>
        <v>356CE6F8-ab</v>
      </c>
      <c r="C11077" s="24" t="s">
        <v>25</v>
      </c>
      <c r="D11077" s="185"/>
      <c r="E11077" s="25">
        <f>_xlfn.XLOOKUP(C11077,'H-MO'!B$7:B$30,'H-MO'!D$7:D$30,,0,1)</f>
        <v>2761.4374999999995</v>
      </c>
      <c r="F11077" s="28">
        <v>0.01</v>
      </c>
      <c r="G11077" s="33">
        <f t="shared" si="313"/>
        <v>27.614374999999995</v>
      </c>
    </row>
    <row r="11078" spans="1:8">
      <c r="A11078" s="211" t="s">
        <v>512</v>
      </c>
      <c r="B11078" s="216" t="str">
        <f ca="1">_xlfn.CONCAT(B11048,A11078)</f>
        <v>356CE6F8-ac</v>
      </c>
      <c r="C11078" s="24"/>
      <c r="D11078" s="185"/>
      <c r="E11078" s="29"/>
      <c r="F11078" s="28"/>
      <c r="G11078" s="33">
        <f t="shared" si="313"/>
        <v>0</v>
      </c>
    </row>
    <row r="11079" spans="1:8" ht="14.25" thickBot="1">
      <c r="A11079" s="211" t="s">
        <v>513</v>
      </c>
      <c r="B11079" s="216" t="str">
        <f ca="1">_xlfn.CONCAT(B11048,A11079)</f>
        <v>356CE6F8-ad</v>
      </c>
      <c r="C11079" s="24"/>
      <c r="D11079" s="185"/>
      <c r="E11079" s="29"/>
      <c r="F11079" s="28"/>
      <c r="G11079" s="33">
        <f t="shared" si="313"/>
        <v>0</v>
      </c>
    </row>
    <row r="11080" spans="1:8" ht="14.25" thickBot="1">
      <c r="A11080" s="211" t="s">
        <v>514</v>
      </c>
      <c r="B11080" s="216" t="str">
        <f ca="1">_xlfn.CONCAT(B11048,A11080)</f>
        <v>356CE6F8-ae</v>
      </c>
      <c r="C11080" s="17"/>
      <c r="D11080" s="192"/>
      <c r="E11080" s="18"/>
      <c r="F11080" s="22" t="s">
        <v>26</v>
      </c>
      <c r="G11080" s="23">
        <f>SUM(G11074:G11079)</f>
        <v>2659.1018749999998</v>
      </c>
    </row>
    <row r="11081" spans="1:8" ht="15.75" thickBot="1">
      <c r="A11081" s="211" t="s">
        <v>515</v>
      </c>
      <c r="B11081" s="216" t="str">
        <f ca="1">_xlfn.CONCAT(B11048,A11081)</f>
        <v>356CE6F8-af</v>
      </c>
      <c r="C11081" s="10" t="s">
        <v>27</v>
      </c>
      <c r="D11081" s="190"/>
      <c r="E11081" s="11"/>
      <c r="F11081" s="12"/>
      <c r="G11081" s="13"/>
    </row>
    <row r="11082" spans="1:8" ht="14.25" thickBot="1">
      <c r="A11082" s="211" t="s">
        <v>516</v>
      </c>
      <c r="B11082" s="216" t="str">
        <f ca="1">_xlfn.CONCAT(B11048,A11082)</f>
        <v>356CE6F8-ag</v>
      </c>
      <c r="C11082" s="14" t="s">
        <v>1</v>
      </c>
      <c r="D11082" s="15" t="s">
        <v>28</v>
      </c>
      <c r="E11082" s="15" t="s">
        <v>20</v>
      </c>
      <c r="F11082" s="16" t="s">
        <v>21</v>
      </c>
      <c r="G11082" s="15" t="s">
        <v>5</v>
      </c>
      <c r="H11082" s="215"/>
    </row>
    <row r="11083" spans="1:8">
      <c r="A11083" s="211" t="s">
        <v>517</v>
      </c>
      <c r="B11083" s="216" t="str">
        <f ca="1">_xlfn.CONCAT(B11048,A11083)</f>
        <v>356CE6F8-ah</v>
      </c>
      <c r="C11083" s="30" t="s">
        <v>29</v>
      </c>
      <c r="D11083" s="186">
        <f>'H-MO'!$N$77</f>
        <v>725918.52892505517</v>
      </c>
      <c r="E11083" s="31">
        <f>+D11083/8</f>
        <v>90739.816115631897</v>
      </c>
      <c r="F11083" s="32">
        <v>0.18</v>
      </c>
      <c r="G11083" s="33">
        <f>+E11083*F11083</f>
        <v>16333.166900813741</v>
      </c>
    </row>
    <row r="11084" spans="1:8">
      <c r="A11084" s="211" t="s">
        <v>518</v>
      </c>
      <c r="B11084" s="216" t="str">
        <f ca="1">_xlfn.CONCAT(B11048,A11084)</f>
        <v>356CE6F8-ai</v>
      </c>
      <c r="C11084" s="34" t="s">
        <v>30</v>
      </c>
      <c r="D11084" s="187">
        <f>'H-MO'!$N$86</f>
        <v>685561.39085756091</v>
      </c>
      <c r="E11084" s="29">
        <f>+D11084/8</f>
        <v>85695.173857195114</v>
      </c>
      <c r="F11084" s="28">
        <v>0</v>
      </c>
      <c r="G11084" s="33">
        <f>+E11084*F11084</f>
        <v>0</v>
      </c>
    </row>
    <row r="11085" spans="1:8" ht="14.25" thickBot="1">
      <c r="A11085" s="211" t="s">
        <v>519</v>
      </c>
      <c r="B11085" s="216" t="str">
        <f ca="1">_xlfn.CONCAT(B11048,A11085)</f>
        <v>356CE6F8-aj</v>
      </c>
      <c r="C11085" s="34"/>
      <c r="D11085" s="187"/>
      <c r="E11085" s="29"/>
      <c r="F11085" s="28"/>
      <c r="G11085" s="33">
        <f>+E11085*F11085</f>
        <v>0</v>
      </c>
    </row>
    <row r="11086" spans="1:8" ht="14.25" thickBot="1">
      <c r="A11086" s="211" t="s">
        <v>520</v>
      </c>
      <c r="B11086" s="216" t="str">
        <f ca="1">_xlfn.CONCAT(B11048,A11086)</f>
        <v>356CE6F8-ak</v>
      </c>
      <c r="C11086" s="34"/>
      <c r="D11086" s="185"/>
      <c r="E11086" s="26"/>
      <c r="F11086" s="36" t="s">
        <v>31</v>
      </c>
      <c r="G11086" s="23">
        <f>SUM(G11083:G11085)</f>
        <v>16333.166900813741</v>
      </c>
    </row>
    <row r="11087" spans="1:8" ht="14.25" thickBot="1">
      <c r="A11087" s="211" t="s">
        <v>521</v>
      </c>
      <c r="B11087" s="216" t="str">
        <f ca="1">_xlfn.CONCAT(B11048,A11087)</f>
        <v>356CE6F8-al</v>
      </c>
      <c r="C11087" s="37"/>
      <c r="E11087" s="38"/>
      <c r="F11087" s="22"/>
      <c r="G11087" s="39"/>
    </row>
    <row r="11088" spans="1:8" ht="16.5" thickBot="1">
      <c r="A11088" s="211" t="s">
        <v>522</v>
      </c>
      <c r="B11088" s="216" t="str">
        <f ca="1">_xlfn.CONCAT(B11048,A11088)</f>
        <v>356CE6F8-am</v>
      </c>
      <c r="C11088" s="40"/>
      <c r="D11088" s="193"/>
      <c r="E11088" s="41"/>
      <c r="F11088" s="42"/>
      <c r="G11088" s="43">
        <f>+G11071+G11080+G11086</f>
        <v>266622.26877581375</v>
      </c>
    </row>
    <row r="11089" spans="1:8" ht="21.75" thickBot="1">
      <c r="B11089" s="212" t="s">
        <v>550</v>
      </c>
      <c r="C11089" s="2"/>
      <c r="D11089" s="183"/>
      <c r="F11089" s="4"/>
      <c r="G11089" s="5"/>
    </row>
    <row r="11090" spans="1:8" ht="18.75">
      <c r="A11090" s="213"/>
      <c r="B11090" s="214">
        <v>252</v>
      </c>
      <c r="C11090" s="242" t="str">
        <f ca="1">_xlfn.XLOOKUP(B11090,Cantidades!$A$10:$A$314,Cantidades!$C$10:$C$314,,0,1)</f>
        <v>Salida electrica en tuberia EMT 3/4 en conductores 3x12 AWG, promedio 3m por techo</v>
      </c>
      <c r="D11090" s="243"/>
      <c r="E11090" s="243"/>
      <c r="F11090" s="243"/>
      <c r="G11090" s="244"/>
      <c r="H11090" s="213"/>
    </row>
    <row r="11091" spans="1:8" ht="19.5" thickBot="1">
      <c r="A11091" s="215"/>
      <c r="B11091" s="216" t="s">
        <v>550</v>
      </c>
      <c r="C11091" s="177"/>
      <c r="D11091" s="189"/>
      <c r="E11091" s="178"/>
      <c r="F11091" s="179" t="s">
        <v>636</v>
      </c>
      <c r="G11091" s="209" t="str">
        <f ca="1">B11092</f>
        <v>1CCFCD7F-</v>
      </c>
      <c r="H11091" s="215"/>
    </row>
    <row r="11092" spans="1:8" ht="15.75" thickBot="1">
      <c r="B11092" s="212" t="str">
        <f ca="1">_xlfn.XLOOKUP(C11090,Cantidades!$C$1:$C$314,Cantidades!$B$1:$B$314,"",0,1)</f>
        <v>1CCFCD7F-</v>
      </c>
      <c r="C11092" s="10" t="s">
        <v>0</v>
      </c>
      <c r="D11092" s="190"/>
      <c r="E11092" s="11"/>
      <c r="F11092" s="12"/>
      <c r="G11092" s="13"/>
    </row>
    <row r="11093" spans="1:8" ht="14.25" thickBot="1">
      <c r="A11093" s="215"/>
      <c r="B11093" s="216" t="s">
        <v>550</v>
      </c>
      <c r="C11093" s="14" t="s">
        <v>1</v>
      </c>
      <c r="D11093" s="15" t="s">
        <v>2</v>
      </c>
      <c r="E11093" s="15" t="s">
        <v>3</v>
      </c>
      <c r="F11093" s="16" t="s">
        <v>4</v>
      </c>
      <c r="G11093" s="15" t="s">
        <v>5</v>
      </c>
      <c r="H11093" s="215"/>
    </row>
    <row r="11094" spans="1:8">
      <c r="A11094" s="211" t="s">
        <v>484</v>
      </c>
      <c r="B11094" s="216" t="str">
        <f ca="1">_xlfn.CONCAT(B11092,A11094)</f>
        <v>1CCFCD7F-A</v>
      </c>
      <c r="C11094" s="17" t="str">
        <f>_xlfn.XLOOKUP(H11094,'Materiales unitario'!$A$1:$A$2500,'Materiales unitario'!B$1:B$2500,,0,1)</f>
        <v>Tubo metálico ø3/4" EMT</v>
      </c>
      <c r="D11094" s="184" t="str">
        <f>_xlfn.XLOOKUP(H11094,'Materiales unitario'!A$1:A$2500,'Materiales unitario'!C$1:C$2500,,0,1)</f>
        <v>ml</v>
      </c>
      <c r="E11094" s="197">
        <f>_xlfn.XLOOKUP(H11094,'Materiales unitario'!$A$1:$A$2500,'Materiales unitario'!D$1:D$2500,,0,1)</f>
        <v>11733</v>
      </c>
      <c r="F11094" s="19">
        <v>3.3</v>
      </c>
      <c r="G11094" s="20">
        <f t="shared" ref="G11094:G11102" si="314">+E11094*F11094</f>
        <v>38718.9</v>
      </c>
      <c r="H11094" s="211" t="s">
        <v>388</v>
      </c>
    </row>
    <row r="11095" spans="1:8">
      <c r="A11095" s="211" t="s">
        <v>485</v>
      </c>
      <c r="B11095" s="216" t="str">
        <f ca="1">_xlfn.CONCAT(B11092,A11095)</f>
        <v>1CCFCD7F-B</v>
      </c>
      <c r="C11095" s="17" t="str">
        <f>_xlfn.XLOOKUP(H11095,'Materiales unitario'!$A$1:$A$2500,'Materiales unitario'!B$1:B$2500,,0,1)</f>
        <v>Unión metálica ø3/4" EMT</v>
      </c>
      <c r="D11095" s="184" t="str">
        <f>_xlfn.XLOOKUP(H11095,'Materiales unitario'!A$1:A$2500,'Materiales unitario'!C$1:C$2500,,0,1)</f>
        <v>un</v>
      </c>
      <c r="E11095" s="197">
        <f>_xlfn.XLOOKUP(H11095,'Materiales unitario'!$A$1:$A$2500,'Materiales unitario'!D$1:D$2500,,0,1)</f>
        <v>1800</v>
      </c>
      <c r="F11095" s="19">
        <v>1</v>
      </c>
      <c r="G11095" s="20">
        <f t="shared" si="314"/>
        <v>1800</v>
      </c>
      <c r="H11095" s="211" t="s">
        <v>392</v>
      </c>
    </row>
    <row r="11096" spans="1:8">
      <c r="A11096" s="211" t="s">
        <v>486</v>
      </c>
      <c r="B11096" s="216" t="str">
        <f ca="1">_xlfn.CONCAT(B11092,A11096)</f>
        <v>1CCFCD7F-C</v>
      </c>
      <c r="C11096" s="17" t="str">
        <f>_xlfn.XLOOKUP(H11096,'Materiales unitario'!$A$1:$A$2500,'Materiales unitario'!B$1:B$2500,,0,1)</f>
        <v xml:space="preserve">Terminal metálico ø3/4" EMT </v>
      </c>
      <c r="D11096" s="184" t="str">
        <f>_xlfn.XLOOKUP(H11096,'Materiales unitario'!A$1:A$2500,'Materiales unitario'!C$1:C$2500,,0,1)</f>
        <v>un</v>
      </c>
      <c r="E11096" s="197">
        <f>_xlfn.XLOOKUP(H11096,'Materiales unitario'!$A$1:$A$2500,'Materiales unitario'!D$1:D$2500,,0,1)</f>
        <v>2200</v>
      </c>
      <c r="F11096" s="19">
        <v>2</v>
      </c>
      <c r="G11096" s="20">
        <f t="shared" si="314"/>
        <v>4400</v>
      </c>
      <c r="H11096" s="211" t="s">
        <v>371</v>
      </c>
    </row>
    <row r="11097" spans="1:8">
      <c r="A11097" s="211" t="s">
        <v>487</v>
      </c>
      <c r="B11097" s="216" t="str">
        <f ca="1">_xlfn.CONCAT(B11092,A11097)</f>
        <v>1CCFCD7F-D</v>
      </c>
      <c r="C11097" s="17" t="str">
        <f>_xlfn.XLOOKUP(H11097,'Materiales unitario'!$A$1:$A$2500,'Materiales unitario'!B$1:B$2500,,0,1)</f>
        <v xml:space="preserve">Soporte Metálico Uniestruc Tubería ø3/4" </v>
      </c>
      <c r="D11097" s="184" t="str">
        <f>_xlfn.XLOOKUP(H11097,'Materiales unitario'!A$1:A$2500,'Materiales unitario'!C$1:C$2500,,0,1)</f>
        <v>un</v>
      </c>
      <c r="E11097" s="197">
        <f>_xlfn.XLOOKUP(H11097,'Materiales unitario'!$A$1:$A$2500,'Materiales unitario'!D$1:D$2500,,0,1)</f>
        <v>630</v>
      </c>
      <c r="F11097" s="19">
        <v>2</v>
      </c>
      <c r="G11097" s="20">
        <f t="shared" si="314"/>
        <v>1260</v>
      </c>
      <c r="H11097" s="211" t="s">
        <v>356</v>
      </c>
    </row>
    <row r="11098" spans="1:8">
      <c r="A11098" s="211" t="s">
        <v>488</v>
      </c>
      <c r="B11098" s="216" t="str">
        <f ca="1">_xlfn.CONCAT(B11092,A11098)</f>
        <v>1CCFCD7F-E</v>
      </c>
      <c r="C11098" s="17" t="str">
        <f>_xlfn.XLOOKUP(H11098,'Materiales unitario'!$A$1:$A$2500,'Materiales unitario'!B$1:B$2500,,0,1)</f>
        <v>Alambre de cobre desnudo #12 AWG-ED</v>
      </c>
      <c r="D11098" s="184" t="str">
        <f>_xlfn.XLOOKUP(H11098,'Materiales unitario'!A$1:A$2500,'Materiales unitario'!C$1:C$2500,,0,1)</f>
        <v>ml</v>
      </c>
      <c r="E11098" s="197">
        <f>_xlfn.XLOOKUP(H11098,'Materiales unitario'!$A$1:$A$2500,'Materiales unitario'!D$1:D$2500,,0,1)</f>
        <v>2558.5</v>
      </c>
      <c r="F11098" s="19">
        <v>4</v>
      </c>
      <c r="G11098" s="20">
        <f t="shared" si="314"/>
        <v>10234</v>
      </c>
      <c r="H11098" s="211" t="s">
        <v>227</v>
      </c>
    </row>
    <row r="11099" spans="1:8">
      <c r="A11099" s="211" t="s">
        <v>489</v>
      </c>
      <c r="B11099" s="216" t="str">
        <f ca="1">_xlfn.CONCAT(B11092,A11099)</f>
        <v>1CCFCD7F-F</v>
      </c>
      <c r="C11099" s="17" t="str">
        <f>_xlfn.XLOOKUP(H11099,'Materiales unitario'!$A$1:$A$2500,'Materiales unitario'!B$1:B$2500,,0,1)</f>
        <v>Alambre de cobre aislado #12 AWG-THHN/THWN Color negro</v>
      </c>
      <c r="D11099" s="184" t="str">
        <f>_xlfn.XLOOKUP(H11099,'Materiales unitario'!A$1:A$2500,'Materiales unitario'!C$1:C$2500,,0,1)</f>
        <v>ml</v>
      </c>
      <c r="E11099" s="197">
        <f>_xlfn.XLOOKUP(H11099,'Materiales unitario'!$A$1:$A$2500,'Materiales unitario'!D$1:D$2500,,0,1)</f>
        <v>2975</v>
      </c>
      <c r="F11099" s="19">
        <v>8</v>
      </c>
      <c r="G11099" s="20">
        <f t="shared" si="314"/>
        <v>23800</v>
      </c>
      <c r="H11099" s="211" t="s">
        <v>524</v>
      </c>
    </row>
    <row r="11100" spans="1:8">
      <c r="A11100" s="211" t="s">
        <v>490</v>
      </c>
      <c r="B11100" s="216" t="str">
        <f ca="1">_xlfn.CONCAT(B11092,A11100)</f>
        <v>1CCFCD7F-G</v>
      </c>
      <c r="C11100" s="17" t="str">
        <f>_xlfn.XLOOKUP(H11100,'Materiales unitario'!$A$1:$A$2500,'Materiales unitario'!B$1:B$2500,,0,1)</f>
        <v>Conector de resorte rojo "R" 18-10 AWG</v>
      </c>
      <c r="D11100" s="184" t="str">
        <f>_xlfn.XLOOKUP(H11100,'Materiales unitario'!A$1:A$2500,'Materiales unitario'!C$1:C$2500,,0,1)</f>
        <v>un</v>
      </c>
      <c r="E11100" s="197">
        <f>_xlfn.XLOOKUP(H11100,'Materiales unitario'!$A$1:$A$2500,'Materiales unitario'!D$1:D$2500,,0,1)</f>
        <v>280</v>
      </c>
      <c r="F11100" s="19">
        <v>3</v>
      </c>
      <c r="G11100" s="20">
        <f t="shared" si="314"/>
        <v>840</v>
      </c>
      <c r="H11100" s="211" t="s">
        <v>302</v>
      </c>
    </row>
    <row r="11101" spans="1:8">
      <c r="A11101" s="211" t="s">
        <v>491</v>
      </c>
      <c r="B11101" s="216" t="str">
        <f ca="1">_xlfn.CONCAT(B11092,A11101)</f>
        <v>1CCFCD7F-H</v>
      </c>
      <c r="C11101" s="17" t="str">
        <f>_xlfn.XLOOKUP(H11101,'Materiales unitario'!$A$1:$A$2500,'Materiales unitario'!B$1:B$2500,,0,1)</f>
        <v xml:space="preserve">Caja galvanizada ref. 2400 + suplemento (Cal. 20) </v>
      </c>
      <c r="D11101" s="184" t="str">
        <f>_xlfn.XLOOKUP(H11101,'Materiales unitario'!A$1:A$2500,'Materiales unitario'!C$1:C$2500,,0,1)</f>
        <v>un</v>
      </c>
      <c r="E11101" s="197">
        <f>_xlfn.XLOOKUP(H11101,'Materiales unitario'!$A$1:$A$2500,'Materiales unitario'!D$1:D$2500,,0,1)</f>
        <v>4522</v>
      </c>
      <c r="F11101" s="19">
        <v>1.05</v>
      </c>
      <c r="G11101" s="20">
        <f t="shared" si="314"/>
        <v>4748.1000000000004</v>
      </c>
      <c r="H11101" s="211" t="s">
        <v>283</v>
      </c>
    </row>
    <row r="11102" spans="1:8">
      <c r="A11102" s="211" t="s">
        <v>492</v>
      </c>
      <c r="B11102" s="216" t="str">
        <f ca="1">_xlfn.CONCAT(B11092,A11102)</f>
        <v>1CCFCD7F-I</v>
      </c>
      <c r="C11102" s="17" t="str">
        <f>_xlfn.XLOOKUP(H11102,'Materiales unitario'!$A$1:$A$2500,'Materiales unitario'!B$1:B$2500,,0,1)</f>
        <v>Marquillas para circuito</v>
      </c>
      <c r="D11102" s="184" t="str">
        <f>_xlfn.XLOOKUP(H11102,'Materiales unitario'!A$1:A$2500,'Materiales unitario'!C$1:C$2500,,0,1)</f>
        <v>un</v>
      </c>
      <c r="E11102" s="197">
        <f>_xlfn.XLOOKUP(H11102,'Materiales unitario'!$A$1:$A$2500,'Materiales unitario'!D$1:D$2500,,0,1)</f>
        <v>1000</v>
      </c>
      <c r="F11102" s="19">
        <v>3</v>
      </c>
      <c r="G11102" s="20">
        <f t="shared" si="314"/>
        <v>3000</v>
      </c>
      <c r="H11102" s="211" t="s">
        <v>339</v>
      </c>
    </row>
    <row r="11103" spans="1:8">
      <c r="A11103" s="211" t="s">
        <v>493</v>
      </c>
      <c r="B11103" s="216" t="str">
        <f ca="1">_xlfn.CONCAT(B11092,A11103)</f>
        <v>1CCFCD7F-J</v>
      </c>
      <c r="C11103" s="17"/>
      <c r="D11103" s="184"/>
      <c r="E11103" s="197"/>
      <c r="F11103" s="19"/>
      <c r="G11103" s="20"/>
    </row>
    <row r="11104" spans="1:8">
      <c r="A11104" s="211" t="s">
        <v>494</v>
      </c>
      <c r="B11104" s="216" t="str">
        <f ca="1">_xlfn.CONCAT(B11092,A11104)</f>
        <v>1CCFCD7F-K</v>
      </c>
      <c r="C11104" s="17"/>
      <c r="D11104" s="184"/>
      <c r="E11104" s="197"/>
      <c r="F11104" s="19"/>
      <c r="G11104" s="20"/>
    </row>
    <row r="11105" spans="1:8">
      <c r="A11105" s="211" t="s">
        <v>495</v>
      </c>
      <c r="B11105" s="216" t="str">
        <f ca="1">_xlfn.CONCAT(B11092,A11105)</f>
        <v>1CCFCD7F-L</v>
      </c>
      <c r="C11105" s="17"/>
      <c r="D11105" s="184"/>
      <c r="E11105" s="197"/>
      <c r="F11105" s="19"/>
      <c r="G11105" s="20"/>
    </row>
    <row r="11106" spans="1:8">
      <c r="A11106" s="211" t="s">
        <v>496</v>
      </c>
      <c r="B11106" s="216" t="str">
        <f ca="1">_xlfn.CONCAT(B11092,A11106)</f>
        <v>1CCFCD7F-M</v>
      </c>
      <c r="C11106" s="17"/>
      <c r="D11106" s="184"/>
      <c r="E11106" s="197"/>
      <c r="F11106" s="19"/>
      <c r="G11106" s="20"/>
    </row>
    <row r="11107" spans="1:8">
      <c r="A11107" s="211" t="s">
        <v>497</v>
      </c>
      <c r="B11107" s="216" t="str">
        <f ca="1">_xlfn.CONCAT(B11092,A11107)</f>
        <v>1CCFCD7F-N</v>
      </c>
      <c r="C11107" s="17"/>
      <c r="D11107" s="184"/>
      <c r="E11107" s="197"/>
      <c r="F11107" s="19"/>
      <c r="G11107" s="20"/>
    </row>
    <row r="11108" spans="1:8">
      <c r="A11108" s="211" t="s">
        <v>498</v>
      </c>
      <c r="B11108" s="216" t="str">
        <f ca="1">_xlfn.CONCAT(B11092,A11108)</f>
        <v>1CCFCD7F-O</v>
      </c>
      <c r="C11108" s="17"/>
      <c r="D11108" s="184"/>
      <c r="E11108" s="197"/>
      <c r="F11108" s="19"/>
      <c r="G11108" s="20"/>
    </row>
    <row r="11109" spans="1:8">
      <c r="A11109" s="211" t="s">
        <v>499</v>
      </c>
      <c r="B11109" s="216" t="str">
        <f ca="1">_xlfn.CONCAT(B11092,A11109)</f>
        <v>1CCFCD7F-P</v>
      </c>
      <c r="C11109" s="17"/>
      <c r="D11109" s="184"/>
      <c r="E11109" s="197"/>
      <c r="F11109" s="19"/>
      <c r="G11109" s="20"/>
    </row>
    <row r="11110" spans="1:8">
      <c r="A11110" s="211" t="s">
        <v>500</v>
      </c>
      <c r="B11110" s="216" t="str">
        <f ca="1">_xlfn.CONCAT(B11092,A11110)</f>
        <v>1CCFCD7F-Q</v>
      </c>
      <c r="C11110" s="17"/>
      <c r="D11110" s="184"/>
      <c r="E11110" s="197"/>
      <c r="F11110" s="19"/>
      <c r="G11110" s="20"/>
    </row>
    <row r="11111" spans="1:8">
      <c r="A11111" s="211" t="s">
        <v>501</v>
      </c>
      <c r="B11111" s="216" t="str">
        <f ca="1">_xlfn.CONCAT(B11092,A11111)</f>
        <v>1CCFCD7F-R</v>
      </c>
      <c r="C11111" s="17"/>
      <c r="D11111" s="184"/>
      <c r="E11111" s="197"/>
      <c r="F11111" s="19"/>
      <c r="G11111" s="20"/>
    </row>
    <row r="11112" spans="1:8">
      <c r="A11112" s="211" t="s">
        <v>502</v>
      </c>
      <c r="B11112" s="216" t="str">
        <f ca="1">_xlfn.CONCAT(B11092,A11112)</f>
        <v>1CCFCD7F-S</v>
      </c>
      <c r="C11112" s="17"/>
      <c r="D11112" s="184"/>
      <c r="E11112" s="197"/>
      <c r="F11112" s="19"/>
      <c r="G11112" s="20"/>
    </row>
    <row r="11113" spans="1:8">
      <c r="A11113" s="211" t="s">
        <v>503</v>
      </c>
      <c r="B11113" s="216" t="str">
        <f ca="1">_xlfn.CONCAT(B11092,A11113)</f>
        <v>1CCFCD7F-T</v>
      </c>
      <c r="C11113" s="17"/>
      <c r="D11113" s="184"/>
      <c r="E11113" s="197"/>
      <c r="F11113" s="19"/>
      <c r="G11113" s="20"/>
    </row>
    <row r="11114" spans="1:8" ht="14.25" thickBot="1">
      <c r="A11114" s="211" t="s">
        <v>504</v>
      </c>
      <c r="B11114" s="216" t="str">
        <f ca="1">_xlfn.CONCAT(B11092,A11114)</f>
        <v>1CCFCD7F-U</v>
      </c>
      <c r="C11114" s="17"/>
      <c r="D11114" s="184"/>
      <c r="E11114" s="197"/>
      <c r="F11114" s="19"/>
      <c r="G11114" s="20"/>
    </row>
    <row r="11115" spans="1:8" ht="14.25" thickBot="1">
      <c r="A11115" s="211" t="s">
        <v>505</v>
      </c>
      <c r="B11115" s="216" t="str">
        <f ca="1">_xlfn.CONCAT(B11092,A11115)</f>
        <v>1CCFCD7F-V</v>
      </c>
      <c r="C11115" s="17" t="s">
        <v>17</v>
      </c>
      <c r="D11115" s="192" t="s">
        <v>17</v>
      </c>
      <c r="E11115" s="18"/>
      <c r="F11115" s="22" t="s">
        <v>18</v>
      </c>
      <c r="G11115" s="23">
        <f>SUM(G11094:G11114)</f>
        <v>88801</v>
      </c>
    </row>
    <row r="11116" spans="1:8" ht="15.75" thickBot="1">
      <c r="A11116" s="211" t="s">
        <v>506</v>
      </c>
      <c r="B11116" s="216" t="str">
        <f ca="1">_xlfn.CONCAT(B11092,A11116)</f>
        <v>1CCFCD7F-W</v>
      </c>
      <c r="C11116" s="10" t="s">
        <v>19</v>
      </c>
      <c r="D11116" s="190"/>
      <c r="E11116" s="11"/>
      <c r="F11116" s="12"/>
      <c r="G11116" s="13"/>
    </row>
    <row r="11117" spans="1:8" ht="14.25" thickBot="1">
      <c r="A11117" s="211" t="s">
        <v>507</v>
      </c>
      <c r="B11117" s="216" t="str">
        <f ca="1">_xlfn.CONCAT(B11092,A11117)</f>
        <v>1CCFCD7F-X</v>
      </c>
      <c r="C11117" s="14" t="s">
        <v>1</v>
      </c>
      <c r="D11117" s="15"/>
      <c r="E11117" s="15" t="s">
        <v>20</v>
      </c>
      <c r="F11117" s="16" t="s">
        <v>21</v>
      </c>
      <c r="G11117" s="15" t="s">
        <v>5</v>
      </c>
      <c r="H11117" s="215"/>
    </row>
    <row r="11118" spans="1:8">
      <c r="A11118" s="211" t="s">
        <v>508</v>
      </c>
      <c r="B11118" s="216" t="str">
        <f ca="1">_xlfn.CONCAT(B11092,A11118)</f>
        <v>1CCFCD7F-Y</v>
      </c>
      <c r="C11118" s="24" t="s">
        <v>22</v>
      </c>
      <c r="D11118" s="184"/>
      <c r="E11118" s="25">
        <f>_xlfn.XLOOKUP(C11118,'H-MO'!B$7:B$30,'H-MO'!D$7:D$30,,0,1)</f>
        <v>2436.5624999999995</v>
      </c>
      <c r="F11118" s="19">
        <v>0.5</v>
      </c>
      <c r="G11118" s="33">
        <f t="shared" ref="G11118:G11123" si="315">+E11118*F11118</f>
        <v>1218.2812499999998</v>
      </c>
    </row>
    <row r="11119" spans="1:8">
      <c r="A11119" s="211" t="s">
        <v>509</v>
      </c>
      <c r="B11119" s="216" t="str">
        <f ca="1">_xlfn.CONCAT(B11092,A11119)</f>
        <v>1CCFCD7F-Z</v>
      </c>
      <c r="C11119" s="24" t="s">
        <v>23</v>
      </c>
      <c r="D11119" s="184"/>
      <c r="E11119" s="25">
        <f>_xlfn.XLOOKUP(C11119,'H-MO'!B$7:B$30,'H-MO'!D$7:D$30,,0,1)</f>
        <v>1461.9374999999998</v>
      </c>
      <c r="F11119" s="19">
        <v>9.8000000000000004E-2</v>
      </c>
      <c r="G11119" s="33">
        <f t="shared" si="315"/>
        <v>143.26987499999998</v>
      </c>
    </row>
    <row r="11120" spans="1:8">
      <c r="A11120" s="211" t="s">
        <v>510</v>
      </c>
      <c r="B11120" s="216" t="str">
        <f ca="1">_xlfn.CONCAT(B11092,A11120)</f>
        <v>1CCFCD7F-aa</v>
      </c>
      <c r="C11120" s="24" t="s">
        <v>24</v>
      </c>
      <c r="D11120" s="185"/>
      <c r="E11120" s="25">
        <f>_xlfn.XLOOKUP(C11120,'H-MO'!B$7:B$30,'H-MO'!D$7:D$30,,0,1)</f>
        <v>29238.749999999996</v>
      </c>
      <c r="F11120" s="28">
        <v>2E-3</v>
      </c>
      <c r="G11120" s="33">
        <f t="shared" si="315"/>
        <v>58.477499999999992</v>
      </c>
    </row>
    <row r="11121" spans="1:8">
      <c r="A11121" s="211" t="s">
        <v>511</v>
      </c>
      <c r="B11121" s="216" t="str">
        <f ca="1">_xlfn.CONCAT(B11092,A11121)</f>
        <v>1CCFCD7F-ab</v>
      </c>
      <c r="C11121" s="24" t="s">
        <v>25</v>
      </c>
      <c r="D11121" s="185"/>
      <c r="E11121" s="25">
        <f>_xlfn.XLOOKUP(C11121,'H-MO'!B$7:B$30,'H-MO'!D$7:D$30,,0,1)</f>
        <v>2761.4374999999995</v>
      </c>
      <c r="F11121" s="28">
        <v>0.6</v>
      </c>
      <c r="G11121" s="33">
        <f t="shared" si="315"/>
        <v>1656.8624999999997</v>
      </c>
    </row>
    <row r="11122" spans="1:8">
      <c r="A11122" s="211" t="s">
        <v>512</v>
      </c>
      <c r="B11122" s="216" t="str">
        <f ca="1">_xlfn.CONCAT(B11092,A11122)</f>
        <v>1CCFCD7F-ac</v>
      </c>
      <c r="C11122" s="24"/>
      <c r="D11122" s="185"/>
      <c r="E11122" s="29"/>
      <c r="F11122" s="28"/>
      <c r="G11122" s="33">
        <f t="shared" si="315"/>
        <v>0</v>
      </c>
    </row>
    <row r="11123" spans="1:8" ht="14.25" thickBot="1">
      <c r="A11123" s="211" t="s">
        <v>513</v>
      </c>
      <c r="B11123" s="216" t="str">
        <f ca="1">_xlfn.CONCAT(B11092,A11123)</f>
        <v>1CCFCD7F-ad</v>
      </c>
      <c r="C11123" s="24"/>
      <c r="D11123" s="185"/>
      <c r="E11123" s="29"/>
      <c r="F11123" s="28"/>
      <c r="G11123" s="33">
        <f t="shared" si="315"/>
        <v>0</v>
      </c>
    </row>
    <row r="11124" spans="1:8" ht="14.25" thickBot="1">
      <c r="A11124" s="211" t="s">
        <v>514</v>
      </c>
      <c r="B11124" s="216" t="str">
        <f ca="1">_xlfn.CONCAT(B11092,A11124)</f>
        <v>1CCFCD7F-ae</v>
      </c>
      <c r="C11124" s="17"/>
      <c r="D11124" s="192"/>
      <c r="E11124" s="18"/>
      <c r="F11124" s="22" t="s">
        <v>26</v>
      </c>
      <c r="G11124" s="23">
        <f>SUM(G11118:G11123)</f>
        <v>3076.8911249999992</v>
      </c>
    </row>
    <row r="11125" spans="1:8" ht="15.75" thickBot="1">
      <c r="A11125" s="211" t="s">
        <v>515</v>
      </c>
      <c r="B11125" s="216" t="str">
        <f ca="1">_xlfn.CONCAT(B11092,A11125)</f>
        <v>1CCFCD7F-af</v>
      </c>
      <c r="C11125" s="10" t="s">
        <v>27</v>
      </c>
      <c r="D11125" s="190"/>
      <c r="E11125" s="11"/>
      <c r="F11125" s="12"/>
      <c r="G11125" s="13"/>
    </row>
    <row r="11126" spans="1:8" ht="14.25" thickBot="1">
      <c r="A11126" s="211" t="s">
        <v>516</v>
      </c>
      <c r="B11126" s="216" t="str">
        <f ca="1">_xlfn.CONCAT(B11092,A11126)</f>
        <v>1CCFCD7F-ag</v>
      </c>
      <c r="C11126" s="14" t="s">
        <v>1</v>
      </c>
      <c r="D11126" s="15" t="s">
        <v>28</v>
      </c>
      <c r="E11126" s="15" t="s">
        <v>20</v>
      </c>
      <c r="F11126" s="16" t="s">
        <v>21</v>
      </c>
      <c r="G11126" s="15" t="s">
        <v>5</v>
      </c>
      <c r="H11126" s="215"/>
    </row>
    <row r="11127" spans="1:8">
      <c r="A11127" s="211" t="s">
        <v>517</v>
      </c>
      <c r="B11127" s="216" t="str">
        <f ca="1">_xlfn.CONCAT(B11092,A11127)</f>
        <v>1CCFCD7F-ah</v>
      </c>
      <c r="C11127" s="30" t="s">
        <v>29</v>
      </c>
      <c r="D11127" s="186">
        <f>'H-MO'!$N$77</f>
        <v>725918.52892505517</v>
      </c>
      <c r="E11127" s="31">
        <f>+D11127/8</f>
        <v>90739.816115631897</v>
      </c>
      <c r="F11127" s="32">
        <v>0.5</v>
      </c>
      <c r="G11127" s="33">
        <f>+E11127*F11127</f>
        <v>45369.908057815948</v>
      </c>
    </row>
    <row r="11128" spans="1:8">
      <c r="A11128" s="211" t="s">
        <v>518</v>
      </c>
      <c r="B11128" s="216" t="str">
        <f ca="1">_xlfn.CONCAT(B11092,A11128)</f>
        <v>1CCFCD7F-ai</v>
      </c>
      <c r="C11128" s="34" t="s">
        <v>30</v>
      </c>
      <c r="D11128" s="187">
        <f>'H-MO'!$N$86</f>
        <v>685561.39085756091</v>
      </c>
      <c r="E11128" s="29">
        <f>+D11128/8</f>
        <v>85695.173857195114</v>
      </c>
      <c r="F11128" s="28">
        <v>0</v>
      </c>
      <c r="G11128" s="33">
        <f>+E11128*F11128</f>
        <v>0</v>
      </c>
    </row>
    <row r="11129" spans="1:8" ht="14.25" thickBot="1">
      <c r="A11129" s="211" t="s">
        <v>519</v>
      </c>
      <c r="B11129" s="216" t="str">
        <f ca="1">_xlfn.CONCAT(B11092,A11129)</f>
        <v>1CCFCD7F-aj</v>
      </c>
      <c r="C11129" s="34"/>
      <c r="D11129" s="187"/>
      <c r="E11129" s="29"/>
      <c r="F11129" s="28"/>
      <c r="G11129" s="33">
        <f>+E11129*F11129</f>
        <v>0</v>
      </c>
    </row>
    <row r="11130" spans="1:8" ht="14.25" thickBot="1">
      <c r="A11130" s="211" t="s">
        <v>520</v>
      </c>
      <c r="B11130" s="216" t="str">
        <f ca="1">_xlfn.CONCAT(B11092,A11130)</f>
        <v>1CCFCD7F-ak</v>
      </c>
      <c r="C11130" s="34"/>
      <c r="D11130" s="185"/>
      <c r="E11130" s="26"/>
      <c r="F11130" s="36" t="s">
        <v>31</v>
      </c>
      <c r="G11130" s="23">
        <f>SUM(G11127:G11129)</f>
        <v>45369.908057815948</v>
      </c>
    </row>
    <row r="11131" spans="1:8" ht="14.25" thickBot="1">
      <c r="A11131" s="211" t="s">
        <v>521</v>
      </c>
      <c r="B11131" s="216" t="str">
        <f ca="1">_xlfn.CONCAT(B11092,A11131)</f>
        <v>1CCFCD7F-al</v>
      </c>
      <c r="C11131" s="37"/>
      <c r="E11131" s="38"/>
      <c r="F11131" s="22"/>
      <c r="G11131" s="39"/>
    </row>
    <row r="11132" spans="1:8" ht="16.5" thickBot="1">
      <c r="A11132" s="211" t="s">
        <v>522</v>
      </c>
      <c r="B11132" s="216" t="str">
        <f ca="1">_xlfn.CONCAT(B11092,A11132)</f>
        <v>1CCFCD7F-am</v>
      </c>
      <c r="C11132" s="40"/>
      <c r="D11132" s="193"/>
      <c r="E11132" s="41"/>
      <c r="F11132" s="42"/>
      <c r="G11132" s="43">
        <f>+G11115+G11124+G11130</f>
        <v>137247.79918281594</v>
      </c>
    </row>
    <row r="11133" spans="1:8" ht="21.75" thickBot="1">
      <c r="B11133" s="212" t="s">
        <v>550</v>
      </c>
      <c r="C11133" s="2"/>
      <c r="D11133" s="183"/>
      <c r="F11133" s="4"/>
      <c r="G11133" s="5"/>
    </row>
    <row r="11134" spans="1:8" ht="18.75">
      <c r="A11134" s="213"/>
      <c r="B11134" s="214">
        <v>253</v>
      </c>
      <c r="C11134" s="242" t="str">
        <f ca="1">_xlfn.XLOOKUP(B11134,Cantidades!$A$10:$A$314,Cantidades!$C$10:$C$314,,0,1)</f>
        <v>Salida electrica en tuberia EMT 3/4 en conductores 3x12 AWG, promedio 3m por muro</v>
      </c>
      <c r="D11134" s="243"/>
      <c r="E11134" s="243"/>
      <c r="F11134" s="243"/>
      <c r="G11134" s="244"/>
      <c r="H11134" s="213"/>
    </row>
    <row r="11135" spans="1:8" ht="19.5" thickBot="1">
      <c r="A11135" s="215"/>
      <c r="B11135" s="216" t="s">
        <v>550</v>
      </c>
      <c r="C11135" s="177"/>
      <c r="D11135" s="189"/>
      <c r="E11135" s="178"/>
      <c r="F11135" s="179" t="s">
        <v>636</v>
      </c>
      <c r="G11135" s="209" t="str">
        <f ca="1">B11136</f>
        <v>1CCFCD8F-</v>
      </c>
      <c r="H11135" s="215"/>
    </row>
    <row r="11136" spans="1:8" ht="15.75" thickBot="1">
      <c r="B11136" s="212" t="str">
        <f ca="1">_xlfn.XLOOKUP(C11134,Cantidades!$C$1:$C$314,Cantidades!$B$1:$B$314,"",0,1)</f>
        <v>1CCFCD8F-</v>
      </c>
      <c r="C11136" s="10" t="s">
        <v>0</v>
      </c>
      <c r="D11136" s="190"/>
      <c r="E11136" s="11"/>
      <c r="F11136" s="12"/>
      <c r="G11136" s="13"/>
    </row>
    <row r="11137" spans="1:8" ht="14.25" thickBot="1">
      <c r="A11137" s="215"/>
      <c r="B11137" s="216" t="s">
        <v>550</v>
      </c>
      <c r="C11137" s="14" t="s">
        <v>1</v>
      </c>
      <c r="D11137" s="15" t="s">
        <v>2</v>
      </c>
      <c r="E11137" s="15" t="s">
        <v>3</v>
      </c>
      <c r="F11137" s="16" t="s">
        <v>4</v>
      </c>
      <c r="G11137" s="15" t="s">
        <v>5</v>
      </c>
      <c r="H11137" s="215"/>
    </row>
    <row r="11138" spans="1:8">
      <c r="A11138" s="211" t="s">
        <v>484</v>
      </c>
      <c r="B11138" s="216" t="str">
        <f ca="1">_xlfn.CONCAT(B11136,A11138)</f>
        <v>1CCFCD8F-A</v>
      </c>
      <c r="C11138" s="17" t="str">
        <f>_xlfn.XLOOKUP(H11138,'Materiales unitario'!$A$1:$A$2500,'Materiales unitario'!B$1:B$2500,,0,1)</f>
        <v>Tubo metálico ø3/4" EMT</v>
      </c>
      <c r="D11138" s="184" t="str">
        <f>_xlfn.XLOOKUP(H11138,'Materiales unitario'!A$1:A$2500,'Materiales unitario'!C$1:C$2500,,0,1)</f>
        <v>ml</v>
      </c>
      <c r="E11138" s="197">
        <f>_xlfn.XLOOKUP(H11138,'Materiales unitario'!$A$1:$A$2500,'Materiales unitario'!D$1:D$2500,,0,1)</f>
        <v>11733</v>
      </c>
      <c r="F11138" s="19">
        <v>3.3</v>
      </c>
      <c r="G11138" s="20">
        <f t="shared" ref="G11138:G11146" si="316">+E11138*F11138</f>
        <v>38718.9</v>
      </c>
      <c r="H11138" s="211" t="s">
        <v>388</v>
      </c>
    </row>
    <row r="11139" spans="1:8">
      <c r="A11139" s="211" t="s">
        <v>485</v>
      </c>
      <c r="B11139" s="216" t="str">
        <f ca="1">_xlfn.CONCAT(B11136,A11139)</f>
        <v>1CCFCD8F-B</v>
      </c>
      <c r="C11139" s="17" t="str">
        <f>_xlfn.XLOOKUP(H11139,'Materiales unitario'!$A$1:$A$2500,'Materiales unitario'!B$1:B$2500,,0,1)</f>
        <v>Unión metálica ø3/4" EMT</v>
      </c>
      <c r="D11139" s="184" t="str">
        <f>_xlfn.XLOOKUP(H11139,'Materiales unitario'!A$1:A$2500,'Materiales unitario'!C$1:C$2500,,0,1)</f>
        <v>un</v>
      </c>
      <c r="E11139" s="197">
        <f>_xlfn.XLOOKUP(H11139,'Materiales unitario'!$A$1:$A$2500,'Materiales unitario'!D$1:D$2500,,0,1)</f>
        <v>1800</v>
      </c>
      <c r="F11139" s="19">
        <v>1</v>
      </c>
      <c r="G11139" s="20">
        <f t="shared" si="316"/>
        <v>1800</v>
      </c>
      <c r="H11139" s="211" t="s">
        <v>392</v>
      </c>
    </row>
    <row r="11140" spans="1:8">
      <c r="A11140" s="211" t="s">
        <v>486</v>
      </c>
      <c r="B11140" s="216" t="str">
        <f ca="1">_xlfn.CONCAT(B11136,A11140)</f>
        <v>1CCFCD8F-C</v>
      </c>
      <c r="C11140" s="17" t="str">
        <f>_xlfn.XLOOKUP(H11140,'Materiales unitario'!$A$1:$A$2500,'Materiales unitario'!B$1:B$2500,,0,1)</f>
        <v xml:space="preserve">Terminal metálico ø3/4" EMT </v>
      </c>
      <c r="D11140" s="184" t="str">
        <f>_xlfn.XLOOKUP(H11140,'Materiales unitario'!A$1:A$2500,'Materiales unitario'!C$1:C$2500,,0,1)</f>
        <v>un</v>
      </c>
      <c r="E11140" s="197">
        <f>_xlfn.XLOOKUP(H11140,'Materiales unitario'!$A$1:$A$2500,'Materiales unitario'!D$1:D$2500,,0,1)</f>
        <v>2200</v>
      </c>
      <c r="F11140" s="19">
        <v>2</v>
      </c>
      <c r="G11140" s="20">
        <f t="shared" si="316"/>
        <v>4400</v>
      </c>
      <c r="H11140" s="211" t="s">
        <v>371</v>
      </c>
    </row>
    <row r="11141" spans="1:8">
      <c r="A11141" s="211" t="s">
        <v>487</v>
      </c>
      <c r="B11141" s="216" t="str">
        <f ca="1">_xlfn.CONCAT(B11136,A11141)</f>
        <v>1CCFCD8F-D</v>
      </c>
      <c r="C11141" s="17" t="str">
        <f>_xlfn.XLOOKUP(H11141,'Materiales unitario'!$A$1:$A$2500,'Materiales unitario'!B$1:B$2500,,0,1)</f>
        <v xml:space="preserve">Soporte Metálico Uniestruc Tubería ø3/4" </v>
      </c>
      <c r="D11141" s="184" t="str">
        <f>_xlfn.XLOOKUP(H11141,'Materiales unitario'!A$1:A$2500,'Materiales unitario'!C$1:C$2500,,0,1)</f>
        <v>un</v>
      </c>
      <c r="E11141" s="197">
        <f>_xlfn.XLOOKUP(H11141,'Materiales unitario'!$A$1:$A$2500,'Materiales unitario'!D$1:D$2500,,0,1)</f>
        <v>630</v>
      </c>
      <c r="F11141" s="19">
        <v>2</v>
      </c>
      <c r="G11141" s="20">
        <f t="shared" si="316"/>
        <v>1260</v>
      </c>
      <c r="H11141" s="211" t="s">
        <v>356</v>
      </c>
    </row>
    <row r="11142" spans="1:8">
      <c r="A11142" s="211" t="s">
        <v>488</v>
      </c>
      <c r="B11142" s="216" t="str">
        <f ca="1">_xlfn.CONCAT(B11136,A11142)</f>
        <v>1CCFCD8F-E</v>
      </c>
      <c r="C11142" s="17" t="str">
        <f>_xlfn.XLOOKUP(H11142,'Materiales unitario'!$A$1:$A$2500,'Materiales unitario'!B$1:B$2500,,0,1)</f>
        <v>Alambre de cobre desnudo #12 AWG-ED</v>
      </c>
      <c r="D11142" s="184" t="str">
        <f>_xlfn.XLOOKUP(H11142,'Materiales unitario'!A$1:A$2500,'Materiales unitario'!C$1:C$2500,,0,1)</f>
        <v>ml</v>
      </c>
      <c r="E11142" s="197">
        <f>_xlfn.XLOOKUP(H11142,'Materiales unitario'!$A$1:$A$2500,'Materiales unitario'!D$1:D$2500,,0,1)</f>
        <v>2558.5</v>
      </c>
      <c r="F11142" s="19">
        <v>4</v>
      </c>
      <c r="G11142" s="20">
        <f t="shared" si="316"/>
        <v>10234</v>
      </c>
      <c r="H11142" s="211" t="s">
        <v>227</v>
      </c>
    </row>
    <row r="11143" spans="1:8">
      <c r="A11143" s="211" t="s">
        <v>489</v>
      </c>
      <c r="B11143" s="216" t="str">
        <f ca="1">_xlfn.CONCAT(B11136,A11143)</f>
        <v>1CCFCD8F-F</v>
      </c>
      <c r="C11143" s="17" t="str">
        <f>_xlfn.XLOOKUP(H11143,'Materiales unitario'!$A$1:$A$2500,'Materiales unitario'!B$1:B$2500,,0,1)</f>
        <v>Alambre de cobre aislado #12 AWG-THHN/THWN Color negro</v>
      </c>
      <c r="D11143" s="184" t="str">
        <f>_xlfn.XLOOKUP(H11143,'Materiales unitario'!A$1:A$2500,'Materiales unitario'!C$1:C$2500,,0,1)</f>
        <v>ml</v>
      </c>
      <c r="E11143" s="197">
        <f>_xlfn.XLOOKUP(H11143,'Materiales unitario'!$A$1:$A$2500,'Materiales unitario'!D$1:D$2500,,0,1)</f>
        <v>2975</v>
      </c>
      <c r="F11143" s="19">
        <v>8</v>
      </c>
      <c r="G11143" s="20">
        <f t="shared" si="316"/>
        <v>23800</v>
      </c>
      <c r="H11143" s="211" t="s">
        <v>524</v>
      </c>
    </row>
    <row r="11144" spans="1:8">
      <c r="A11144" s="211" t="s">
        <v>490</v>
      </c>
      <c r="B11144" s="216" t="str">
        <f ca="1">_xlfn.CONCAT(B11136,A11144)</f>
        <v>1CCFCD8F-G</v>
      </c>
      <c r="C11144" s="17" t="str">
        <f>_xlfn.XLOOKUP(H11144,'Materiales unitario'!$A$1:$A$2500,'Materiales unitario'!B$1:B$2500,,0,1)</f>
        <v>Conector de resorte rojo "R" 18-10 AWG</v>
      </c>
      <c r="D11144" s="184" t="str">
        <f>_xlfn.XLOOKUP(H11144,'Materiales unitario'!A$1:A$2500,'Materiales unitario'!C$1:C$2500,,0,1)</f>
        <v>un</v>
      </c>
      <c r="E11144" s="197">
        <f>_xlfn.XLOOKUP(H11144,'Materiales unitario'!$A$1:$A$2500,'Materiales unitario'!D$1:D$2500,,0,1)</f>
        <v>280</v>
      </c>
      <c r="F11144" s="19">
        <v>3</v>
      </c>
      <c r="G11144" s="20">
        <f t="shared" si="316"/>
        <v>840</v>
      </c>
      <c r="H11144" s="211" t="s">
        <v>302</v>
      </c>
    </row>
    <row r="11145" spans="1:8">
      <c r="A11145" s="211" t="s">
        <v>491</v>
      </c>
      <c r="B11145" s="216" t="str">
        <f ca="1">_xlfn.CONCAT(B11136,A11145)</f>
        <v>1CCFCD8F-H</v>
      </c>
      <c r="C11145" s="17" t="str">
        <f>_xlfn.XLOOKUP(H11145,'Materiales unitario'!$A$1:$A$2500,'Materiales unitario'!B$1:B$2500,,0,1)</f>
        <v xml:space="preserve">Caja galvanizada ref. 2400 + suplemento (Cal. 20) </v>
      </c>
      <c r="D11145" s="184" t="str">
        <f>_xlfn.XLOOKUP(H11145,'Materiales unitario'!A$1:A$2500,'Materiales unitario'!C$1:C$2500,,0,1)</f>
        <v>un</v>
      </c>
      <c r="E11145" s="197">
        <f>_xlfn.XLOOKUP(H11145,'Materiales unitario'!$A$1:$A$2500,'Materiales unitario'!D$1:D$2500,,0,1)</f>
        <v>4522</v>
      </c>
      <c r="F11145" s="19">
        <v>1.05</v>
      </c>
      <c r="G11145" s="20">
        <f t="shared" si="316"/>
        <v>4748.1000000000004</v>
      </c>
      <c r="H11145" s="211" t="s">
        <v>283</v>
      </c>
    </row>
    <row r="11146" spans="1:8">
      <c r="A11146" s="211" t="s">
        <v>492</v>
      </c>
      <c r="B11146" s="216" t="str">
        <f ca="1">_xlfn.CONCAT(B11136,A11146)</f>
        <v>1CCFCD8F-I</v>
      </c>
      <c r="C11146" s="17" t="str">
        <f>_xlfn.XLOOKUP(H11146,'Materiales unitario'!$A$1:$A$2500,'Materiales unitario'!B$1:B$2500,,0,1)</f>
        <v>Marquillas para circuito</v>
      </c>
      <c r="D11146" s="184" t="str">
        <f>_xlfn.XLOOKUP(H11146,'Materiales unitario'!A$1:A$2500,'Materiales unitario'!C$1:C$2500,,0,1)</f>
        <v>un</v>
      </c>
      <c r="E11146" s="197">
        <f>_xlfn.XLOOKUP(H11146,'Materiales unitario'!$A$1:$A$2500,'Materiales unitario'!D$1:D$2500,,0,1)</f>
        <v>1000</v>
      </c>
      <c r="F11146" s="19">
        <v>3</v>
      </c>
      <c r="G11146" s="20">
        <f t="shared" si="316"/>
        <v>3000</v>
      </c>
      <c r="H11146" s="211" t="s">
        <v>339</v>
      </c>
    </row>
    <row r="11147" spans="1:8">
      <c r="A11147" s="211" t="s">
        <v>493</v>
      </c>
      <c r="B11147" s="216" t="str">
        <f ca="1">_xlfn.CONCAT(B11136,A11147)</f>
        <v>1CCFCD8F-J</v>
      </c>
      <c r="C11147" s="17"/>
      <c r="D11147" s="184"/>
      <c r="E11147" s="197"/>
      <c r="F11147" s="19"/>
      <c r="G11147" s="20"/>
    </row>
    <row r="11148" spans="1:8">
      <c r="A11148" s="211" t="s">
        <v>494</v>
      </c>
      <c r="B11148" s="216" t="str">
        <f ca="1">_xlfn.CONCAT(B11136,A11148)</f>
        <v>1CCFCD8F-K</v>
      </c>
      <c r="C11148" s="17"/>
      <c r="D11148" s="184"/>
      <c r="E11148" s="197"/>
      <c r="F11148" s="19"/>
      <c r="G11148" s="20"/>
    </row>
    <row r="11149" spans="1:8">
      <c r="A11149" s="211" t="s">
        <v>495</v>
      </c>
      <c r="B11149" s="216" t="str">
        <f ca="1">_xlfn.CONCAT(B11136,A11149)</f>
        <v>1CCFCD8F-L</v>
      </c>
      <c r="C11149" s="17"/>
      <c r="D11149" s="184"/>
      <c r="E11149" s="197"/>
      <c r="F11149" s="19"/>
      <c r="G11149" s="20"/>
    </row>
    <row r="11150" spans="1:8">
      <c r="A11150" s="211" t="s">
        <v>496</v>
      </c>
      <c r="B11150" s="216" t="str">
        <f ca="1">_xlfn.CONCAT(B11136,A11150)</f>
        <v>1CCFCD8F-M</v>
      </c>
      <c r="C11150" s="17"/>
      <c r="D11150" s="184"/>
      <c r="E11150" s="197"/>
      <c r="F11150" s="19"/>
      <c r="G11150" s="20"/>
    </row>
    <row r="11151" spans="1:8">
      <c r="A11151" s="211" t="s">
        <v>497</v>
      </c>
      <c r="B11151" s="216" t="str">
        <f ca="1">_xlfn.CONCAT(B11136,A11151)</f>
        <v>1CCFCD8F-N</v>
      </c>
      <c r="C11151" s="17"/>
      <c r="D11151" s="184"/>
      <c r="E11151" s="197"/>
      <c r="F11151" s="19"/>
      <c r="G11151" s="20"/>
    </row>
    <row r="11152" spans="1:8">
      <c r="A11152" s="211" t="s">
        <v>498</v>
      </c>
      <c r="B11152" s="216" t="str">
        <f ca="1">_xlfn.CONCAT(B11136,A11152)</f>
        <v>1CCFCD8F-O</v>
      </c>
      <c r="C11152" s="17"/>
      <c r="D11152" s="184"/>
      <c r="E11152" s="197"/>
      <c r="F11152" s="19"/>
      <c r="G11152" s="20"/>
    </row>
    <row r="11153" spans="1:8">
      <c r="A11153" s="211" t="s">
        <v>499</v>
      </c>
      <c r="B11153" s="216" t="str">
        <f ca="1">_xlfn.CONCAT(B11136,A11153)</f>
        <v>1CCFCD8F-P</v>
      </c>
      <c r="C11153" s="17"/>
      <c r="D11153" s="184"/>
      <c r="E11153" s="197"/>
      <c r="F11153" s="19"/>
      <c r="G11153" s="20"/>
    </row>
    <row r="11154" spans="1:8">
      <c r="A11154" s="211" t="s">
        <v>500</v>
      </c>
      <c r="B11154" s="216" t="str">
        <f ca="1">_xlfn.CONCAT(B11136,A11154)</f>
        <v>1CCFCD8F-Q</v>
      </c>
      <c r="C11154" s="17"/>
      <c r="D11154" s="184"/>
      <c r="E11154" s="197"/>
      <c r="F11154" s="19"/>
      <c r="G11154" s="20"/>
    </row>
    <row r="11155" spans="1:8">
      <c r="A11155" s="211" t="s">
        <v>501</v>
      </c>
      <c r="B11155" s="216" t="str">
        <f ca="1">_xlfn.CONCAT(B11136,A11155)</f>
        <v>1CCFCD8F-R</v>
      </c>
      <c r="C11155" s="17"/>
      <c r="D11155" s="184"/>
      <c r="E11155" s="197"/>
      <c r="F11155" s="19"/>
      <c r="G11155" s="20"/>
    </row>
    <row r="11156" spans="1:8">
      <c r="A11156" s="211" t="s">
        <v>502</v>
      </c>
      <c r="B11156" s="216" t="str">
        <f ca="1">_xlfn.CONCAT(B11136,A11156)</f>
        <v>1CCFCD8F-S</v>
      </c>
      <c r="C11156" s="17"/>
      <c r="D11156" s="184"/>
      <c r="E11156" s="197"/>
      <c r="F11156" s="19"/>
      <c r="G11156" s="20"/>
    </row>
    <row r="11157" spans="1:8">
      <c r="A11157" s="211" t="s">
        <v>503</v>
      </c>
      <c r="B11157" s="216" t="str">
        <f ca="1">_xlfn.CONCAT(B11136,A11157)</f>
        <v>1CCFCD8F-T</v>
      </c>
      <c r="C11157" s="17"/>
      <c r="D11157" s="184"/>
      <c r="E11157" s="197"/>
      <c r="F11157" s="19"/>
      <c r="G11157" s="20"/>
    </row>
    <row r="11158" spans="1:8" ht="14.25" thickBot="1">
      <c r="A11158" s="211" t="s">
        <v>504</v>
      </c>
      <c r="B11158" s="216" t="str">
        <f ca="1">_xlfn.CONCAT(B11136,A11158)</f>
        <v>1CCFCD8F-U</v>
      </c>
      <c r="C11158" s="17"/>
      <c r="D11158" s="184"/>
      <c r="E11158" s="197"/>
      <c r="F11158" s="19"/>
      <c r="G11158" s="20"/>
    </row>
    <row r="11159" spans="1:8" ht="14.25" thickBot="1">
      <c r="A11159" s="211" t="s">
        <v>505</v>
      </c>
      <c r="B11159" s="216" t="str">
        <f ca="1">_xlfn.CONCAT(B11136,A11159)</f>
        <v>1CCFCD8F-V</v>
      </c>
      <c r="C11159" s="17" t="s">
        <v>17</v>
      </c>
      <c r="D11159" s="192" t="s">
        <v>17</v>
      </c>
      <c r="E11159" s="18"/>
      <c r="F11159" s="22" t="s">
        <v>18</v>
      </c>
      <c r="G11159" s="23">
        <f>SUM(G11138:G11158)</f>
        <v>88801</v>
      </c>
    </row>
    <row r="11160" spans="1:8" ht="15.75" thickBot="1">
      <c r="A11160" s="211" t="s">
        <v>506</v>
      </c>
      <c r="B11160" s="216" t="str">
        <f ca="1">_xlfn.CONCAT(B11136,A11160)</f>
        <v>1CCFCD8F-W</v>
      </c>
      <c r="C11160" s="10" t="s">
        <v>19</v>
      </c>
      <c r="D11160" s="190"/>
      <c r="E11160" s="11"/>
      <c r="F11160" s="12"/>
      <c r="G11160" s="13"/>
    </row>
    <row r="11161" spans="1:8" ht="14.25" thickBot="1">
      <c r="A11161" s="211" t="s">
        <v>507</v>
      </c>
      <c r="B11161" s="216" t="str">
        <f ca="1">_xlfn.CONCAT(B11136,A11161)</f>
        <v>1CCFCD8F-X</v>
      </c>
      <c r="C11161" s="14" t="s">
        <v>1</v>
      </c>
      <c r="D11161" s="15"/>
      <c r="E11161" s="15" t="s">
        <v>20</v>
      </c>
      <c r="F11161" s="16" t="s">
        <v>21</v>
      </c>
      <c r="G11161" s="15" t="s">
        <v>5</v>
      </c>
      <c r="H11161" s="215"/>
    </row>
    <row r="11162" spans="1:8">
      <c r="A11162" s="211" t="s">
        <v>508</v>
      </c>
      <c r="B11162" s="216" t="str">
        <f ca="1">_xlfn.CONCAT(B11136,A11162)</f>
        <v>1CCFCD8F-Y</v>
      </c>
      <c r="C11162" s="24" t="s">
        <v>22</v>
      </c>
      <c r="D11162" s="184"/>
      <c r="E11162" s="25">
        <f>_xlfn.XLOOKUP(C11162,'H-MO'!B$7:B$30,'H-MO'!D$7:D$30,,0,1)</f>
        <v>2436.5624999999995</v>
      </c>
      <c r="F11162" s="19">
        <v>0.5</v>
      </c>
      <c r="G11162" s="33">
        <f t="shared" ref="G11162:G11167" si="317">+E11162*F11162</f>
        <v>1218.2812499999998</v>
      </c>
    </row>
    <row r="11163" spans="1:8">
      <c r="A11163" s="211" t="s">
        <v>509</v>
      </c>
      <c r="B11163" s="216" t="str">
        <f ca="1">_xlfn.CONCAT(B11136,A11163)</f>
        <v>1CCFCD8F-Z</v>
      </c>
      <c r="C11163" s="24" t="s">
        <v>23</v>
      </c>
      <c r="D11163" s="184"/>
      <c r="E11163" s="25">
        <f>_xlfn.XLOOKUP(C11163,'H-MO'!B$7:B$30,'H-MO'!D$7:D$30,,0,1)</f>
        <v>1461.9374999999998</v>
      </c>
      <c r="F11163" s="19">
        <v>9.8000000000000004E-2</v>
      </c>
      <c r="G11163" s="33">
        <f t="shared" si="317"/>
        <v>143.26987499999998</v>
      </c>
    </row>
    <row r="11164" spans="1:8">
      <c r="A11164" s="211" t="s">
        <v>510</v>
      </c>
      <c r="B11164" s="216" t="str">
        <f ca="1">_xlfn.CONCAT(B11136,A11164)</f>
        <v>1CCFCD8F-aa</v>
      </c>
      <c r="C11164" s="24" t="s">
        <v>24</v>
      </c>
      <c r="D11164" s="185"/>
      <c r="E11164" s="25">
        <f>_xlfn.XLOOKUP(C11164,'H-MO'!B$7:B$30,'H-MO'!D$7:D$30,,0,1)</f>
        <v>29238.749999999996</v>
      </c>
      <c r="F11164" s="28">
        <v>2E-3</v>
      </c>
      <c r="G11164" s="33">
        <f t="shared" si="317"/>
        <v>58.477499999999992</v>
      </c>
    </row>
    <row r="11165" spans="1:8">
      <c r="A11165" s="211" t="s">
        <v>511</v>
      </c>
      <c r="B11165" s="216" t="str">
        <f ca="1">_xlfn.CONCAT(B11136,A11165)</f>
        <v>1CCFCD8F-ab</v>
      </c>
      <c r="C11165" s="24" t="s">
        <v>25</v>
      </c>
      <c r="D11165" s="185"/>
      <c r="E11165" s="25">
        <f>_xlfn.XLOOKUP(C11165,'H-MO'!B$7:B$30,'H-MO'!D$7:D$30,,0,1)</f>
        <v>2761.4374999999995</v>
      </c>
      <c r="F11165" s="28">
        <v>0.5</v>
      </c>
      <c r="G11165" s="33">
        <f t="shared" si="317"/>
        <v>1380.7187499999998</v>
      </c>
    </row>
    <row r="11166" spans="1:8">
      <c r="A11166" s="211" t="s">
        <v>512</v>
      </c>
      <c r="B11166" s="216" t="str">
        <f ca="1">_xlfn.CONCAT(B11136,A11166)</f>
        <v>1CCFCD8F-ac</v>
      </c>
      <c r="C11166" s="24"/>
      <c r="D11166" s="185"/>
      <c r="E11166" s="29"/>
      <c r="F11166" s="28"/>
      <c r="G11166" s="33">
        <f t="shared" si="317"/>
        <v>0</v>
      </c>
    </row>
    <row r="11167" spans="1:8" ht="14.25" thickBot="1">
      <c r="A11167" s="211" t="s">
        <v>513</v>
      </c>
      <c r="B11167" s="216" t="str">
        <f ca="1">_xlfn.CONCAT(B11136,A11167)</f>
        <v>1CCFCD8F-ad</v>
      </c>
      <c r="C11167" s="24"/>
      <c r="D11167" s="185"/>
      <c r="E11167" s="29"/>
      <c r="F11167" s="28"/>
      <c r="G11167" s="33">
        <f t="shared" si="317"/>
        <v>0</v>
      </c>
    </row>
    <row r="11168" spans="1:8" ht="14.25" thickBot="1">
      <c r="A11168" s="211" t="s">
        <v>514</v>
      </c>
      <c r="B11168" s="216" t="str">
        <f ca="1">_xlfn.CONCAT(B11136,A11168)</f>
        <v>1CCFCD8F-ae</v>
      </c>
      <c r="C11168" s="17"/>
      <c r="D11168" s="192"/>
      <c r="E11168" s="18"/>
      <c r="F11168" s="22" t="s">
        <v>26</v>
      </c>
      <c r="G11168" s="23">
        <f>SUM(G11162:G11167)</f>
        <v>2800.7473749999995</v>
      </c>
    </row>
    <row r="11169" spans="1:8" ht="15.75" thickBot="1">
      <c r="A11169" s="211" t="s">
        <v>515</v>
      </c>
      <c r="B11169" s="216" t="str">
        <f ca="1">_xlfn.CONCAT(B11136,A11169)</f>
        <v>1CCFCD8F-af</v>
      </c>
      <c r="C11169" s="10" t="s">
        <v>27</v>
      </c>
      <c r="D11169" s="190"/>
      <c r="E11169" s="11"/>
      <c r="F11169" s="12"/>
      <c r="G11169" s="13"/>
    </row>
    <row r="11170" spans="1:8" ht="14.25" thickBot="1">
      <c r="A11170" s="211" t="s">
        <v>516</v>
      </c>
      <c r="B11170" s="216" t="str">
        <f ca="1">_xlfn.CONCAT(B11136,A11170)</f>
        <v>1CCFCD8F-ag</v>
      </c>
      <c r="C11170" s="14" t="s">
        <v>1</v>
      </c>
      <c r="D11170" s="15" t="s">
        <v>28</v>
      </c>
      <c r="E11170" s="15" t="s">
        <v>20</v>
      </c>
      <c r="F11170" s="16" t="s">
        <v>21</v>
      </c>
      <c r="G11170" s="15" t="s">
        <v>5</v>
      </c>
      <c r="H11170" s="215"/>
    </row>
    <row r="11171" spans="1:8">
      <c r="A11171" s="211" t="s">
        <v>517</v>
      </c>
      <c r="B11171" s="216" t="str">
        <f ca="1">_xlfn.CONCAT(B11136,A11171)</f>
        <v>1CCFCD8F-ah</v>
      </c>
      <c r="C11171" s="30" t="s">
        <v>29</v>
      </c>
      <c r="D11171" s="186">
        <f>'H-MO'!$N$77</f>
        <v>725918.52892505517</v>
      </c>
      <c r="E11171" s="31">
        <f>+D11171/8</f>
        <v>90739.816115631897</v>
      </c>
      <c r="F11171" s="32">
        <v>0.45</v>
      </c>
      <c r="G11171" s="33">
        <f>+E11171*F11171</f>
        <v>40832.917252034356</v>
      </c>
    </row>
    <row r="11172" spans="1:8">
      <c r="A11172" s="211" t="s">
        <v>518</v>
      </c>
      <c r="B11172" s="216" t="str">
        <f ca="1">_xlfn.CONCAT(B11136,A11172)</f>
        <v>1CCFCD8F-ai</v>
      </c>
      <c r="C11172" s="34" t="s">
        <v>30</v>
      </c>
      <c r="D11172" s="187">
        <f>'H-MO'!$N$86</f>
        <v>685561.39085756091</v>
      </c>
      <c r="E11172" s="29">
        <f>+D11172/8</f>
        <v>85695.173857195114</v>
      </c>
      <c r="F11172" s="28">
        <v>0</v>
      </c>
      <c r="G11172" s="33">
        <f>+E11172*F11172</f>
        <v>0</v>
      </c>
    </row>
    <row r="11173" spans="1:8" ht="14.25" thickBot="1">
      <c r="A11173" s="211" t="s">
        <v>519</v>
      </c>
      <c r="B11173" s="216" t="str">
        <f ca="1">_xlfn.CONCAT(B11136,A11173)</f>
        <v>1CCFCD8F-aj</v>
      </c>
      <c r="C11173" s="34"/>
      <c r="D11173" s="187"/>
      <c r="E11173" s="29"/>
      <c r="F11173" s="28"/>
      <c r="G11173" s="33">
        <f>+E11173*F11173</f>
        <v>0</v>
      </c>
    </row>
    <row r="11174" spans="1:8" ht="14.25" thickBot="1">
      <c r="A11174" s="211" t="s">
        <v>520</v>
      </c>
      <c r="B11174" s="216" t="str">
        <f ca="1">_xlfn.CONCAT(B11136,A11174)</f>
        <v>1CCFCD8F-ak</v>
      </c>
      <c r="C11174" s="34"/>
      <c r="D11174" s="185"/>
      <c r="E11174" s="26"/>
      <c r="F11174" s="36" t="s">
        <v>31</v>
      </c>
      <c r="G11174" s="23">
        <f>SUM(G11171:G11173)</f>
        <v>40832.917252034356</v>
      </c>
    </row>
    <row r="11175" spans="1:8" ht="14.25" thickBot="1">
      <c r="A11175" s="211" t="s">
        <v>521</v>
      </c>
      <c r="B11175" s="216" t="str">
        <f ca="1">_xlfn.CONCAT(B11136,A11175)</f>
        <v>1CCFCD8F-al</v>
      </c>
      <c r="C11175" s="37"/>
      <c r="E11175" s="38"/>
      <c r="F11175" s="22"/>
      <c r="G11175" s="39"/>
    </row>
    <row r="11176" spans="1:8" ht="16.5" thickBot="1">
      <c r="A11176" s="211" t="s">
        <v>522</v>
      </c>
      <c r="B11176" s="216" t="str">
        <f ca="1">_xlfn.CONCAT(B11136,A11176)</f>
        <v>1CCFCD8F-am</v>
      </c>
      <c r="C11176" s="40"/>
      <c r="D11176" s="193"/>
      <c r="E11176" s="41"/>
      <c r="F11176" s="42"/>
      <c r="G11176" s="43">
        <f>+G11159+G11168+G11174</f>
        <v>132434.66462703436</v>
      </c>
    </row>
    <row r="11177" spans="1:8" ht="21.75" thickBot="1">
      <c r="B11177" s="212" t="s">
        <v>550</v>
      </c>
      <c r="C11177" s="2"/>
      <c r="D11177" s="183"/>
      <c r="F11177" s="4"/>
      <c r="G11177" s="5"/>
    </row>
    <row r="11178" spans="1:8" ht="18.75">
      <c r="A11178" s="213"/>
      <c r="B11178" s="214">
        <v>254</v>
      </c>
      <c r="C11178" s="242" t="str">
        <f ca="1">_xlfn.XLOOKUP(B11178,Cantidades!$A$10:$A$314,Cantidades!$C$10:$C$314,,0,1)</f>
        <v>Salida electrica en tuberia EMT 3/4 en conductores 3x12 AWG, promedio 10m por muro</v>
      </c>
      <c r="D11178" s="243"/>
      <c r="E11178" s="243"/>
      <c r="F11178" s="243"/>
      <c r="G11178" s="244"/>
      <c r="H11178" s="213"/>
    </row>
    <row r="11179" spans="1:8" ht="19.5" thickBot="1">
      <c r="A11179" s="215"/>
      <c r="B11179" s="216" t="s">
        <v>550</v>
      </c>
      <c r="C11179" s="177"/>
      <c r="D11179" s="189"/>
      <c r="E11179" s="178"/>
      <c r="F11179" s="179" t="s">
        <v>636</v>
      </c>
      <c r="G11179" s="209" t="str">
        <f ca="1">B11180</f>
        <v>1CC10D9F-</v>
      </c>
      <c r="H11179" s="215"/>
    </row>
    <row r="11180" spans="1:8" ht="15.75" thickBot="1">
      <c r="B11180" s="212" t="str">
        <f ca="1">_xlfn.XLOOKUP(C11178,Cantidades!$C$1:$C$314,Cantidades!$B$1:$B$314,"",0,1)</f>
        <v>1CC10D9F-</v>
      </c>
      <c r="C11180" s="10" t="s">
        <v>0</v>
      </c>
      <c r="D11180" s="190"/>
      <c r="E11180" s="11"/>
      <c r="F11180" s="12"/>
      <c r="G11180" s="13"/>
    </row>
    <row r="11181" spans="1:8" ht="14.25" thickBot="1">
      <c r="A11181" s="215"/>
      <c r="B11181" s="216" t="s">
        <v>550</v>
      </c>
      <c r="C11181" s="14" t="s">
        <v>1</v>
      </c>
      <c r="D11181" s="15" t="s">
        <v>2</v>
      </c>
      <c r="E11181" s="15" t="s">
        <v>3</v>
      </c>
      <c r="F11181" s="16" t="s">
        <v>4</v>
      </c>
      <c r="G11181" s="15" t="s">
        <v>5</v>
      </c>
      <c r="H11181" s="215"/>
    </row>
    <row r="11182" spans="1:8">
      <c r="A11182" s="211" t="s">
        <v>484</v>
      </c>
      <c r="B11182" s="216" t="str">
        <f ca="1">_xlfn.CONCAT(B11180,A11182)</f>
        <v>1CC10D9F-A</v>
      </c>
      <c r="C11182" s="17" t="str">
        <f>_xlfn.XLOOKUP(H11182,'Materiales unitario'!$A$1:$A$2500,'Materiales unitario'!B$1:B$2500,,0,1)</f>
        <v>Tubo metálico ø3/4" EMT</v>
      </c>
      <c r="D11182" s="184" t="str">
        <f>_xlfn.XLOOKUP(H11182,'Materiales unitario'!A$1:A$2500,'Materiales unitario'!C$1:C$2500,,0,1)</f>
        <v>ml</v>
      </c>
      <c r="E11182" s="197">
        <f>_xlfn.XLOOKUP(H11182,'Materiales unitario'!$A$1:$A$2500,'Materiales unitario'!D$1:D$2500,,0,1)</f>
        <v>11733</v>
      </c>
      <c r="F11182" s="19">
        <v>11</v>
      </c>
      <c r="G11182" s="20">
        <f t="shared" ref="G11182:G11190" si="318">+E11182*F11182</f>
        <v>129063</v>
      </c>
      <c r="H11182" s="211" t="s">
        <v>388</v>
      </c>
    </row>
    <row r="11183" spans="1:8">
      <c r="A11183" s="211" t="s">
        <v>485</v>
      </c>
      <c r="B11183" s="216" t="str">
        <f ca="1">_xlfn.CONCAT(B11180,A11183)</f>
        <v>1CC10D9F-B</v>
      </c>
      <c r="C11183" s="17" t="str">
        <f>_xlfn.XLOOKUP(H11183,'Materiales unitario'!$A$1:$A$2500,'Materiales unitario'!B$1:B$2500,,0,1)</f>
        <v>Unión metálica ø3/4" EMT</v>
      </c>
      <c r="D11183" s="184" t="str">
        <f>_xlfn.XLOOKUP(H11183,'Materiales unitario'!A$1:A$2500,'Materiales unitario'!C$1:C$2500,,0,1)</f>
        <v>un</v>
      </c>
      <c r="E11183" s="197">
        <f>_xlfn.XLOOKUP(H11183,'Materiales unitario'!$A$1:$A$2500,'Materiales unitario'!D$1:D$2500,,0,1)</f>
        <v>1800</v>
      </c>
      <c r="F11183" s="19">
        <v>4</v>
      </c>
      <c r="G11183" s="20">
        <f t="shared" si="318"/>
        <v>7200</v>
      </c>
      <c r="H11183" s="211" t="s">
        <v>392</v>
      </c>
    </row>
    <row r="11184" spans="1:8">
      <c r="A11184" s="211" t="s">
        <v>486</v>
      </c>
      <c r="B11184" s="216" t="str">
        <f ca="1">_xlfn.CONCAT(B11180,A11184)</f>
        <v>1CC10D9F-C</v>
      </c>
      <c r="C11184" s="17" t="str">
        <f>_xlfn.XLOOKUP(H11184,'Materiales unitario'!$A$1:$A$2500,'Materiales unitario'!B$1:B$2500,,0,1)</f>
        <v xml:space="preserve">Terminal metálico ø3/4" EMT </v>
      </c>
      <c r="D11184" s="184" t="str">
        <f>_xlfn.XLOOKUP(H11184,'Materiales unitario'!A$1:A$2500,'Materiales unitario'!C$1:C$2500,,0,1)</f>
        <v>un</v>
      </c>
      <c r="E11184" s="197">
        <f>_xlfn.XLOOKUP(H11184,'Materiales unitario'!$A$1:$A$2500,'Materiales unitario'!D$1:D$2500,,0,1)</f>
        <v>2200</v>
      </c>
      <c r="F11184" s="19">
        <v>2</v>
      </c>
      <c r="G11184" s="20">
        <f t="shared" si="318"/>
        <v>4400</v>
      </c>
      <c r="H11184" s="211" t="s">
        <v>371</v>
      </c>
    </row>
    <row r="11185" spans="1:8">
      <c r="A11185" s="211" t="s">
        <v>487</v>
      </c>
      <c r="B11185" s="216" t="str">
        <f ca="1">_xlfn.CONCAT(B11180,A11185)</f>
        <v>1CC10D9F-D</v>
      </c>
      <c r="C11185" s="17" t="str">
        <f>_xlfn.XLOOKUP(H11185,'Materiales unitario'!$A$1:$A$2500,'Materiales unitario'!B$1:B$2500,,0,1)</f>
        <v xml:space="preserve">Soporte Metálico Uniestruc Tubería ø3/4" </v>
      </c>
      <c r="D11185" s="184" t="str">
        <f>_xlfn.XLOOKUP(H11185,'Materiales unitario'!A$1:A$2500,'Materiales unitario'!C$1:C$2500,,0,1)</f>
        <v>un</v>
      </c>
      <c r="E11185" s="197">
        <f>_xlfn.XLOOKUP(H11185,'Materiales unitario'!$A$1:$A$2500,'Materiales unitario'!D$1:D$2500,,0,1)</f>
        <v>630</v>
      </c>
      <c r="F11185" s="19">
        <v>7</v>
      </c>
      <c r="G11185" s="20">
        <f t="shared" si="318"/>
        <v>4410</v>
      </c>
      <c r="H11185" s="211" t="s">
        <v>356</v>
      </c>
    </row>
    <row r="11186" spans="1:8">
      <c r="A11186" s="211" t="s">
        <v>488</v>
      </c>
      <c r="B11186" s="216" t="str">
        <f ca="1">_xlfn.CONCAT(B11180,A11186)</f>
        <v>1CC10D9F-E</v>
      </c>
      <c r="C11186" s="17" t="str">
        <f>_xlfn.XLOOKUP(H11186,'Materiales unitario'!$A$1:$A$2500,'Materiales unitario'!B$1:B$2500,,0,1)</f>
        <v>Alambre de cobre desnudo #12 AWG-ED</v>
      </c>
      <c r="D11186" s="184" t="str">
        <f>_xlfn.XLOOKUP(H11186,'Materiales unitario'!A$1:A$2500,'Materiales unitario'!C$1:C$2500,,0,1)</f>
        <v>ml</v>
      </c>
      <c r="E11186" s="197">
        <f>_xlfn.XLOOKUP(H11186,'Materiales unitario'!$A$1:$A$2500,'Materiales unitario'!D$1:D$2500,,0,1)</f>
        <v>2558.5</v>
      </c>
      <c r="F11186" s="19">
        <v>12</v>
      </c>
      <c r="G11186" s="20">
        <f t="shared" si="318"/>
        <v>30702</v>
      </c>
      <c r="H11186" s="211" t="s">
        <v>227</v>
      </c>
    </row>
    <row r="11187" spans="1:8">
      <c r="A11187" s="211" t="s">
        <v>489</v>
      </c>
      <c r="B11187" s="216" t="str">
        <f ca="1">_xlfn.CONCAT(B11180,A11187)</f>
        <v>1CC10D9F-F</v>
      </c>
      <c r="C11187" s="17" t="str">
        <f>_xlfn.XLOOKUP(H11187,'Materiales unitario'!$A$1:$A$2500,'Materiales unitario'!B$1:B$2500,,0,1)</f>
        <v>Alambre de cobre aislado #12 AWG-THHN/THWN Color negro</v>
      </c>
      <c r="D11187" s="184" t="str">
        <f>_xlfn.XLOOKUP(H11187,'Materiales unitario'!A$1:A$2500,'Materiales unitario'!C$1:C$2500,,0,1)</f>
        <v>ml</v>
      </c>
      <c r="E11187" s="197">
        <f>_xlfn.XLOOKUP(H11187,'Materiales unitario'!$A$1:$A$2500,'Materiales unitario'!D$1:D$2500,,0,1)</f>
        <v>2975</v>
      </c>
      <c r="F11187" s="19">
        <v>24</v>
      </c>
      <c r="G11187" s="20">
        <f t="shared" si="318"/>
        <v>71400</v>
      </c>
      <c r="H11187" s="211" t="s">
        <v>524</v>
      </c>
    </row>
    <row r="11188" spans="1:8">
      <c r="A11188" s="211" t="s">
        <v>490</v>
      </c>
      <c r="B11188" s="216" t="str">
        <f ca="1">_xlfn.CONCAT(B11180,A11188)</f>
        <v>1CC10D9F-G</v>
      </c>
      <c r="C11188" s="17" t="str">
        <f>_xlfn.XLOOKUP(H11188,'Materiales unitario'!$A$1:$A$2500,'Materiales unitario'!B$1:B$2500,,0,1)</f>
        <v>Conector de resorte rojo "R" 18-10 AWG</v>
      </c>
      <c r="D11188" s="184" t="str">
        <f>_xlfn.XLOOKUP(H11188,'Materiales unitario'!A$1:A$2500,'Materiales unitario'!C$1:C$2500,,0,1)</f>
        <v>un</v>
      </c>
      <c r="E11188" s="197">
        <f>_xlfn.XLOOKUP(H11188,'Materiales unitario'!$A$1:$A$2500,'Materiales unitario'!D$1:D$2500,,0,1)</f>
        <v>280</v>
      </c>
      <c r="F11188" s="19">
        <v>3</v>
      </c>
      <c r="G11188" s="20">
        <f t="shared" si="318"/>
        <v>840</v>
      </c>
      <c r="H11188" s="211" t="s">
        <v>302</v>
      </c>
    </row>
    <row r="11189" spans="1:8">
      <c r="A11189" s="211" t="s">
        <v>491</v>
      </c>
      <c r="B11189" s="216" t="str">
        <f ca="1">_xlfn.CONCAT(B11180,A11189)</f>
        <v>1CC10D9F-H</v>
      </c>
      <c r="C11189" s="17" t="str">
        <f>_xlfn.XLOOKUP(H11189,'Materiales unitario'!$A$1:$A$2500,'Materiales unitario'!B$1:B$2500,,0,1)</f>
        <v xml:space="preserve">Caja galvanizada ref. 2400 + suplemento (Cal. 20) </v>
      </c>
      <c r="D11189" s="184" t="str">
        <f>_xlfn.XLOOKUP(H11189,'Materiales unitario'!A$1:A$2500,'Materiales unitario'!C$1:C$2500,,0,1)</f>
        <v>un</v>
      </c>
      <c r="E11189" s="197">
        <f>_xlfn.XLOOKUP(H11189,'Materiales unitario'!$A$1:$A$2500,'Materiales unitario'!D$1:D$2500,,0,1)</f>
        <v>4522</v>
      </c>
      <c r="F11189" s="19">
        <v>1.05</v>
      </c>
      <c r="G11189" s="20">
        <f t="shared" si="318"/>
        <v>4748.1000000000004</v>
      </c>
      <c r="H11189" s="211" t="s">
        <v>283</v>
      </c>
    </row>
    <row r="11190" spans="1:8">
      <c r="A11190" s="211" t="s">
        <v>492</v>
      </c>
      <c r="B11190" s="216" t="str">
        <f ca="1">_xlfn.CONCAT(B11180,A11190)</f>
        <v>1CC10D9F-I</v>
      </c>
      <c r="C11190" s="17" t="str">
        <f>_xlfn.XLOOKUP(H11190,'Materiales unitario'!$A$1:$A$2500,'Materiales unitario'!B$1:B$2500,,0,1)</f>
        <v>Marquillas para circuito</v>
      </c>
      <c r="D11190" s="184" t="str">
        <f>_xlfn.XLOOKUP(H11190,'Materiales unitario'!A$1:A$2500,'Materiales unitario'!C$1:C$2500,,0,1)</f>
        <v>un</v>
      </c>
      <c r="E11190" s="197">
        <f>_xlfn.XLOOKUP(H11190,'Materiales unitario'!$A$1:$A$2500,'Materiales unitario'!D$1:D$2500,,0,1)</f>
        <v>1000</v>
      </c>
      <c r="F11190" s="19">
        <v>3</v>
      </c>
      <c r="G11190" s="20">
        <f t="shared" si="318"/>
        <v>3000</v>
      </c>
      <c r="H11190" s="211" t="s">
        <v>339</v>
      </c>
    </row>
    <row r="11191" spans="1:8">
      <c r="A11191" s="211" t="s">
        <v>493</v>
      </c>
      <c r="B11191" s="216" t="str">
        <f ca="1">_xlfn.CONCAT(B11180,A11191)</f>
        <v>1CC10D9F-J</v>
      </c>
      <c r="C11191" s="17"/>
      <c r="D11191" s="184"/>
      <c r="E11191" s="197"/>
      <c r="F11191" s="19"/>
      <c r="G11191" s="20"/>
    </row>
    <row r="11192" spans="1:8">
      <c r="A11192" s="211" t="s">
        <v>494</v>
      </c>
      <c r="B11192" s="216" t="str">
        <f ca="1">_xlfn.CONCAT(B11180,A11192)</f>
        <v>1CC10D9F-K</v>
      </c>
      <c r="C11192" s="17"/>
      <c r="D11192" s="184"/>
      <c r="E11192" s="197"/>
      <c r="F11192" s="19"/>
      <c r="G11192" s="20"/>
    </row>
    <row r="11193" spans="1:8">
      <c r="A11193" s="211" t="s">
        <v>495</v>
      </c>
      <c r="B11193" s="216" t="str">
        <f ca="1">_xlfn.CONCAT(B11180,A11193)</f>
        <v>1CC10D9F-L</v>
      </c>
      <c r="C11193" s="17"/>
      <c r="D11193" s="184"/>
      <c r="E11193" s="197"/>
      <c r="F11193" s="19"/>
      <c r="G11193" s="20"/>
    </row>
    <row r="11194" spans="1:8">
      <c r="A11194" s="211" t="s">
        <v>496</v>
      </c>
      <c r="B11194" s="216" t="str">
        <f ca="1">_xlfn.CONCAT(B11180,A11194)</f>
        <v>1CC10D9F-M</v>
      </c>
      <c r="C11194" s="17"/>
      <c r="D11194" s="184"/>
      <c r="E11194" s="197"/>
      <c r="F11194" s="19"/>
      <c r="G11194" s="20"/>
    </row>
    <row r="11195" spans="1:8">
      <c r="A11195" s="211" t="s">
        <v>497</v>
      </c>
      <c r="B11195" s="216" t="str">
        <f ca="1">_xlfn.CONCAT(B11180,A11195)</f>
        <v>1CC10D9F-N</v>
      </c>
      <c r="C11195" s="17"/>
      <c r="D11195" s="184"/>
      <c r="E11195" s="197"/>
      <c r="F11195" s="19"/>
      <c r="G11195" s="20"/>
    </row>
    <row r="11196" spans="1:8">
      <c r="A11196" s="211" t="s">
        <v>498</v>
      </c>
      <c r="B11196" s="216" t="str">
        <f ca="1">_xlfn.CONCAT(B11180,A11196)</f>
        <v>1CC10D9F-O</v>
      </c>
      <c r="C11196" s="17"/>
      <c r="D11196" s="184"/>
      <c r="E11196" s="197"/>
      <c r="F11196" s="19"/>
      <c r="G11196" s="20"/>
    </row>
    <row r="11197" spans="1:8">
      <c r="A11197" s="211" t="s">
        <v>499</v>
      </c>
      <c r="B11197" s="216" t="str">
        <f ca="1">_xlfn.CONCAT(B11180,A11197)</f>
        <v>1CC10D9F-P</v>
      </c>
      <c r="C11197" s="17"/>
      <c r="D11197" s="184"/>
      <c r="E11197" s="197"/>
      <c r="F11197" s="19"/>
      <c r="G11197" s="20"/>
    </row>
    <row r="11198" spans="1:8">
      <c r="A11198" s="211" t="s">
        <v>500</v>
      </c>
      <c r="B11198" s="216" t="str">
        <f ca="1">_xlfn.CONCAT(B11180,A11198)</f>
        <v>1CC10D9F-Q</v>
      </c>
      <c r="C11198" s="17"/>
      <c r="D11198" s="184"/>
      <c r="E11198" s="197"/>
      <c r="F11198" s="19"/>
      <c r="G11198" s="20"/>
    </row>
    <row r="11199" spans="1:8">
      <c r="A11199" s="211" t="s">
        <v>501</v>
      </c>
      <c r="B11199" s="216" t="str">
        <f ca="1">_xlfn.CONCAT(B11180,A11199)</f>
        <v>1CC10D9F-R</v>
      </c>
      <c r="C11199" s="17"/>
      <c r="D11199" s="184"/>
      <c r="E11199" s="197"/>
      <c r="F11199" s="19"/>
      <c r="G11199" s="20"/>
    </row>
    <row r="11200" spans="1:8">
      <c r="A11200" s="211" t="s">
        <v>502</v>
      </c>
      <c r="B11200" s="216" t="str">
        <f ca="1">_xlfn.CONCAT(B11180,A11200)</f>
        <v>1CC10D9F-S</v>
      </c>
      <c r="C11200" s="17"/>
      <c r="D11200" s="184"/>
      <c r="E11200" s="197"/>
      <c r="F11200" s="19"/>
      <c r="G11200" s="20"/>
    </row>
    <row r="11201" spans="1:8">
      <c r="A11201" s="211" t="s">
        <v>503</v>
      </c>
      <c r="B11201" s="216" t="str">
        <f ca="1">_xlfn.CONCAT(B11180,A11201)</f>
        <v>1CC10D9F-T</v>
      </c>
      <c r="C11201" s="17"/>
      <c r="D11201" s="184"/>
      <c r="E11201" s="197"/>
      <c r="F11201" s="19"/>
      <c r="G11201" s="20"/>
    </row>
    <row r="11202" spans="1:8" ht="14.25" thickBot="1">
      <c r="A11202" s="211" t="s">
        <v>504</v>
      </c>
      <c r="B11202" s="216" t="str">
        <f ca="1">_xlfn.CONCAT(B11180,A11202)</f>
        <v>1CC10D9F-U</v>
      </c>
      <c r="C11202" s="17"/>
      <c r="D11202" s="184"/>
      <c r="E11202" s="197"/>
      <c r="F11202" s="19"/>
      <c r="G11202" s="20"/>
    </row>
    <row r="11203" spans="1:8" ht="14.25" thickBot="1">
      <c r="A11203" s="211" t="s">
        <v>505</v>
      </c>
      <c r="B11203" s="216" t="str">
        <f ca="1">_xlfn.CONCAT(B11180,A11203)</f>
        <v>1CC10D9F-V</v>
      </c>
      <c r="C11203" s="17" t="s">
        <v>17</v>
      </c>
      <c r="D11203" s="192" t="s">
        <v>17</v>
      </c>
      <c r="E11203" s="18"/>
      <c r="F11203" s="22" t="s">
        <v>18</v>
      </c>
      <c r="G11203" s="23">
        <f>SUM(G11182:G11202)</f>
        <v>255763.1</v>
      </c>
    </row>
    <row r="11204" spans="1:8" ht="15.75" thickBot="1">
      <c r="A11204" s="211" t="s">
        <v>506</v>
      </c>
      <c r="B11204" s="216" t="str">
        <f ca="1">_xlfn.CONCAT(B11180,A11204)</f>
        <v>1CC10D9F-W</v>
      </c>
      <c r="C11204" s="10" t="s">
        <v>19</v>
      </c>
      <c r="D11204" s="190"/>
      <c r="E11204" s="11"/>
      <c r="F11204" s="12"/>
      <c r="G11204" s="13"/>
    </row>
    <row r="11205" spans="1:8" ht="14.25" thickBot="1">
      <c r="A11205" s="211" t="s">
        <v>507</v>
      </c>
      <c r="B11205" s="216" t="str">
        <f ca="1">_xlfn.CONCAT(B11180,A11205)</f>
        <v>1CC10D9F-X</v>
      </c>
      <c r="C11205" s="14" t="s">
        <v>1</v>
      </c>
      <c r="D11205" s="15"/>
      <c r="E11205" s="15" t="s">
        <v>20</v>
      </c>
      <c r="F11205" s="16" t="s">
        <v>21</v>
      </c>
      <c r="G11205" s="15" t="s">
        <v>5</v>
      </c>
      <c r="H11205" s="215"/>
    </row>
    <row r="11206" spans="1:8">
      <c r="A11206" s="211" t="s">
        <v>508</v>
      </c>
      <c r="B11206" s="216" t="str">
        <f ca="1">_xlfn.CONCAT(B11180,A11206)</f>
        <v>1CC10D9F-Y</v>
      </c>
      <c r="C11206" s="24" t="s">
        <v>22</v>
      </c>
      <c r="D11206" s="184"/>
      <c r="E11206" s="25">
        <f>_xlfn.XLOOKUP(C11206,'H-MO'!B$7:B$30,'H-MO'!D$7:D$30,,0,1)</f>
        <v>2436.5624999999995</v>
      </c>
      <c r="F11206" s="19">
        <v>0.6</v>
      </c>
      <c r="G11206" s="33">
        <f t="shared" ref="G11206:G11211" si="319">+E11206*F11206</f>
        <v>1461.9374999999998</v>
      </c>
    </row>
    <row r="11207" spans="1:8">
      <c r="A11207" s="211" t="s">
        <v>509</v>
      </c>
      <c r="B11207" s="216" t="str">
        <f ca="1">_xlfn.CONCAT(B11180,A11207)</f>
        <v>1CC10D9F-Z</v>
      </c>
      <c r="C11207" s="24" t="s">
        <v>23</v>
      </c>
      <c r="D11207" s="184"/>
      <c r="E11207" s="25">
        <f>_xlfn.XLOOKUP(C11207,'H-MO'!B$7:B$30,'H-MO'!D$7:D$30,,0,1)</f>
        <v>1461.9374999999998</v>
      </c>
      <c r="F11207" s="19">
        <v>9.8000000000000004E-2</v>
      </c>
      <c r="G11207" s="33">
        <f t="shared" si="319"/>
        <v>143.26987499999998</v>
      </c>
    </row>
    <row r="11208" spans="1:8">
      <c r="A11208" s="211" t="s">
        <v>510</v>
      </c>
      <c r="B11208" s="216" t="str">
        <f ca="1">_xlfn.CONCAT(B11180,A11208)</f>
        <v>1CC10D9F-aa</v>
      </c>
      <c r="C11208" s="24" t="s">
        <v>24</v>
      </c>
      <c r="D11208" s="185"/>
      <c r="E11208" s="25">
        <f>_xlfn.XLOOKUP(C11208,'H-MO'!B$7:B$30,'H-MO'!D$7:D$30,,0,1)</f>
        <v>29238.749999999996</v>
      </c>
      <c r="F11208" s="28">
        <v>2E-3</v>
      </c>
      <c r="G11208" s="33">
        <f t="shared" si="319"/>
        <v>58.477499999999992</v>
      </c>
    </row>
    <row r="11209" spans="1:8">
      <c r="A11209" s="211" t="s">
        <v>511</v>
      </c>
      <c r="B11209" s="216" t="str">
        <f ca="1">_xlfn.CONCAT(B11180,A11209)</f>
        <v>1CC10D9F-ab</v>
      </c>
      <c r="C11209" s="24" t="s">
        <v>25</v>
      </c>
      <c r="D11209" s="185"/>
      <c r="E11209" s="25">
        <f>_xlfn.XLOOKUP(C11209,'H-MO'!B$7:B$30,'H-MO'!D$7:D$30,,0,1)</f>
        <v>2761.4374999999995</v>
      </c>
      <c r="F11209" s="28">
        <v>0.5</v>
      </c>
      <c r="G11209" s="33">
        <f t="shared" si="319"/>
        <v>1380.7187499999998</v>
      </c>
    </row>
    <row r="11210" spans="1:8">
      <c r="A11210" s="211" t="s">
        <v>512</v>
      </c>
      <c r="B11210" s="216" t="str">
        <f ca="1">_xlfn.CONCAT(B11180,A11210)</f>
        <v>1CC10D9F-ac</v>
      </c>
      <c r="C11210" s="24"/>
      <c r="D11210" s="185"/>
      <c r="E11210" s="29"/>
      <c r="F11210" s="28"/>
      <c r="G11210" s="33">
        <f t="shared" si="319"/>
        <v>0</v>
      </c>
    </row>
    <row r="11211" spans="1:8" ht="14.25" thickBot="1">
      <c r="A11211" s="211" t="s">
        <v>513</v>
      </c>
      <c r="B11211" s="216" t="str">
        <f ca="1">_xlfn.CONCAT(B11180,A11211)</f>
        <v>1CC10D9F-ad</v>
      </c>
      <c r="C11211" s="24"/>
      <c r="D11211" s="185"/>
      <c r="E11211" s="29"/>
      <c r="F11211" s="28"/>
      <c r="G11211" s="33">
        <f t="shared" si="319"/>
        <v>0</v>
      </c>
    </row>
    <row r="11212" spans="1:8" ht="14.25" thickBot="1">
      <c r="A11212" s="211" t="s">
        <v>514</v>
      </c>
      <c r="B11212" s="216" t="str">
        <f ca="1">_xlfn.CONCAT(B11180,A11212)</f>
        <v>1CC10D9F-ae</v>
      </c>
      <c r="C11212" s="17"/>
      <c r="D11212" s="192"/>
      <c r="E11212" s="18"/>
      <c r="F11212" s="22" t="s">
        <v>26</v>
      </c>
      <c r="G11212" s="23">
        <f>SUM(G11206:G11211)</f>
        <v>3044.4036249999995</v>
      </c>
    </row>
    <row r="11213" spans="1:8" ht="15.75" thickBot="1">
      <c r="A11213" s="211" t="s">
        <v>515</v>
      </c>
      <c r="B11213" s="216" t="str">
        <f ca="1">_xlfn.CONCAT(B11180,A11213)</f>
        <v>1CC10D9F-af</v>
      </c>
      <c r="C11213" s="10" t="s">
        <v>27</v>
      </c>
      <c r="D11213" s="190"/>
      <c r="E11213" s="11"/>
      <c r="F11213" s="12"/>
      <c r="G11213" s="13"/>
    </row>
    <row r="11214" spans="1:8" ht="14.25" thickBot="1">
      <c r="A11214" s="211" t="s">
        <v>516</v>
      </c>
      <c r="B11214" s="216" t="str">
        <f ca="1">_xlfn.CONCAT(B11180,A11214)</f>
        <v>1CC10D9F-ag</v>
      </c>
      <c r="C11214" s="14" t="s">
        <v>1</v>
      </c>
      <c r="D11214" s="15" t="s">
        <v>28</v>
      </c>
      <c r="E11214" s="15" t="s">
        <v>20</v>
      </c>
      <c r="F11214" s="16" t="s">
        <v>21</v>
      </c>
      <c r="G11214" s="15" t="s">
        <v>5</v>
      </c>
      <c r="H11214" s="215"/>
    </row>
    <row r="11215" spans="1:8">
      <c r="A11215" s="211" t="s">
        <v>517</v>
      </c>
      <c r="B11215" s="216" t="str">
        <f ca="1">_xlfn.CONCAT(B11180,A11215)</f>
        <v>1CC10D9F-ah</v>
      </c>
      <c r="C11215" s="30" t="s">
        <v>29</v>
      </c>
      <c r="D11215" s="186">
        <f>'H-MO'!$N$77</f>
        <v>725918.52892505517</v>
      </c>
      <c r="E11215" s="31">
        <f>+D11215/8</f>
        <v>90739.816115631897</v>
      </c>
      <c r="F11215" s="32">
        <v>0.6</v>
      </c>
      <c r="G11215" s="33">
        <f>+E11215*F11215</f>
        <v>54443.889669379139</v>
      </c>
    </row>
    <row r="11216" spans="1:8">
      <c r="A11216" s="211" t="s">
        <v>518</v>
      </c>
      <c r="B11216" s="216" t="str">
        <f ca="1">_xlfn.CONCAT(B11180,A11216)</f>
        <v>1CC10D9F-ai</v>
      </c>
      <c r="C11216" s="34" t="s">
        <v>30</v>
      </c>
      <c r="D11216" s="187">
        <f>'H-MO'!$N$86</f>
        <v>685561.39085756091</v>
      </c>
      <c r="E11216" s="29">
        <f>+D11216/8</f>
        <v>85695.173857195114</v>
      </c>
      <c r="F11216" s="28">
        <v>0</v>
      </c>
      <c r="G11216" s="33">
        <f>+E11216*F11216</f>
        <v>0</v>
      </c>
    </row>
    <row r="11217" spans="1:8" ht="14.25" thickBot="1">
      <c r="A11217" s="211" t="s">
        <v>519</v>
      </c>
      <c r="B11217" s="216" t="str">
        <f ca="1">_xlfn.CONCAT(B11180,A11217)</f>
        <v>1CC10D9F-aj</v>
      </c>
      <c r="C11217" s="34"/>
      <c r="D11217" s="187"/>
      <c r="E11217" s="29"/>
      <c r="F11217" s="28"/>
      <c r="G11217" s="33">
        <f>+E11217*F11217</f>
        <v>0</v>
      </c>
    </row>
    <row r="11218" spans="1:8" ht="14.25" thickBot="1">
      <c r="A11218" s="211" t="s">
        <v>520</v>
      </c>
      <c r="B11218" s="216" t="str">
        <f ca="1">_xlfn.CONCAT(B11180,A11218)</f>
        <v>1CC10D9F-ak</v>
      </c>
      <c r="C11218" s="34"/>
      <c r="D11218" s="185"/>
      <c r="E11218" s="26"/>
      <c r="F11218" s="36" t="s">
        <v>31</v>
      </c>
      <c r="G11218" s="23">
        <f>SUM(G11215:G11217)</f>
        <v>54443.889669379139</v>
      </c>
    </row>
    <row r="11219" spans="1:8" ht="14.25" thickBot="1">
      <c r="A11219" s="211" t="s">
        <v>521</v>
      </c>
      <c r="B11219" s="216" t="str">
        <f ca="1">_xlfn.CONCAT(B11180,A11219)</f>
        <v>1CC10D9F-al</v>
      </c>
      <c r="C11219" s="37"/>
      <c r="E11219" s="38"/>
      <c r="F11219" s="22"/>
      <c r="G11219" s="39"/>
    </row>
    <row r="11220" spans="1:8" ht="16.5" thickBot="1">
      <c r="A11220" s="211" t="s">
        <v>522</v>
      </c>
      <c r="B11220" s="216" t="str">
        <f ca="1">_xlfn.CONCAT(B11180,A11220)</f>
        <v>1CC10D9F-am</v>
      </c>
      <c r="C11220" s="40"/>
      <c r="D11220" s="193"/>
      <c r="E11220" s="41"/>
      <c r="F11220" s="42"/>
      <c r="G11220" s="43">
        <f>+G11203+G11212+G11218</f>
        <v>313251.39329437917</v>
      </c>
    </row>
    <row r="11221" spans="1:8" ht="21.75" thickBot="1">
      <c r="B11221" s="212" t="s">
        <v>550</v>
      </c>
      <c r="C11221" s="2"/>
      <c r="D11221" s="183"/>
      <c r="F11221" s="4"/>
      <c r="G11221" s="5"/>
    </row>
    <row r="11222" spans="1:8" ht="18.75">
      <c r="A11222" s="213"/>
      <c r="B11222" s="214">
        <v>255</v>
      </c>
      <c r="C11222" s="242" t="str">
        <f ca="1">_xlfn.XLOOKUP(B11222,Cantidades!$A$10:$A$314,Cantidades!$C$10:$C$314,,0,1)</f>
        <v>Salida interruptor conmutable en tuberia EMT 3/4, promedio 5m.</v>
      </c>
      <c r="D11222" s="243"/>
      <c r="E11222" s="243"/>
      <c r="F11222" s="243"/>
      <c r="G11222" s="244"/>
      <c r="H11222" s="213"/>
    </row>
    <row r="11223" spans="1:8" ht="19.5" thickBot="1">
      <c r="A11223" s="215"/>
      <c r="B11223" s="216" t="s">
        <v>550</v>
      </c>
      <c r="C11223" s="177"/>
      <c r="D11223" s="189"/>
      <c r="E11223" s="178"/>
      <c r="F11223" s="179" t="s">
        <v>636</v>
      </c>
      <c r="G11223" s="209" t="str">
        <f ca="1">B11224</f>
        <v>1FF56743-</v>
      </c>
      <c r="H11223" s="215"/>
    </row>
    <row r="11224" spans="1:8" ht="15.75" thickBot="1">
      <c r="B11224" s="212" t="str">
        <f ca="1">_xlfn.XLOOKUP(C11222,Cantidades!$C$1:$C$314,Cantidades!$B$1:$B$314,"",0,1)</f>
        <v>1FF56743-</v>
      </c>
      <c r="C11224" s="10" t="s">
        <v>0</v>
      </c>
      <c r="D11224" s="190"/>
      <c r="E11224" s="11"/>
      <c r="F11224" s="12"/>
      <c r="G11224" s="13"/>
    </row>
    <row r="11225" spans="1:8" ht="14.25" thickBot="1">
      <c r="A11225" s="215"/>
      <c r="B11225" s="216" t="s">
        <v>550</v>
      </c>
      <c r="C11225" s="14" t="s">
        <v>1</v>
      </c>
      <c r="D11225" s="15" t="s">
        <v>2</v>
      </c>
      <c r="E11225" s="15" t="s">
        <v>3</v>
      </c>
      <c r="F11225" s="16" t="s">
        <v>4</v>
      </c>
      <c r="G11225" s="15" t="s">
        <v>5</v>
      </c>
      <c r="H11225" s="215"/>
    </row>
    <row r="11226" spans="1:8">
      <c r="A11226" s="211" t="s">
        <v>484</v>
      </c>
      <c r="B11226" s="216" t="str">
        <f ca="1">_xlfn.CONCAT(B11224,A11226)</f>
        <v>1FF56743-A</v>
      </c>
      <c r="C11226" s="17" t="str">
        <f>_xlfn.XLOOKUP(H11226,'Materiales unitario'!$A$1:$A$2500,'Materiales unitario'!B$1:B$2500,,0,1)</f>
        <v>Tubo metálico ø3/4" EMT</v>
      </c>
      <c r="D11226" s="184" t="str">
        <f>_xlfn.XLOOKUP(H11226,'Materiales unitario'!A$1:A$2500,'Materiales unitario'!C$1:C$2500,,0,1)</f>
        <v>ml</v>
      </c>
      <c r="E11226" s="197">
        <f>_xlfn.XLOOKUP(H11226,'Materiales unitario'!$A$1:$A$2500,'Materiales unitario'!D$1:D$2500,,0,1)</f>
        <v>11733</v>
      </c>
      <c r="F11226" s="19">
        <v>5.5</v>
      </c>
      <c r="G11226" s="20">
        <f t="shared" ref="G11226:G11234" si="320">+E11226*F11226</f>
        <v>64531.5</v>
      </c>
      <c r="H11226" s="211" t="s">
        <v>388</v>
      </c>
    </row>
    <row r="11227" spans="1:8">
      <c r="A11227" s="211" t="s">
        <v>485</v>
      </c>
      <c r="B11227" s="216" t="str">
        <f ca="1">_xlfn.CONCAT(B11224,A11227)</f>
        <v>1FF56743-B</v>
      </c>
      <c r="C11227" s="17" t="str">
        <f>_xlfn.XLOOKUP(H11227,'Materiales unitario'!$A$1:$A$2500,'Materiales unitario'!B$1:B$2500,,0,1)</f>
        <v>Unión metálica ø3/4" EMT</v>
      </c>
      <c r="D11227" s="184" t="str">
        <f>_xlfn.XLOOKUP(H11227,'Materiales unitario'!A$1:A$2500,'Materiales unitario'!C$1:C$2500,,0,1)</f>
        <v>un</v>
      </c>
      <c r="E11227" s="197">
        <f>_xlfn.XLOOKUP(H11227,'Materiales unitario'!$A$1:$A$2500,'Materiales unitario'!D$1:D$2500,,0,1)</f>
        <v>1800</v>
      </c>
      <c r="F11227" s="19">
        <v>2</v>
      </c>
      <c r="G11227" s="20">
        <f t="shared" si="320"/>
        <v>3600</v>
      </c>
      <c r="H11227" s="211" t="s">
        <v>392</v>
      </c>
    </row>
    <row r="11228" spans="1:8">
      <c r="A11228" s="211" t="s">
        <v>486</v>
      </c>
      <c r="B11228" s="216" t="str">
        <f ca="1">_xlfn.CONCAT(B11224,A11228)</f>
        <v>1FF56743-C</v>
      </c>
      <c r="C11228" s="17" t="str">
        <f>_xlfn.XLOOKUP(H11228,'Materiales unitario'!$A$1:$A$2500,'Materiales unitario'!B$1:B$2500,,0,1)</f>
        <v xml:space="preserve">Terminal metálico ø3/4" EMT </v>
      </c>
      <c r="D11228" s="184" t="str">
        <f>_xlfn.XLOOKUP(H11228,'Materiales unitario'!A$1:A$2500,'Materiales unitario'!C$1:C$2500,,0,1)</f>
        <v>un</v>
      </c>
      <c r="E11228" s="197">
        <f>_xlfn.XLOOKUP(H11228,'Materiales unitario'!$A$1:$A$2500,'Materiales unitario'!D$1:D$2500,,0,1)</f>
        <v>2200</v>
      </c>
      <c r="F11228" s="19">
        <v>2</v>
      </c>
      <c r="G11228" s="20">
        <f t="shared" si="320"/>
        <v>4400</v>
      </c>
      <c r="H11228" s="211" t="s">
        <v>371</v>
      </c>
    </row>
    <row r="11229" spans="1:8">
      <c r="A11229" s="211" t="s">
        <v>487</v>
      </c>
      <c r="B11229" s="216" t="str">
        <f ca="1">_xlfn.CONCAT(B11224,A11229)</f>
        <v>1FF56743-D</v>
      </c>
      <c r="C11229" s="17" t="str">
        <f>_xlfn.XLOOKUP(H11229,'Materiales unitario'!$A$1:$A$2500,'Materiales unitario'!B$1:B$2500,,0,1)</f>
        <v xml:space="preserve">Soporte Metálico Uniestruc Tubería ø3/4" </v>
      </c>
      <c r="D11229" s="184" t="str">
        <f>_xlfn.XLOOKUP(H11229,'Materiales unitario'!A$1:A$2500,'Materiales unitario'!C$1:C$2500,,0,1)</f>
        <v>un</v>
      </c>
      <c r="E11229" s="197">
        <f>_xlfn.XLOOKUP(H11229,'Materiales unitario'!$A$1:$A$2500,'Materiales unitario'!D$1:D$2500,,0,1)</f>
        <v>630</v>
      </c>
      <c r="F11229" s="19">
        <v>4</v>
      </c>
      <c r="G11229" s="20">
        <f t="shared" si="320"/>
        <v>2520</v>
      </c>
      <c r="H11229" s="211" t="s">
        <v>356</v>
      </c>
    </row>
    <row r="11230" spans="1:8">
      <c r="A11230" s="211" t="s">
        <v>488</v>
      </c>
      <c r="B11230" s="216" t="str">
        <f ca="1">_xlfn.CONCAT(B11224,A11230)</f>
        <v>1FF56743-E</v>
      </c>
      <c r="C11230" s="17" t="str">
        <f>_xlfn.XLOOKUP(H11230,'Materiales unitario'!$A$1:$A$2500,'Materiales unitario'!B$1:B$2500,,0,1)</f>
        <v>Alambre de cobre desnudo #12 AWG-ED</v>
      </c>
      <c r="D11230" s="184" t="str">
        <f>_xlfn.XLOOKUP(H11230,'Materiales unitario'!A$1:A$2500,'Materiales unitario'!C$1:C$2500,,0,1)</f>
        <v>ml</v>
      </c>
      <c r="E11230" s="197">
        <f>_xlfn.XLOOKUP(H11230,'Materiales unitario'!$A$1:$A$2500,'Materiales unitario'!D$1:D$2500,,0,1)</f>
        <v>2558.5</v>
      </c>
      <c r="F11230" s="19">
        <v>6.2</v>
      </c>
      <c r="G11230" s="20">
        <f t="shared" si="320"/>
        <v>15862.7</v>
      </c>
      <c r="H11230" s="211" t="s">
        <v>227</v>
      </c>
    </row>
    <row r="11231" spans="1:8">
      <c r="A11231" s="211" t="s">
        <v>489</v>
      </c>
      <c r="B11231" s="216" t="str">
        <f ca="1">_xlfn.CONCAT(B11224,A11231)</f>
        <v>1FF56743-F</v>
      </c>
      <c r="C11231" s="17" t="str">
        <f>_xlfn.XLOOKUP(H11231,'Materiales unitario'!$A$1:$A$2500,'Materiales unitario'!B$1:B$2500,,0,1)</f>
        <v>Alambre de cobre aislado #12 AWG-THHN/THWN Color negro</v>
      </c>
      <c r="D11231" s="184" t="str">
        <f>_xlfn.XLOOKUP(H11231,'Materiales unitario'!A$1:A$2500,'Materiales unitario'!C$1:C$2500,,0,1)</f>
        <v>ml</v>
      </c>
      <c r="E11231" s="197">
        <f>_xlfn.XLOOKUP(H11231,'Materiales unitario'!$A$1:$A$2500,'Materiales unitario'!D$1:D$2500,,0,1)</f>
        <v>2975</v>
      </c>
      <c r="F11231" s="19">
        <v>19</v>
      </c>
      <c r="G11231" s="20">
        <f t="shared" si="320"/>
        <v>56525</v>
      </c>
      <c r="H11231" s="211" t="s">
        <v>524</v>
      </c>
    </row>
    <row r="11232" spans="1:8">
      <c r="A11232" s="211" t="s">
        <v>490</v>
      </c>
      <c r="B11232" s="216" t="str">
        <f ca="1">_xlfn.CONCAT(B11224,A11232)</f>
        <v>1FF56743-G</v>
      </c>
      <c r="C11232" s="17" t="str">
        <f>_xlfn.XLOOKUP(H11232,'Materiales unitario'!$A$1:$A$2500,'Materiales unitario'!B$1:B$2500,,0,1)</f>
        <v>Conector de resorte rojo "R" 18-10 AWG</v>
      </c>
      <c r="D11232" s="184" t="str">
        <f>_xlfn.XLOOKUP(H11232,'Materiales unitario'!A$1:A$2500,'Materiales unitario'!C$1:C$2500,,0,1)</f>
        <v>un</v>
      </c>
      <c r="E11232" s="197">
        <f>_xlfn.XLOOKUP(H11232,'Materiales unitario'!$A$1:$A$2500,'Materiales unitario'!D$1:D$2500,,0,1)</f>
        <v>280</v>
      </c>
      <c r="F11232" s="19">
        <v>3</v>
      </c>
      <c r="G11232" s="20">
        <f t="shared" si="320"/>
        <v>840</v>
      </c>
      <c r="H11232" s="211" t="s">
        <v>302</v>
      </c>
    </row>
    <row r="11233" spans="1:8">
      <c r="A11233" s="211" t="s">
        <v>491</v>
      </c>
      <c r="B11233" s="216" t="str">
        <f ca="1">_xlfn.CONCAT(B11224,A11233)</f>
        <v>1FF56743-H</v>
      </c>
      <c r="C11233" s="17" t="str">
        <f>_xlfn.XLOOKUP(H11233,'Materiales unitario'!$A$1:$A$2500,'Materiales unitario'!B$1:B$2500,,0,1)</f>
        <v xml:space="preserve">Caja galvanizada ref. 2400 + suplemento (Cal. 20) </v>
      </c>
      <c r="D11233" s="184" t="str">
        <f>_xlfn.XLOOKUP(H11233,'Materiales unitario'!A$1:A$2500,'Materiales unitario'!C$1:C$2500,,0,1)</f>
        <v>un</v>
      </c>
      <c r="E11233" s="197">
        <f>_xlfn.XLOOKUP(H11233,'Materiales unitario'!$A$1:$A$2500,'Materiales unitario'!D$1:D$2500,,0,1)</f>
        <v>4522</v>
      </c>
      <c r="F11233" s="19">
        <v>1.05</v>
      </c>
      <c r="G11233" s="20">
        <f t="shared" si="320"/>
        <v>4748.1000000000004</v>
      </c>
      <c r="H11233" s="211" t="s">
        <v>283</v>
      </c>
    </row>
    <row r="11234" spans="1:8">
      <c r="A11234" s="211" t="s">
        <v>492</v>
      </c>
      <c r="B11234" s="216" t="str">
        <f ca="1">_xlfn.CONCAT(B11224,A11234)</f>
        <v>1FF56743-I</v>
      </c>
      <c r="C11234" s="17" t="str">
        <f>_xlfn.XLOOKUP(H11234,'Materiales unitario'!$A$1:$A$2500,'Materiales unitario'!B$1:B$2500,,0,1)</f>
        <v>Marquillas para circuito</v>
      </c>
      <c r="D11234" s="184" t="str">
        <f>_xlfn.XLOOKUP(H11234,'Materiales unitario'!A$1:A$2500,'Materiales unitario'!C$1:C$2500,,0,1)</f>
        <v>un</v>
      </c>
      <c r="E11234" s="197">
        <f>_xlfn.XLOOKUP(H11234,'Materiales unitario'!$A$1:$A$2500,'Materiales unitario'!D$1:D$2500,,0,1)</f>
        <v>1000</v>
      </c>
      <c r="F11234" s="19">
        <v>1</v>
      </c>
      <c r="G11234" s="20">
        <f t="shared" si="320"/>
        <v>1000</v>
      </c>
      <c r="H11234" s="211" t="s">
        <v>339</v>
      </c>
    </row>
    <row r="11235" spans="1:8">
      <c r="A11235" s="211" t="s">
        <v>493</v>
      </c>
      <c r="B11235" s="216" t="str">
        <f ca="1">_xlfn.CONCAT(B11224,A11235)</f>
        <v>1FF56743-J</v>
      </c>
      <c r="C11235" s="17" t="str">
        <f>_xlfn.XLOOKUP(H11235,'Materiales unitario'!$A$1:$A$2500,'Materiales unitario'!B$1:B$2500,,0,1)</f>
        <v>Interruptor conmutable Genesis</v>
      </c>
      <c r="D11235" s="184" t="str">
        <f>_xlfn.XLOOKUP(H11235,'Materiales unitario'!A$1:A$2500,'Materiales unitario'!C$1:C$2500,,0,1)</f>
        <v>un</v>
      </c>
      <c r="E11235" s="197">
        <f>_xlfn.XLOOKUP(H11235,'Materiales unitario'!$A$1:$A$2500,'Materiales unitario'!D$1:D$2500,,0,1)</f>
        <v>8100</v>
      </c>
      <c r="F11235" s="19">
        <v>1</v>
      </c>
      <c r="G11235" s="20">
        <f t="shared" ref="G11235" si="321">+E11235*F11235</f>
        <v>8100</v>
      </c>
      <c r="H11235" s="211" t="s">
        <v>1748</v>
      </c>
    </row>
    <row r="11236" spans="1:8">
      <c r="A11236" s="211" t="s">
        <v>494</v>
      </c>
      <c r="B11236" s="216" t="str">
        <f ca="1">_xlfn.CONCAT(B11224,A11236)</f>
        <v>1FF56743-K</v>
      </c>
      <c r="C11236" s="17"/>
      <c r="D11236" s="184"/>
      <c r="E11236" s="197"/>
      <c r="F11236" s="19"/>
      <c r="G11236" s="20"/>
    </row>
    <row r="11237" spans="1:8">
      <c r="A11237" s="211" t="s">
        <v>495</v>
      </c>
      <c r="B11237" s="216" t="str">
        <f ca="1">_xlfn.CONCAT(B11224,A11237)</f>
        <v>1FF56743-L</v>
      </c>
      <c r="C11237" s="17"/>
      <c r="D11237" s="184"/>
      <c r="E11237" s="197"/>
      <c r="F11237" s="19"/>
      <c r="G11237" s="20"/>
    </row>
    <row r="11238" spans="1:8">
      <c r="A11238" s="211" t="s">
        <v>496</v>
      </c>
      <c r="B11238" s="216" t="str">
        <f ca="1">_xlfn.CONCAT(B11224,A11238)</f>
        <v>1FF56743-M</v>
      </c>
      <c r="C11238" s="17"/>
      <c r="D11238" s="184"/>
      <c r="E11238" s="197"/>
      <c r="F11238" s="19"/>
      <c r="G11238" s="20"/>
    </row>
    <row r="11239" spans="1:8">
      <c r="A11239" s="211" t="s">
        <v>497</v>
      </c>
      <c r="B11239" s="216" t="str">
        <f ca="1">_xlfn.CONCAT(B11224,A11239)</f>
        <v>1FF56743-N</v>
      </c>
      <c r="C11239" s="17"/>
      <c r="D11239" s="184"/>
      <c r="E11239" s="197"/>
      <c r="F11239" s="19"/>
      <c r="G11239" s="20"/>
    </row>
    <row r="11240" spans="1:8">
      <c r="A11240" s="211" t="s">
        <v>498</v>
      </c>
      <c r="B11240" s="216" t="str">
        <f ca="1">_xlfn.CONCAT(B11224,A11240)</f>
        <v>1FF56743-O</v>
      </c>
      <c r="C11240" s="17"/>
      <c r="D11240" s="184"/>
      <c r="E11240" s="197"/>
      <c r="F11240" s="19"/>
      <c r="G11240" s="20"/>
    </row>
    <row r="11241" spans="1:8">
      <c r="A11241" s="211" t="s">
        <v>499</v>
      </c>
      <c r="B11241" s="216" t="str">
        <f ca="1">_xlfn.CONCAT(B11224,A11241)</f>
        <v>1FF56743-P</v>
      </c>
      <c r="C11241" s="17"/>
      <c r="D11241" s="184"/>
      <c r="E11241" s="197"/>
      <c r="F11241" s="19"/>
      <c r="G11241" s="20"/>
    </row>
    <row r="11242" spans="1:8">
      <c r="A11242" s="211" t="s">
        <v>500</v>
      </c>
      <c r="B11242" s="216" t="str">
        <f ca="1">_xlfn.CONCAT(B11224,A11242)</f>
        <v>1FF56743-Q</v>
      </c>
      <c r="C11242" s="17"/>
      <c r="D11242" s="184"/>
      <c r="E11242" s="197"/>
      <c r="F11242" s="19"/>
      <c r="G11242" s="20"/>
    </row>
    <row r="11243" spans="1:8">
      <c r="A11243" s="211" t="s">
        <v>501</v>
      </c>
      <c r="B11243" s="216" t="str">
        <f ca="1">_xlfn.CONCAT(B11224,A11243)</f>
        <v>1FF56743-R</v>
      </c>
      <c r="C11243" s="17"/>
      <c r="D11243" s="184"/>
      <c r="E11243" s="197"/>
      <c r="F11243" s="19"/>
      <c r="G11243" s="20"/>
    </row>
    <row r="11244" spans="1:8">
      <c r="A11244" s="211" t="s">
        <v>502</v>
      </c>
      <c r="B11244" s="216" t="str">
        <f ca="1">_xlfn.CONCAT(B11224,A11244)</f>
        <v>1FF56743-S</v>
      </c>
      <c r="C11244" s="17"/>
      <c r="D11244" s="184"/>
      <c r="E11244" s="197"/>
      <c r="F11244" s="19"/>
      <c r="G11244" s="20"/>
    </row>
    <row r="11245" spans="1:8">
      <c r="A11245" s="211" t="s">
        <v>503</v>
      </c>
      <c r="B11245" s="216" t="str">
        <f ca="1">_xlfn.CONCAT(B11224,A11245)</f>
        <v>1FF56743-T</v>
      </c>
      <c r="C11245" s="17"/>
      <c r="D11245" s="184"/>
      <c r="E11245" s="197"/>
      <c r="F11245" s="19"/>
      <c r="G11245" s="20"/>
    </row>
    <row r="11246" spans="1:8" ht="14.25" thickBot="1">
      <c r="A11246" s="211" t="s">
        <v>504</v>
      </c>
      <c r="B11246" s="216" t="str">
        <f ca="1">_xlfn.CONCAT(B11224,A11246)</f>
        <v>1FF56743-U</v>
      </c>
      <c r="C11246" s="17"/>
      <c r="D11246" s="184"/>
      <c r="E11246" s="197"/>
      <c r="F11246" s="19"/>
      <c r="G11246" s="20"/>
    </row>
    <row r="11247" spans="1:8" ht="14.25" thickBot="1">
      <c r="A11247" s="211" t="s">
        <v>505</v>
      </c>
      <c r="B11247" s="216" t="str">
        <f ca="1">_xlfn.CONCAT(B11224,A11247)</f>
        <v>1FF56743-V</v>
      </c>
      <c r="C11247" s="17" t="s">
        <v>17</v>
      </c>
      <c r="D11247" s="192" t="s">
        <v>17</v>
      </c>
      <c r="E11247" s="18"/>
      <c r="F11247" s="22" t="s">
        <v>18</v>
      </c>
      <c r="G11247" s="23">
        <f>SUM(G11226:G11246)</f>
        <v>162127.30000000002</v>
      </c>
    </row>
    <row r="11248" spans="1:8" ht="15.75" thickBot="1">
      <c r="A11248" s="211" t="s">
        <v>506</v>
      </c>
      <c r="B11248" s="216" t="str">
        <f ca="1">_xlfn.CONCAT(B11224,A11248)</f>
        <v>1FF56743-W</v>
      </c>
      <c r="C11248" s="10" t="s">
        <v>19</v>
      </c>
      <c r="D11248" s="190"/>
      <c r="E11248" s="11"/>
      <c r="F11248" s="12"/>
      <c r="G11248" s="13"/>
    </row>
    <row r="11249" spans="1:8" ht="14.25" thickBot="1">
      <c r="A11249" s="211" t="s">
        <v>507</v>
      </c>
      <c r="B11249" s="216" t="str">
        <f ca="1">_xlfn.CONCAT(B11224,A11249)</f>
        <v>1FF56743-X</v>
      </c>
      <c r="C11249" s="14" t="s">
        <v>1</v>
      </c>
      <c r="D11249" s="15"/>
      <c r="E11249" s="15" t="s">
        <v>20</v>
      </c>
      <c r="F11249" s="16" t="s">
        <v>21</v>
      </c>
      <c r="G11249" s="15" t="s">
        <v>5</v>
      </c>
      <c r="H11249" s="215"/>
    </row>
    <row r="11250" spans="1:8">
      <c r="A11250" s="211" t="s">
        <v>508</v>
      </c>
      <c r="B11250" s="216" t="str">
        <f ca="1">_xlfn.CONCAT(B11224,A11250)</f>
        <v>1FF56743-Y</v>
      </c>
      <c r="C11250" s="24" t="s">
        <v>22</v>
      </c>
      <c r="D11250" s="184"/>
      <c r="E11250" s="25">
        <f>_xlfn.XLOOKUP(C11250,'H-MO'!B$7:B$30,'H-MO'!D$7:D$30,,0,1)</f>
        <v>2436.5624999999995</v>
      </c>
      <c r="F11250" s="19">
        <v>0.45</v>
      </c>
      <c r="G11250" s="33">
        <f t="shared" ref="G11250:G11255" si="322">+E11250*F11250</f>
        <v>1096.4531249999998</v>
      </c>
    </row>
    <row r="11251" spans="1:8">
      <c r="A11251" s="211" t="s">
        <v>509</v>
      </c>
      <c r="B11251" s="216" t="str">
        <f ca="1">_xlfn.CONCAT(B11224,A11251)</f>
        <v>1FF56743-Z</v>
      </c>
      <c r="C11251" s="24" t="s">
        <v>23</v>
      </c>
      <c r="D11251" s="184"/>
      <c r="E11251" s="25">
        <f>_xlfn.XLOOKUP(C11251,'H-MO'!B$7:B$30,'H-MO'!D$7:D$30,,0,1)</f>
        <v>1461.9374999999998</v>
      </c>
      <c r="F11251" s="19">
        <v>0.1</v>
      </c>
      <c r="G11251" s="33">
        <f t="shared" si="322"/>
        <v>146.19374999999999</v>
      </c>
    </row>
    <row r="11252" spans="1:8">
      <c r="A11252" s="211" t="s">
        <v>510</v>
      </c>
      <c r="B11252" s="216" t="str">
        <f ca="1">_xlfn.CONCAT(B11224,A11252)</f>
        <v>1FF56743-aa</v>
      </c>
      <c r="C11252" s="24" t="s">
        <v>24</v>
      </c>
      <c r="D11252" s="185"/>
      <c r="E11252" s="25">
        <f>_xlfn.XLOOKUP(C11252,'H-MO'!B$7:B$30,'H-MO'!D$7:D$30,,0,1)</f>
        <v>29238.749999999996</v>
      </c>
      <c r="F11252" s="28">
        <v>2E-3</v>
      </c>
      <c r="G11252" s="33">
        <f t="shared" si="322"/>
        <v>58.477499999999992</v>
      </c>
    </row>
    <row r="11253" spans="1:8">
      <c r="A11253" s="211" t="s">
        <v>511</v>
      </c>
      <c r="B11253" s="216" t="str">
        <f ca="1">_xlfn.CONCAT(B11224,A11253)</f>
        <v>1FF56743-ab</v>
      </c>
      <c r="C11253" s="24" t="s">
        <v>25</v>
      </c>
      <c r="D11253" s="185"/>
      <c r="E11253" s="25">
        <f>_xlfn.XLOOKUP(C11253,'H-MO'!B$7:B$30,'H-MO'!D$7:D$30,,0,1)</f>
        <v>2761.4374999999995</v>
      </c>
      <c r="F11253" s="28">
        <v>0.5</v>
      </c>
      <c r="G11253" s="33">
        <f t="shared" si="322"/>
        <v>1380.7187499999998</v>
      </c>
    </row>
    <row r="11254" spans="1:8">
      <c r="A11254" s="211" t="s">
        <v>512</v>
      </c>
      <c r="B11254" s="216" t="str">
        <f ca="1">_xlfn.CONCAT(B11224,A11254)</f>
        <v>1FF56743-ac</v>
      </c>
      <c r="C11254" s="24"/>
      <c r="D11254" s="185"/>
      <c r="E11254" s="29"/>
      <c r="F11254" s="28"/>
      <c r="G11254" s="33">
        <f t="shared" si="322"/>
        <v>0</v>
      </c>
    </row>
    <row r="11255" spans="1:8" ht="14.25" thickBot="1">
      <c r="A11255" s="211" t="s">
        <v>513</v>
      </c>
      <c r="B11255" s="216" t="str">
        <f ca="1">_xlfn.CONCAT(B11224,A11255)</f>
        <v>1FF56743-ad</v>
      </c>
      <c r="C11255" s="24"/>
      <c r="D11255" s="185"/>
      <c r="E11255" s="29"/>
      <c r="F11255" s="28"/>
      <c r="G11255" s="33">
        <f t="shared" si="322"/>
        <v>0</v>
      </c>
    </row>
    <row r="11256" spans="1:8" ht="14.25" thickBot="1">
      <c r="A11256" s="211" t="s">
        <v>514</v>
      </c>
      <c r="B11256" s="216" t="str">
        <f ca="1">_xlfn.CONCAT(B11224,A11256)</f>
        <v>1FF56743-ae</v>
      </c>
      <c r="C11256" s="17"/>
      <c r="D11256" s="192"/>
      <c r="E11256" s="18"/>
      <c r="F11256" s="22" t="s">
        <v>26</v>
      </c>
      <c r="G11256" s="23">
        <f>SUM(G11250:G11255)</f>
        <v>2681.8431249999994</v>
      </c>
    </row>
    <row r="11257" spans="1:8" ht="15.75" thickBot="1">
      <c r="A11257" s="211" t="s">
        <v>515</v>
      </c>
      <c r="B11257" s="216" t="str">
        <f ca="1">_xlfn.CONCAT(B11224,A11257)</f>
        <v>1FF56743-af</v>
      </c>
      <c r="C11257" s="10" t="s">
        <v>27</v>
      </c>
      <c r="D11257" s="190"/>
      <c r="E11257" s="11"/>
      <c r="F11257" s="12"/>
      <c r="G11257" s="13"/>
    </row>
    <row r="11258" spans="1:8" ht="14.25" thickBot="1">
      <c r="A11258" s="211" t="s">
        <v>516</v>
      </c>
      <c r="B11258" s="216" t="str">
        <f ca="1">_xlfn.CONCAT(B11224,A11258)</f>
        <v>1FF56743-ag</v>
      </c>
      <c r="C11258" s="14" t="s">
        <v>1</v>
      </c>
      <c r="D11258" s="15" t="s">
        <v>28</v>
      </c>
      <c r="E11258" s="15" t="s">
        <v>20</v>
      </c>
      <c r="F11258" s="16" t="s">
        <v>21</v>
      </c>
      <c r="G11258" s="15" t="s">
        <v>5</v>
      </c>
      <c r="H11258" s="215"/>
    </row>
    <row r="11259" spans="1:8">
      <c r="A11259" s="211" t="s">
        <v>517</v>
      </c>
      <c r="B11259" s="216" t="str">
        <f ca="1">_xlfn.CONCAT(B11224,A11259)</f>
        <v>1FF56743-ah</v>
      </c>
      <c r="C11259" s="30" t="s">
        <v>29</v>
      </c>
      <c r="D11259" s="186">
        <f>'H-MO'!$N$77</f>
        <v>725918.52892505517</v>
      </c>
      <c r="E11259" s="31">
        <f>+D11259/8</f>
        <v>90739.816115631897</v>
      </c>
      <c r="F11259" s="32">
        <v>0.45</v>
      </c>
      <c r="G11259" s="33">
        <f>+E11259*F11259</f>
        <v>40832.917252034356</v>
      </c>
    </row>
    <row r="11260" spans="1:8">
      <c r="A11260" s="211" t="s">
        <v>518</v>
      </c>
      <c r="B11260" s="216" t="str">
        <f ca="1">_xlfn.CONCAT(B11224,A11260)</f>
        <v>1FF56743-ai</v>
      </c>
      <c r="C11260" s="34" t="s">
        <v>30</v>
      </c>
      <c r="D11260" s="187">
        <f>'H-MO'!$N$86</f>
        <v>685561.39085756091</v>
      </c>
      <c r="E11260" s="29">
        <f>+D11260/8</f>
        <v>85695.173857195114</v>
      </c>
      <c r="F11260" s="28">
        <v>0</v>
      </c>
      <c r="G11260" s="33">
        <f>+E11260*F11260</f>
        <v>0</v>
      </c>
    </row>
    <row r="11261" spans="1:8" ht="14.25" thickBot="1">
      <c r="A11261" s="211" t="s">
        <v>519</v>
      </c>
      <c r="B11261" s="216" t="str">
        <f ca="1">_xlfn.CONCAT(B11224,A11261)</f>
        <v>1FF56743-aj</v>
      </c>
      <c r="C11261" s="34"/>
      <c r="D11261" s="187"/>
      <c r="E11261" s="29"/>
      <c r="F11261" s="28"/>
      <c r="G11261" s="33">
        <f>+E11261*F11261</f>
        <v>0</v>
      </c>
    </row>
    <row r="11262" spans="1:8" ht="14.25" thickBot="1">
      <c r="A11262" s="211" t="s">
        <v>520</v>
      </c>
      <c r="B11262" s="216" t="str">
        <f ca="1">_xlfn.CONCAT(B11224,A11262)</f>
        <v>1FF56743-ak</v>
      </c>
      <c r="C11262" s="34"/>
      <c r="D11262" s="185"/>
      <c r="E11262" s="26"/>
      <c r="F11262" s="36" t="s">
        <v>31</v>
      </c>
      <c r="G11262" s="23">
        <f>SUM(G11259:G11261)</f>
        <v>40832.917252034356</v>
      </c>
    </row>
    <row r="11263" spans="1:8" ht="14.25" thickBot="1">
      <c r="A11263" s="211" t="s">
        <v>521</v>
      </c>
      <c r="B11263" s="216" t="str">
        <f ca="1">_xlfn.CONCAT(B11224,A11263)</f>
        <v>1FF56743-al</v>
      </c>
      <c r="C11263" s="37"/>
      <c r="E11263" s="38"/>
      <c r="F11263" s="22"/>
      <c r="G11263" s="39"/>
    </row>
    <row r="11264" spans="1:8" ht="16.5" thickBot="1">
      <c r="A11264" s="211" t="s">
        <v>522</v>
      </c>
      <c r="B11264" s="216" t="str">
        <f ca="1">_xlfn.CONCAT(B11224,A11264)</f>
        <v>1FF56743-am</v>
      </c>
      <c r="C11264" s="40"/>
      <c r="D11264" s="193"/>
      <c r="E11264" s="41"/>
      <c r="F11264" s="42"/>
      <c r="G11264" s="43">
        <f>+G11247+G11256+G11262</f>
        <v>205642.06037703436</v>
      </c>
    </row>
    <row r="11265" spans="1:8" ht="21.75" thickBot="1">
      <c r="B11265" s="212" t="s">
        <v>550</v>
      </c>
      <c r="C11265" s="2"/>
      <c r="D11265" s="183"/>
      <c r="F11265" s="4"/>
      <c r="G11265" s="5"/>
    </row>
    <row r="11266" spans="1:8" ht="18.75">
      <c r="A11266" s="213"/>
      <c r="B11266" s="214">
        <v>256</v>
      </c>
      <c r="C11266" s="242" t="str">
        <f ca="1">_xlfn.XLOOKUP(B11266,Cantidades!$A$10:$A$314,Cantidades!$C$10:$C$314,,0,1)</f>
        <v>Salida interruptor doble en tuberia EMT 3/4, promedio 5m.</v>
      </c>
      <c r="D11266" s="243"/>
      <c r="E11266" s="243"/>
      <c r="F11266" s="243"/>
      <c r="G11266" s="244"/>
      <c r="H11266" s="213"/>
    </row>
    <row r="11267" spans="1:8" ht="19.5" thickBot="1">
      <c r="A11267" s="215"/>
      <c r="B11267" s="216" t="s">
        <v>550</v>
      </c>
      <c r="C11267" s="177"/>
      <c r="D11267" s="189"/>
      <c r="E11267" s="178"/>
      <c r="F11267" s="179" t="s">
        <v>636</v>
      </c>
      <c r="G11267" s="209" t="str">
        <f ca="1">B11268</f>
        <v>FE32DA2-</v>
      </c>
      <c r="H11267" s="215"/>
    </row>
    <row r="11268" spans="1:8" ht="15.75" thickBot="1">
      <c r="B11268" s="212" t="str">
        <f ca="1">_xlfn.XLOOKUP(C11266,Cantidades!$C$1:$C$314,Cantidades!$B$1:$B$314,"",0,1)</f>
        <v>FE32DA2-</v>
      </c>
      <c r="C11268" s="10" t="s">
        <v>0</v>
      </c>
      <c r="D11268" s="190"/>
      <c r="E11268" s="11"/>
      <c r="F11268" s="12"/>
      <c r="G11268" s="13"/>
    </row>
    <row r="11269" spans="1:8" ht="14.25" thickBot="1">
      <c r="A11269" s="215"/>
      <c r="B11269" s="216" t="s">
        <v>550</v>
      </c>
      <c r="C11269" s="14" t="s">
        <v>1</v>
      </c>
      <c r="D11269" s="15" t="s">
        <v>2</v>
      </c>
      <c r="E11269" s="15" t="s">
        <v>3</v>
      </c>
      <c r="F11269" s="16" t="s">
        <v>4</v>
      </c>
      <c r="G11269" s="15" t="s">
        <v>5</v>
      </c>
      <c r="H11269" s="215"/>
    </row>
    <row r="11270" spans="1:8">
      <c r="A11270" s="211" t="s">
        <v>484</v>
      </c>
      <c r="B11270" s="216" t="str">
        <f ca="1">_xlfn.CONCAT(B11268,A11270)</f>
        <v>FE32DA2-A</v>
      </c>
      <c r="C11270" s="17" t="str">
        <f>_xlfn.XLOOKUP(H11270,'Materiales unitario'!$A$1:$A$2500,'Materiales unitario'!B$1:B$2500,,0,1)</f>
        <v>Tubo metálico ø3/4" EMT</v>
      </c>
      <c r="D11270" s="184" t="str">
        <f>_xlfn.XLOOKUP(H11270,'Materiales unitario'!A$1:A$2500,'Materiales unitario'!C$1:C$2500,,0,1)</f>
        <v>ml</v>
      </c>
      <c r="E11270" s="197">
        <f>_xlfn.XLOOKUP(H11270,'Materiales unitario'!$A$1:$A$2500,'Materiales unitario'!D$1:D$2500,,0,1)</f>
        <v>11733</v>
      </c>
      <c r="F11270" s="19">
        <v>5.5</v>
      </c>
      <c r="G11270" s="20">
        <f t="shared" ref="G11270:G11279" si="323">+E11270*F11270</f>
        <v>64531.5</v>
      </c>
      <c r="H11270" s="211" t="s">
        <v>388</v>
      </c>
    </row>
    <row r="11271" spans="1:8">
      <c r="A11271" s="211" t="s">
        <v>485</v>
      </c>
      <c r="B11271" s="216" t="str">
        <f ca="1">_xlfn.CONCAT(B11268,A11271)</f>
        <v>FE32DA2-B</v>
      </c>
      <c r="C11271" s="17" t="str">
        <f>_xlfn.XLOOKUP(H11271,'Materiales unitario'!$A$1:$A$2500,'Materiales unitario'!B$1:B$2500,,0,1)</f>
        <v>Unión metálica ø3/4" EMT</v>
      </c>
      <c r="D11271" s="184" t="str">
        <f>_xlfn.XLOOKUP(H11271,'Materiales unitario'!A$1:A$2500,'Materiales unitario'!C$1:C$2500,,0,1)</f>
        <v>un</v>
      </c>
      <c r="E11271" s="197">
        <f>_xlfn.XLOOKUP(H11271,'Materiales unitario'!$A$1:$A$2500,'Materiales unitario'!D$1:D$2500,,0,1)</f>
        <v>1800</v>
      </c>
      <c r="F11271" s="19">
        <v>2</v>
      </c>
      <c r="G11271" s="20">
        <f t="shared" si="323"/>
        <v>3600</v>
      </c>
      <c r="H11271" s="211" t="s">
        <v>392</v>
      </c>
    </row>
    <row r="11272" spans="1:8">
      <c r="A11272" s="211" t="s">
        <v>486</v>
      </c>
      <c r="B11272" s="216" t="str">
        <f ca="1">_xlfn.CONCAT(B11268,A11272)</f>
        <v>FE32DA2-C</v>
      </c>
      <c r="C11272" s="17" t="str">
        <f>_xlfn.XLOOKUP(H11272,'Materiales unitario'!$A$1:$A$2500,'Materiales unitario'!B$1:B$2500,,0,1)</f>
        <v xml:space="preserve">Terminal metálico ø3/4" EMT </v>
      </c>
      <c r="D11272" s="184" t="str">
        <f>_xlfn.XLOOKUP(H11272,'Materiales unitario'!A$1:A$2500,'Materiales unitario'!C$1:C$2500,,0,1)</f>
        <v>un</v>
      </c>
      <c r="E11272" s="197">
        <f>_xlfn.XLOOKUP(H11272,'Materiales unitario'!$A$1:$A$2500,'Materiales unitario'!D$1:D$2500,,0,1)</f>
        <v>2200</v>
      </c>
      <c r="F11272" s="19">
        <v>2</v>
      </c>
      <c r="G11272" s="20">
        <f t="shared" si="323"/>
        <v>4400</v>
      </c>
      <c r="H11272" s="211" t="s">
        <v>371</v>
      </c>
    </row>
    <row r="11273" spans="1:8">
      <c r="A11273" s="211" t="s">
        <v>487</v>
      </c>
      <c r="B11273" s="216" t="str">
        <f ca="1">_xlfn.CONCAT(B11268,A11273)</f>
        <v>FE32DA2-D</v>
      </c>
      <c r="C11273" s="17" t="str">
        <f>_xlfn.XLOOKUP(H11273,'Materiales unitario'!$A$1:$A$2500,'Materiales unitario'!B$1:B$2500,,0,1)</f>
        <v xml:space="preserve">Soporte Metálico Uniestruc Tubería ø3/4" </v>
      </c>
      <c r="D11273" s="184" t="str">
        <f>_xlfn.XLOOKUP(H11273,'Materiales unitario'!A$1:A$2500,'Materiales unitario'!C$1:C$2500,,0,1)</f>
        <v>un</v>
      </c>
      <c r="E11273" s="197">
        <f>_xlfn.XLOOKUP(H11273,'Materiales unitario'!$A$1:$A$2500,'Materiales unitario'!D$1:D$2500,,0,1)</f>
        <v>630</v>
      </c>
      <c r="F11273" s="19">
        <v>4</v>
      </c>
      <c r="G11273" s="20">
        <f t="shared" si="323"/>
        <v>2520</v>
      </c>
      <c r="H11273" s="211" t="s">
        <v>356</v>
      </c>
    </row>
    <row r="11274" spans="1:8">
      <c r="A11274" s="211" t="s">
        <v>488</v>
      </c>
      <c r="B11274" s="216" t="str">
        <f ca="1">_xlfn.CONCAT(B11268,A11274)</f>
        <v>FE32DA2-E</v>
      </c>
      <c r="C11274" s="17" t="str">
        <f>_xlfn.XLOOKUP(H11274,'Materiales unitario'!$A$1:$A$2500,'Materiales unitario'!B$1:B$2500,,0,1)</f>
        <v>Alambre de cobre desnudo #12 AWG-ED</v>
      </c>
      <c r="D11274" s="184" t="str">
        <f>_xlfn.XLOOKUP(H11274,'Materiales unitario'!A$1:A$2500,'Materiales unitario'!C$1:C$2500,,0,1)</f>
        <v>ml</v>
      </c>
      <c r="E11274" s="197">
        <f>_xlfn.XLOOKUP(H11274,'Materiales unitario'!$A$1:$A$2500,'Materiales unitario'!D$1:D$2500,,0,1)</f>
        <v>2558.5</v>
      </c>
      <c r="F11274" s="19">
        <v>6.2</v>
      </c>
      <c r="G11274" s="20">
        <f t="shared" si="323"/>
        <v>15862.7</v>
      </c>
      <c r="H11274" s="211" t="s">
        <v>227</v>
      </c>
    </row>
    <row r="11275" spans="1:8">
      <c r="A11275" s="211" t="s">
        <v>489</v>
      </c>
      <c r="B11275" s="216" t="str">
        <f ca="1">_xlfn.CONCAT(B11268,A11275)</f>
        <v>FE32DA2-F</v>
      </c>
      <c r="C11275" s="17" t="str">
        <f>_xlfn.XLOOKUP(H11275,'Materiales unitario'!$A$1:$A$2500,'Materiales unitario'!B$1:B$2500,,0,1)</f>
        <v>Alambre de cobre aislado #12 AWG-THHN/THWN Color negro</v>
      </c>
      <c r="D11275" s="184" t="str">
        <f>_xlfn.XLOOKUP(H11275,'Materiales unitario'!A$1:A$2500,'Materiales unitario'!C$1:C$2500,,0,1)</f>
        <v>ml</v>
      </c>
      <c r="E11275" s="197">
        <f>_xlfn.XLOOKUP(H11275,'Materiales unitario'!$A$1:$A$2500,'Materiales unitario'!D$1:D$2500,,0,1)</f>
        <v>2975</v>
      </c>
      <c r="F11275" s="19">
        <v>19</v>
      </c>
      <c r="G11275" s="20">
        <f t="shared" si="323"/>
        <v>56525</v>
      </c>
      <c r="H11275" s="211" t="s">
        <v>524</v>
      </c>
    </row>
    <row r="11276" spans="1:8">
      <c r="A11276" s="211" t="s">
        <v>490</v>
      </c>
      <c r="B11276" s="216" t="str">
        <f ca="1">_xlfn.CONCAT(B11268,A11276)</f>
        <v>FE32DA2-G</v>
      </c>
      <c r="C11276" s="17" t="str">
        <f>_xlfn.XLOOKUP(H11276,'Materiales unitario'!$A$1:$A$2500,'Materiales unitario'!B$1:B$2500,,0,1)</f>
        <v>Conector de resorte rojo "R" 18-10 AWG</v>
      </c>
      <c r="D11276" s="184" t="str">
        <f>_xlfn.XLOOKUP(H11276,'Materiales unitario'!A$1:A$2500,'Materiales unitario'!C$1:C$2500,,0,1)</f>
        <v>un</v>
      </c>
      <c r="E11276" s="197">
        <f>_xlfn.XLOOKUP(H11276,'Materiales unitario'!$A$1:$A$2500,'Materiales unitario'!D$1:D$2500,,0,1)</f>
        <v>280</v>
      </c>
      <c r="F11276" s="19">
        <v>3</v>
      </c>
      <c r="G11276" s="20">
        <f t="shared" si="323"/>
        <v>840</v>
      </c>
      <c r="H11276" s="211" t="s">
        <v>302</v>
      </c>
    </row>
    <row r="11277" spans="1:8">
      <c r="A11277" s="211" t="s">
        <v>491</v>
      </c>
      <c r="B11277" s="216" t="str">
        <f ca="1">_xlfn.CONCAT(B11268,A11277)</f>
        <v>FE32DA2-H</v>
      </c>
      <c r="C11277" s="17" t="str">
        <f>_xlfn.XLOOKUP(H11277,'Materiales unitario'!$A$1:$A$2500,'Materiales unitario'!B$1:B$2500,,0,1)</f>
        <v xml:space="preserve">Caja galvanizada ref. 2400 + suplemento (Cal. 20) </v>
      </c>
      <c r="D11277" s="184" t="str">
        <f>_xlfn.XLOOKUP(H11277,'Materiales unitario'!A$1:A$2500,'Materiales unitario'!C$1:C$2500,,0,1)</f>
        <v>un</v>
      </c>
      <c r="E11277" s="197">
        <f>_xlfn.XLOOKUP(H11277,'Materiales unitario'!$A$1:$A$2500,'Materiales unitario'!D$1:D$2500,,0,1)</f>
        <v>4522</v>
      </c>
      <c r="F11277" s="19">
        <v>1.05</v>
      </c>
      <c r="G11277" s="20">
        <f t="shared" si="323"/>
        <v>4748.1000000000004</v>
      </c>
      <c r="H11277" s="211" t="s">
        <v>283</v>
      </c>
    </row>
    <row r="11278" spans="1:8">
      <c r="A11278" s="211" t="s">
        <v>492</v>
      </c>
      <c r="B11278" s="216" t="str">
        <f ca="1">_xlfn.CONCAT(B11268,A11278)</f>
        <v>FE32DA2-I</v>
      </c>
      <c r="C11278" s="17" t="str">
        <f>_xlfn.XLOOKUP(H11278,'Materiales unitario'!$A$1:$A$2500,'Materiales unitario'!B$1:B$2500,,0,1)</f>
        <v>Marquillas para circuito</v>
      </c>
      <c r="D11278" s="184" t="str">
        <f>_xlfn.XLOOKUP(H11278,'Materiales unitario'!A$1:A$2500,'Materiales unitario'!C$1:C$2500,,0,1)</f>
        <v>un</v>
      </c>
      <c r="E11278" s="197">
        <f>_xlfn.XLOOKUP(H11278,'Materiales unitario'!$A$1:$A$2500,'Materiales unitario'!D$1:D$2500,,0,1)</f>
        <v>1000</v>
      </c>
      <c r="F11278" s="19">
        <v>1</v>
      </c>
      <c r="G11278" s="20">
        <f t="shared" si="323"/>
        <v>1000</v>
      </c>
      <c r="H11278" s="211" t="s">
        <v>339</v>
      </c>
    </row>
    <row r="11279" spans="1:8">
      <c r="A11279" s="211" t="s">
        <v>493</v>
      </c>
      <c r="B11279" s="216" t="str">
        <f ca="1">_xlfn.CONCAT(B11268,A11279)</f>
        <v>FE32DA2-J</v>
      </c>
      <c r="C11279" s="17" t="str">
        <f>_xlfn.XLOOKUP(H11279,'Materiales unitario'!$A$1:$A$2500,'Materiales unitario'!B$1:B$2500,,0,1)</f>
        <v>Interruptor doble Genesis</v>
      </c>
      <c r="D11279" s="184" t="str">
        <f>_xlfn.XLOOKUP(H11279,'Materiales unitario'!A$1:A$2500,'Materiales unitario'!C$1:C$2500,,0,1)</f>
        <v>un</v>
      </c>
      <c r="E11279" s="197">
        <f>_xlfn.XLOOKUP(H11279,'Materiales unitario'!$A$1:$A$2500,'Materiales unitario'!D$1:D$2500,,0,1)</f>
        <v>11712</v>
      </c>
      <c r="F11279" s="19">
        <v>1</v>
      </c>
      <c r="G11279" s="20">
        <f t="shared" si="323"/>
        <v>11712</v>
      </c>
      <c r="H11279" s="211" t="s">
        <v>674</v>
      </c>
    </row>
    <row r="11280" spans="1:8">
      <c r="A11280" s="211" t="s">
        <v>494</v>
      </c>
      <c r="B11280" s="216" t="str">
        <f ca="1">_xlfn.CONCAT(B11268,A11280)</f>
        <v>FE32DA2-K</v>
      </c>
      <c r="C11280" s="17"/>
      <c r="D11280" s="184"/>
      <c r="E11280" s="197"/>
      <c r="F11280" s="19"/>
      <c r="G11280" s="20"/>
    </row>
    <row r="11281" spans="1:8">
      <c r="A11281" s="211" t="s">
        <v>495</v>
      </c>
      <c r="B11281" s="216" t="str">
        <f ca="1">_xlfn.CONCAT(B11268,A11281)</f>
        <v>FE32DA2-L</v>
      </c>
      <c r="C11281" s="17"/>
      <c r="D11281" s="184"/>
      <c r="E11281" s="197"/>
      <c r="F11281" s="19"/>
      <c r="G11281" s="20"/>
    </row>
    <row r="11282" spans="1:8">
      <c r="A11282" s="211" t="s">
        <v>496</v>
      </c>
      <c r="B11282" s="216" t="str">
        <f ca="1">_xlfn.CONCAT(B11268,A11282)</f>
        <v>FE32DA2-M</v>
      </c>
      <c r="C11282" s="17"/>
      <c r="D11282" s="184"/>
      <c r="E11282" s="197"/>
      <c r="F11282" s="19"/>
      <c r="G11282" s="20"/>
    </row>
    <row r="11283" spans="1:8">
      <c r="A11283" s="211" t="s">
        <v>497</v>
      </c>
      <c r="B11283" s="216" t="str">
        <f ca="1">_xlfn.CONCAT(B11268,A11283)</f>
        <v>FE32DA2-N</v>
      </c>
      <c r="C11283" s="17"/>
      <c r="D11283" s="184"/>
      <c r="E11283" s="197"/>
      <c r="F11283" s="19"/>
      <c r="G11283" s="20"/>
    </row>
    <row r="11284" spans="1:8">
      <c r="A11284" s="211" t="s">
        <v>498</v>
      </c>
      <c r="B11284" s="216" t="str">
        <f ca="1">_xlfn.CONCAT(B11268,A11284)</f>
        <v>FE32DA2-O</v>
      </c>
      <c r="C11284" s="17"/>
      <c r="D11284" s="184"/>
      <c r="E11284" s="197"/>
      <c r="F11284" s="19"/>
      <c r="G11284" s="20"/>
    </row>
    <row r="11285" spans="1:8">
      <c r="A11285" s="211" t="s">
        <v>499</v>
      </c>
      <c r="B11285" s="216" t="str">
        <f ca="1">_xlfn.CONCAT(B11268,A11285)</f>
        <v>FE32DA2-P</v>
      </c>
      <c r="C11285" s="17"/>
      <c r="D11285" s="184"/>
      <c r="E11285" s="197"/>
      <c r="F11285" s="19"/>
      <c r="G11285" s="20"/>
    </row>
    <row r="11286" spans="1:8">
      <c r="A11286" s="211" t="s">
        <v>500</v>
      </c>
      <c r="B11286" s="216" t="str">
        <f ca="1">_xlfn.CONCAT(B11268,A11286)</f>
        <v>FE32DA2-Q</v>
      </c>
      <c r="C11286" s="17"/>
      <c r="D11286" s="184"/>
      <c r="E11286" s="197"/>
      <c r="F11286" s="19"/>
      <c r="G11286" s="20"/>
    </row>
    <row r="11287" spans="1:8">
      <c r="A11287" s="211" t="s">
        <v>501</v>
      </c>
      <c r="B11287" s="216" t="str">
        <f ca="1">_xlfn.CONCAT(B11268,A11287)</f>
        <v>FE32DA2-R</v>
      </c>
      <c r="C11287" s="17"/>
      <c r="D11287" s="184"/>
      <c r="E11287" s="197"/>
      <c r="F11287" s="19"/>
      <c r="G11287" s="20"/>
    </row>
    <row r="11288" spans="1:8">
      <c r="A11288" s="211" t="s">
        <v>502</v>
      </c>
      <c r="B11288" s="216" t="str">
        <f ca="1">_xlfn.CONCAT(B11268,A11288)</f>
        <v>FE32DA2-S</v>
      </c>
      <c r="C11288" s="17"/>
      <c r="D11288" s="184"/>
      <c r="E11288" s="197"/>
      <c r="F11288" s="19"/>
      <c r="G11288" s="20"/>
    </row>
    <row r="11289" spans="1:8">
      <c r="A11289" s="211" t="s">
        <v>503</v>
      </c>
      <c r="B11289" s="216" t="str">
        <f ca="1">_xlfn.CONCAT(B11268,A11289)</f>
        <v>FE32DA2-T</v>
      </c>
      <c r="C11289" s="17"/>
      <c r="D11289" s="184"/>
      <c r="E11289" s="197"/>
      <c r="F11289" s="19"/>
      <c r="G11289" s="20"/>
    </row>
    <row r="11290" spans="1:8" ht="14.25" thickBot="1">
      <c r="A11290" s="211" t="s">
        <v>504</v>
      </c>
      <c r="B11290" s="216" t="str">
        <f ca="1">_xlfn.CONCAT(B11268,A11290)</f>
        <v>FE32DA2-U</v>
      </c>
      <c r="C11290" s="17"/>
      <c r="D11290" s="184"/>
      <c r="E11290" s="197"/>
      <c r="F11290" s="19"/>
      <c r="G11290" s="20"/>
    </row>
    <row r="11291" spans="1:8" ht="14.25" thickBot="1">
      <c r="A11291" s="211" t="s">
        <v>505</v>
      </c>
      <c r="B11291" s="216" t="str">
        <f ca="1">_xlfn.CONCAT(B11268,A11291)</f>
        <v>FE32DA2-V</v>
      </c>
      <c r="C11291" s="17" t="s">
        <v>17</v>
      </c>
      <c r="D11291" s="192" t="s">
        <v>17</v>
      </c>
      <c r="E11291" s="18"/>
      <c r="F11291" s="22" t="s">
        <v>18</v>
      </c>
      <c r="G11291" s="23">
        <f>SUM(G11270:G11290)</f>
        <v>165739.30000000002</v>
      </c>
    </row>
    <row r="11292" spans="1:8" ht="15.75" thickBot="1">
      <c r="A11292" s="211" t="s">
        <v>506</v>
      </c>
      <c r="B11292" s="216" t="str">
        <f ca="1">_xlfn.CONCAT(B11268,A11292)</f>
        <v>FE32DA2-W</v>
      </c>
      <c r="C11292" s="10" t="s">
        <v>19</v>
      </c>
      <c r="D11292" s="190"/>
      <c r="E11292" s="11"/>
      <c r="F11292" s="12"/>
      <c r="G11292" s="13"/>
    </row>
    <row r="11293" spans="1:8" ht="14.25" thickBot="1">
      <c r="A11293" s="211" t="s">
        <v>507</v>
      </c>
      <c r="B11293" s="216" t="str">
        <f ca="1">_xlfn.CONCAT(B11268,A11293)</f>
        <v>FE32DA2-X</v>
      </c>
      <c r="C11293" s="14" t="s">
        <v>1</v>
      </c>
      <c r="D11293" s="15"/>
      <c r="E11293" s="15" t="s">
        <v>20</v>
      </c>
      <c r="F11293" s="16" t="s">
        <v>21</v>
      </c>
      <c r="G11293" s="15" t="s">
        <v>5</v>
      </c>
      <c r="H11293" s="215"/>
    </row>
    <row r="11294" spans="1:8">
      <c r="A11294" s="211" t="s">
        <v>508</v>
      </c>
      <c r="B11294" s="216" t="str">
        <f ca="1">_xlfn.CONCAT(B11268,A11294)</f>
        <v>FE32DA2-Y</v>
      </c>
      <c r="C11294" s="24" t="s">
        <v>22</v>
      </c>
      <c r="D11294" s="184"/>
      <c r="E11294" s="25">
        <f>_xlfn.XLOOKUP(C11294,'H-MO'!B$7:B$30,'H-MO'!D$7:D$30,,0,1)</f>
        <v>2436.5624999999995</v>
      </c>
      <c r="F11294" s="19">
        <v>0.45</v>
      </c>
      <c r="G11294" s="33">
        <f t="shared" ref="G11294:G11299" si="324">+E11294*F11294</f>
        <v>1096.4531249999998</v>
      </c>
    </row>
    <row r="11295" spans="1:8">
      <c r="A11295" s="211" t="s">
        <v>509</v>
      </c>
      <c r="B11295" s="216" t="str">
        <f ca="1">_xlfn.CONCAT(B11268,A11295)</f>
        <v>FE32DA2-Z</v>
      </c>
      <c r="C11295" s="24" t="s">
        <v>23</v>
      </c>
      <c r="D11295" s="184"/>
      <c r="E11295" s="25">
        <f>_xlfn.XLOOKUP(C11295,'H-MO'!B$7:B$30,'H-MO'!D$7:D$30,,0,1)</f>
        <v>1461.9374999999998</v>
      </c>
      <c r="F11295" s="19">
        <v>9.8000000000000004E-2</v>
      </c>
      <c r="G11295" s="33">
        <f t="shared" si="324"/>
        <v>143.26987499999998</v>
      </c>
    </row>
    <row r="11296" spans="1:8">
      <c r="A11296" s="211" t="s">
        <v>510</v>
      </c>
      <c r="B11296" s="216" t="str">
        <f ca="1">_xlfn.CONCAT(B11268,A11296)</f>
        <v>FE32DA2-aa</v>
      </c>
      <c r="C11296" s="24" t="s">
        <v>24</v>
      </c>
      <c r="D11296" s="185"/>
      <c r="E11296" s="25">
        <f>_xlfn.XLOOKUP(C11296,'H-MO'!B$7:B$30,'H-MO'!D$7:D$30,,0,1)</f>
        <v>29238.749999999996</v>
      </c>
      <c r="F11296" s="28">
        <v>2E-3</v>
      </c>
      <c r="G11296" s="33">
        <f t="shared" si="324"/>
        <v>58.477499999999992</v>
      </c>
    </row>
    <row r="11297" spans="1:8">
      <c r="A11297" s="211" t="s">
        <v>511</v>
      </c>
      <c r="B11297" s="216" t="str">
        <f ca="1">_xlfn.CONCAT(B11268,A11297)</f>
        <v>FE32DA2-ab</v>
      </c>
      <c r="C11297" s="24" t="s">
        <v>25</v>
      </c>
      <c r="D11297" s="185"/>
      <c r="E11297" s="25">
        <f>_xlfn.XLOOKUP(C11297,'H-MO'!B$7:B$30,'H-MO'!D$7:D$30,,0,1)</f>
        <v>2761.4374999999995</v>
      </c>
      <c r="F11297" s="28">
        <v>0.5</v>
      </c>
      <c r="G11297" s="33">
        <f t="shared" si="324"/>
        <v>1380.7187499999998</v>
      </c>
    </row>
    <row r="11298" spans="1:8">
      <c r="A11298" s="211" t="s">
        <v>512</v>
      </c>
      <c r="B11298" s="216" t="str">
        <f ca="1">_xlfn.CONCAT(B11268,A11298)</f>
        <v>FE32DA2-ac</v>
      </c>
      <c r="C11298" s="24"/>
      <c r="D11298" s="185"/>
      <c r="E11298" s="29"/>
      <c r="F11298" s="28"/>
      <c r="G11298" s="33">
        <f t="shared" si="324"/>
        <v>0</v>
      </c>
    </row>
    <row r="11299" spans="1:8" ht="14.25" thickBot="1">
      <c r="A11299" s="211" t="s">
        <v>513</v>
      </c>
      <c r="B11299" s="216" t="str">
        <f ca="1">_xlfn.CONCAT(B11268,A11299)</f>
        <v>FE32DA2-ad</v>
      </c>
      <c r="C11299" s="24"/>
      <c r="D11299" s="185"/>
      <c r="E11299" s="29"/>
      <c r="F11299" s="28"/>
      <c r="G11299" s="33">
        <f t="shared" si="324"/>
        <v>0</v>
      </c>
    </row>
    <row r="11300" spans="1:8" ht="14.25" thickBot="1">
      <c r="A11300" s="211" t="s">
        <v>514</v>
      </c>
      <c r="B11300" s="216" t="str">
        <f ca="1">_xlfn.CONCAT(B11268,A11300)</f>
        <v>FE32DA2-ae</v>
      </c>
      <c r="C11300" s="17"/>
      <c r="D11300" s="192"/>
      <c r="E11300" s="18"/>
      <c r="F11300" s="22" t="s">
        <v>26</v>
      </c>
      <c r="G11300" s="23">
        <f>SUM(G11294:G11299)</f>
        <v>2678.9192499999995</v>
      </c>
    </row>
    <row r="11301" spans="1:8" ht="15.75" thickBot="1">
      <c r="A11301" s="211" t="s">
        <v>515</v>
      </c>
      <c r="B11301" s="216" t="str">
        <f ca="1">_xlfn.CONCAT(B11268,A11301)</f>
        <v>FE32DA2-af</v>
      </c>
      <c r="C11301" s="10" t="s">
        <v>27</v>
      </c>
      <c r="D11301" s="190"/>
      <c r="E11301" s="11"/>
      <c r="F11301" s="12"/>
      <c r="G11301" s="13"/>
    </row>
    <row r="11302" spans="1:8" ht="14.25" thickBot="1">
      <c r="A11302" s="211" t="s">
        <v>516</v>
      </c>
      <c r="B11302" s="216" t="str">
        <f ca="1">_xlfn.CONCAT(B11268,A11302)</f>
        <v>FE32DA2-ag</v>
      </c>
      <c r="C11302" s="14" t="s">
        <v>1</v>
      </c>
      <c r="D11302" s="15" t="s">
        <v>28</v>
      </c>
      <c r="E11302" s="15" t="s">
        <v>20</v>
      </c>
      <c r="F11302" s="16" t="s">
        <v>21</v>
      </c>
      <c r="G11302" s="15" t="s">
        <v>5</v>
      </c>
      <c r="H11302" s="215"/>
    </row>
    <row r="11303" spans="1:8">
      <c r="A11303" s="211" t="s">
        <v>517</v>
      </c>
      <c r="B11303" s="216" t="str">
        <f ca="1">_xlfn.CONCAT(B11268,A11303)</f>
        <v>FE32DA2-ah</v>
      </c>
      <c r="C11303" s="30" t="s">
        <v>29</v>
      </c>
      <c r="D11303" s="186">
        <f>'H-MO'!$N$77</f>
        <v>725918.52892505517</v>
      </c>
      <c r="E11303" s="31">
        <f>+D11303/8</f>
        <v>90739.816115631897</v>
      </c>
      <c r="F11303" s="32">
        <v>0.45</v>
      </c>
      <c r="G11303" s="33">
        <f>+E11303*F11303</f>
        <v>40832.917252034356</v>
      </c>
    </row>
    <row r="11304" spans="1:8">
      <c r="A11304" s="211" t="s">
        <v>518</v>
      </c>
      <c r="B11304" s="216" t="str">
        <f ca="1">_xlfn.CONCAT(B11268,A11304)</f>
        <v>FE32DA2-ai</v>
      </c>
      <c r="C11304" s="34" t="s">
        <v>30</v>
      </c>
      <c r="D11304" s="187">
        <f>'H-MO'!$N$86</f>
        <v>685561.39085756091</v>
      </c>
      <c r="E11304" s="29">
        <f>+D11304/8</f>
        <v>85695.173857195114</v>
      </c>
      <c r="F11304" s="28">
        <v>0</v>
      </c>
      <c r="G11304" s="33">
        <f>+E11304*F11304</f>
        <v>0</v>
      </c>
    </row>
    <row r="11305" spans="1:8" ht="14.25" thickBot="1">
      <c r="A11305" s="211" t="s">
        <v>519</v>
      </c>
      <c r="B11305" s="216" t="str">
        <f ca="1">_xlfn.CONCAT(B11268,A11305)</f>
        <v>FE32DA2-aj</v>
      </c>
      <c r="C11305" s="34"/>
      <c r="D11305" s="187"/>
      <c r="E11305" s="29"/>
      <c r="F11305" s="28"/>
      <c r="G11305" s="33">
        <f>+E11305*F11305</f>
        <v>0</v>
      </c>
    </row>
    <row r="11306" spans="1:8" ht="14.25" thickBot="1">
      <c r="A11306" s="211" t="s">
        <v>520</v>
      </c>
      <c r="B11306" s="216" t="str">
        <f ca="1">_xlfn.CONCAT(B11268,A11306)</f>
        <v>FE32DA2-ak</v>
      </c>
      <c r="C11306" s="34"/>
      <c r="D11306" s="185"/>
      <c r="E11306" s="26"/>
      <c r="F11306" s="36" t="s">
        <v>31</v>
      </c>
      <c r="G11306" s="23">
        <f>SUM(G11303:G11305)</f>
        <v>40832.917252034356</v>
      </c>
    </row>
    <row r="11307" spans="1:8" ht="14.25" thickBot="1">
      <c r="A11307" s="211" t="s">
        <v>521</v>
      </c>
      <c r="B11307" s="216" t="str">
        <f ca="1">_xlfn.CONCAT(B11268,A11307)</f>
        <v>FE32DA2-al</v>
      </c>
      <c r="C11307" s="37"/>
      <c r="E11307" s="38"/>
      <c r="F11307" s="22"/>
      <c r="G11307" s="39"/>
    </row>
    <row r="11308" spans="1:8" ht="16.5" thickBot="1">
      <c r="A11308" s="211" t="s">
        <v>522</v>
      </c>
      <c r="B11308" s="216" t="str">
        <f ca="1">_xlfn.CONCAT(B11268,A11308)</f>
        <v>FE32DA2-am</v>
      </c>
      <c r="C11308" s="40"/>
      <c r="D11308" s="193"/>
      <c r="E11308" s="41"/>
      <c r="F11308" s="42"/>
      <c r="G11308" s="43">
        <f>+G11291+G11300+G11306</f>
        <v>209251.13650203438</v>
      </c>
    </row>
    <row r="11309" spans="1:8" ht="21.75" thickBot="1">
      <c r="B11309" s="212" t="s">
        <v>550</v>
      </c>
      <c r="C11309" s="2"/>
      <c r="D11309" s="183"/>
      <c r="F11309" s="4"/>
      <c r="G11309" s="5"/>
    </row>
    <row r="11310" spans="1:8" ht="18.75">
      <c r="A11310" s="213"/>
      <c r="B11310" s="214">
        <v>257</v>
      </c>
      <c r="C11310" s="242" t="str">
        <f ca="1">_xlfn.XLOOKUP(B11310,Cantidades!$A$10:$A$314,Cantidades!$C$10:$C$314,,0,1)</f>
        <v>Salida interruptor triple en tuberia EMT 3/4, promedio 5m.</v>
      </c>
      <c r="D11310" s="243"/>
      <c r="E11310" s="243"/>
      <c r="F11310" s="243"/>
      <c r="G11310" s="244"/>
      <c r="H11310" s="213"/>
    </row>
    <row r="11311" spans="1:8" ht="19.5" thickBot="1">
      <c r="A11311" s="215"/>
      <c r="B11311" s="216" t="s">
        <v>550</v>
      </c>
      <c r="C11311" s="177"/>
      <c r="D11311" s="189"/>
      <c r="E11311" s="178"/>
      <c r="F11311" s="179" t="s">
        <v>636</v>
      </c>
      <c r="G11311" s="209" t="str">
        <f ca="1">B11312</f>
        <v>3D0A3EA-</v>
      </c>
      <c r="H11311" s="215"/>
    </row>
    <row r="11312" spans="1:8" ht="15.75" thickBot="1">
      <c r="B11312" s="212" t="str">
        <f ca="1">_xlfn.XLOOKUP(C11310,Cantidades!$C$1:$C$314,Cantidades!$B$1:$B$314,"",0,1)</f>
        <v>3D0A3EA-</v>
      </c>
      <c r="C11312" s="10" t="s">
        <v>0</v>
      </c>
      <c r="D11312" s="190"/>
      <c r="E11312" s="11"/>
      <c r="F11312" s="12"/>
      <c r="G11312" s="13"/>
    </row>
    <row r="11313" spans="1:8" ht="14.25" thickBot="1">
      <c r="A11313" s="215"/>
      <c r="B11313" s="216" t="s">
        <v>550</v>
      </c>
      <c r="C11313" s="14" t="s">
        <v>1</v>
      </c>
      <c r="D11313" s="15" t="s">
        <v>2</v>
      </c>
      <c r="E11313" s="15" t="s">
        <v>3</v>
      </c>
      <c r="F11313" s="16" t="s">
        <v>4</v>
      </c>
      <c r="G11313" s="15" t="s">
        <v>5</v>
      </c>
      <c r="H11313" s="215"/>
    </row>
    <row r="11314" spans="1:8">
      <c r="A11314" s="211" t="s">
        <v>484</v>
      </c>
      <c r="B11314" s="216" t="str">
        <f ca="1">_xlfn.CONCAT(B11312,A11314)</f>
        <v>3D0A3EA-A</v>
      </c>
      <c r="C11314" s="17" t="str">
        <f>_xlfn.XLOOKUP(H11314,'Materiales unitario'!$A$1:$A$2500,'Materiales unitario'!B$1:B$2500,,0,1)</f>
        <v>Tubo metálico ø3/4" EMT</v>
      </c>
      <c r="D11314" s="184" t="str">
        <f>_xlfn.XLOOKUP(H11314,'Materiales unitario'!A$1:A$2500,'Materiales unitario'!C$1:C$2500,,0,1)</f>
        <v>ml</v>
      </c>
      <c r="E11314" s="197">
        <f>_xlfn.XLOOKUP(H11314,'Materiales unitario'!$A$1:$A$2500,'Materiales unitario'!D$1:D$2500,,0,1)</f>
        <v>11733</v>
      </c>
      <c r="F11314" s="19">
        <v>5.5</v>
      </c>
      <c r="G11314" s="20">
        <f t="shared" ref="G11314:G11323" si="325">+E11314*F11314</f>
        <v>64531.5</v>
      </c>
      <c r="H11314" s="211" t="s">
        <v>388</v>
      </c>
    </row>
    <row r="11315" spans="1:8">
      <c r="A11315" s="211" t="s">
        <v>485</v>
      </c>
      <c r="B11315" s="216" t="str">
        <f ca="1">_xlfn.CONCAT(B11312,A11315)</f>
        <v>3D0A3EA-B</v>
      </c>
      <c r="C11315" s="17" t="str">
        <f>_xlfn.XLOOKUP(H11315,'Materiales unitario'!$A$1:$A$2500,'Materiales unitario'!B$1:B$2500,,0,1)</f>
        <v>Unión metálica ø3/4" EMT</v>
      </c>
      <c r="D11315" s="184" t="str">
        <f>_xlfn.XLOOKUP(H11315,'Materiales unitario'!A$1:A$2500,'Materiales unitario'!C$1:C$2500,,0,1)</f>
        <v>un</v>
      </c>
      <c r="E11315" s="197">
        <f>_xlfn.XLOOKUP(H11315,'Materiales unitario'!$A$1:$A$2500,'Materiales unitario'!D$1:D$2500,,0,1)</f>
        <v>1800</v>
      </c>
      <c r="F11315" s="19">
        <v>2</v>
      </c>
      <c r="G11315" s="20">
        <f t="shared" si="325"/>
        <v>3600</v>
      </c>
      <c r="H11315" s="211" t="s">
        <v>392</v>
      </c>
    </row>
    <row r="11316" spans="1:8">
      <c r="A11316" s="211" t="s">
        <v>486</v>
      </c>
      <c r="B11316" s="216" t="str">
        <f ca="1">_xlfn.CONCAT(B11312,A11316)</f>
        <v>3D0A3EA-C</v>
      </c>
      <c r="C11316" s="17" t="str">
        <f>_xlfn.XLOOKUP(H11316,'Materiales unitario'!$A$1:$A$2500,'Materiales unitario'!B$1:B$2500,,0,1)</f>
        <v xml:space="preserve">Terminal metálico ø3/4" EMT </v>
      </c>
      <c r="D11316" s="184" t="str">
        <f>_xlfn.XLOOKUP(H11316,'Materiales unitario'!A$1:A$2500,'Materiales unitario'!C$1:C$2500,,0,1)</f>
        <v>un</v>
      </c>
      <c r="E11316" s="197">
        <f>_xlfn.XLOOKUP(H11316,'Materiales unitario'!$A$1:$A$2500,'Materiales unitario'!D$1:D$2500,,0,1)</f>
        <v>2200</v>
      </c>
      <c r="F11316" s="19">
        <v>2</v>
      </c>
      <c r="G11316" s="20">
        <f t="shared" si="325"/>
        <v>4400</v>
      </c>
      <c r="H11316" s="211" t="s">
        <v>371</v>
      </c>
    </row>
    <row r="11317" spans="1:8">
      <c r="A11317" s="211" t="s">
        <v>487</v>
      </c>
      <c r="B11317" s="216" t="str">
        <f ca="1">_xlfn.CONCAT(B11312,A11317)</f>
        <v>3D0A3EA-D</v>
      </c>
      <c r="C11317" s="17" t="str">
        <f>_xlfn.XLOOKUP(H11317,'Materiales unitario'!$A$1:$A$2500,'Materiales unitario'!B$1:B$2500,,0,1)</f>
        <v xml:space="preserve">Soporte Metálico Uniestruc Tubería ø3/4" </v>
      </c>
      <c r="D11317" s="184" t="str">
        <f>_xlfn.XLOOKUP(H11317,'Materiales unitario'!A$1:A$2500,'Materiales unitario'!C$1:C$2500,,0,1)</f>
        <v>un</v>
      </c>
      <c r="E11317" s="197">
        <f>_xlfn.XLOOKUP(H11317,'Materiales unitario'!$A$1:$A$2500,'Materiales unitario'!D$1:D$2500,,0,1)</f>
        <v>630</v>
      </c>
      <c r="F11317" s="19">
        <v>4</v>
      </c>
      <c r="G11317" s="20">
        <f t="shared" si="325"/>
        <v>2520</v>
      </c>
      <c r="H11317" s="211" t="s">
        <v>356</v>
      </c>
    </row>
    <row r="11318" spans="1:8">
      <c r="A11318" s="211" t="s">
        <v>488</v>
      </c>
      <c r="B11318" s="216" t="str">
        <f ca="1">_xlfn.CONCAT(B11312,A11318)</f>
        <v>3D0A3EA-E</v>
      </c>
      <c r="C11318" s="17" t="str">
        <f>_xlfn.XLOOKUP(H11318,'Materiales unitario'!$A$1:$A$2500,'Materiales unitario'!B$1:B$2500,,0,1)</f>
        <v>Alambre de cobre desnudo #12 AWG-ED</v>
      </c>
      <c r="D11318" s="184" t="str">
        <f>_xlfn.XLOOKUP(H11318,'Materiales unitario'!A$1:A$2500,'Materiales unitario'!C$1:C$2500,,0,1)</f>
        <v>ml</v>
      </c>
      <c r="E11318" s="197">
        <f>_xlfn.XLOOKUP(H11318,'Materiales unitario'!$A$1:$A$2500,'Materiales unitario'!D$1:D$2500,,0,1)</f>
        <v>2558.5</v>
      </c>
      <c r="F11318" s="19">
        <v>6.2</v>
      </c>
      <c r="G11318" s="20">
        <f t="shared" si="325"/>
        <v>15862.7</v>
      </c>
      <c r="H11318" s="211" t="s">
        <v>227</v>
      </c>
    </row>
    <row r="11319" spans="1:8">
      <c r="A11319" s="211" t="s">
        <v>489</v>
      </c>
      <c r="B11319" s="216" t="str">
        <f ca="1">_xlfn.CONCAT(B11312,A11319)</f>
        <v>3D0A3EA-F</v>
      </c>
      <c r="C11319" s="17" t="str">
        <f>_xlfn.XLOOKUP(H11319,'Materiales unitario'!$A$1:$A$2500,'Materiales unitario'!B$1:B$2500,,0,1)</f>
        <v>Alambre de cobre aislado #12 AWG-THHN/THWN Color negro</v>
      </c>
      <c r="D11319" s="184" t="str">
        <f>_xlfn.XLOOKUP(H11319,'Materiales unitario'!A$1:A$2500,'Materiales unitario'!C$1:C$2500,,0,1)</f>
        <v>ml</v>
      </c>
      <c r="E11319" s="197">
        <f>_xlfn.XLOOKUP(H11319,'Materiales unitario'!$A$1:$A$2500,'Materiales unitario'!D$1:D$2500,,0,1)</f>
        <v>2975</v>
      </c>
      <c r="F11319" s="19">
        <v>25</v>
      </c>
      <c r="G11319" s="20">
        <f t="shared" si="325"/>
        <v>74375</v>
      </c>
      <c r="H11319" s="211" t="s">
        <v>524</v>
      </c>
    </row>
    <row r="11320" spans="1:8">
      <c r="A11320" s="211" t="s">
        <v>490</v>
      </c>
      <c r="B11320" s="216" t="str">
        <f ca="1">_xlfn.CONCAT(B11312,A11320)</f>
        <v>3D0A3EA-G</v>
      </c>
      <c r="C11320" s="17" t="str">
        <f>_xlfn.XLOOKUP(H11320,'Materiales unitario'!$A$1:$A$2500,'Materiales unitario'!B$1:B$2500,,0,1)</f>
        <v>Conector de resorte rojo "R" 18-10 AWG</v>
      </c>
      <c r="D11320" s="184" t="str">
        <f>_xlfn.XLOOKUP(H11320,'Materiales unitario'!A$1:A$2500,'Materiales unitario'!C$1:C$2500,,0,1)</f>
        <v>un</v>
      </c>
      <c r="E11320" s="197">
        <f>_xlfn.XLOOKUP(H11320,'Materiales unitario'!$A$1:$A$2500,'Materiales unitario'!D$1:D$2500,,0,1)</f>
        <v>280</v>
      </c>
      <c r="F11320" s="19">
        <v>3</v>
      </c>
      <c r="G11320" s="20">
        <f t="shared" si="325"/>
        <v>840</v>
      </c>
      <c r="H11320" s="211" t="s">
        <v>302</v>
      </c>
    </row>
    <row r="11321" spans="1:8">
      <c r="A11321" s="211" t="s">
        <v>491</v>
      </c>
      <c r="B11321" s="216" t="str">
        <f ca="1">_xlfn.CONCAT(B11312,A11321)</f>
        <v>3D0A3EA-H</v>
      </c>
      <c r="C11321" s="17" t="str">
        <f>_xlfn.XLOOKUP(H11321,'Materiales unitario'!$A$1:$A$2500,'Materiales unitario'!B$1:B$2500,,0,1)</f>
        <v xml:space="preserve">Caja galvanizada ref. 2400 + suplemento (Cal. 20) </v>
      </c>
      <c r="D11321" s="184" t="str">
        <f>_xlfn.XLOOKUP(H11321,'Materiales unitario'!A$1:A$2500,'Materiales unitario'!C$1:C$2500,,0,1)</f>
        <v>un</v>
      </c>
      <c r="E11321" s="197">
        <f>_xlfn.XLOOKUP(H11321,'Materiales unitario'!$A$1:$A$2500,'Materiales unitario'!D$1:D$2500,,0,1)</f>
        <v>4522</v>
      </c>
      <c r="F11321" s="19">
        <v>1.05</v>
      </c>
      <c r="G11321" s="20">
        <f t="shared" si="325"/>
        <v>4748.1000000000004</v>
      </c>
      <c r="H11321" s="211" t="s">
        <v>283</v>
      </c>
    </row>
    <row r="11322" spans="1:8">
      <c r="A11322" s="211" t="s">
        <v>492</v>
      </c>
      <c r="B11322" s="216" t="str">
        <f ca="1">_xlfn.CONCAT(B11312,A11322)</f>
        <v>3D0A3EA-I</v>
      </c>
      <c r="C11322" s="17" t="str">
        <f>_xlfn.XLOOKUP(H11322,'Materiales unitario'!$A$1:$A$2500,'Materiales unitario'!B$1:B$2500,,0,1)</f>
        <v>Marquillas para circuito</v>
      </c>
      <c r="D11322" s="184" t="str">
        <f>_xlfn.XLOOKUP(H11322,'Materiales unitario'!A$1:A$2500,'Materiales unitario'!C$1:C$2500,,0,1)</f>
        <v>un</v>
      </c>
      <c r="E11322" s="197">
        <f>_xlfn.XLOOKUP(H11322,'Materiales unitario'!$A$1:$A$2500,'Materiales unitario'!D$1:D$2500,,0,1)</f>
        <v>1000</v>
      </c>
      <c r="F11322" s="19">
        <v>1</v>
      </c>
      <c r="G11322" s="20">
        <f t="shared" si="325"/>
        <v>1000</v>
      </c>
      <c r="H11322" s="211" t="s">
        <v>339</v>
      </c>
    </row>
    <row r="11323" spans="1:8">
      <c r="A11323" s="211" t="s">
        <v>493</v>
      </c>
      <c r="B11323" s="216" t="str">
        <f ca="1">_xlfn.CONCAT(B11312,A11323)</f>
        <v>3D0A3EA-J</v>
      </c>
      <c r="C11323" s="17" t="str">
        <f>_xlfn.XLOOKUP(H11323,'Materiales unitario'!$A$1:$A$2500,'Materiales unitario'!B$1:B$2500,,0,1)</f>
        <v>Interruptor triple Genesis</v>
      </c>
      <c r="D11323" s="184" t="str">
        <f>_xlfn.XLOOKUP(H11323,'Materiales unitario'!A$1:A$2500,'Materiales unitario'!C$1:C$2500,,0,1)</f>
        <v>un</v>
      </c>
      <c r="E11323" s="197">
        <f>_xlfn.XLOOKUP(H11323,'Materiales unitario'!$A$1:$A$2500,'Materiales unitario'!D$1:D$2500,,0,1)</f>
        <v>17520</v>
      </c>
      <c r="F11323" s="19">
        <v>1</v>
      </c>
      <c r="G11323" s="20">
        <f t="shared" si="325"/>
        <v>17520</v>
      </c>
      <c r="H11323" s="211" t="s">
        <v>1750</v>
      </c>
    </row>
    <row r="11324" spans="1:8">
      <c r="A11324" s="211" t="s">
        <v>494</v>
      </c>
      <c r="B11324" s="216" t="str">
        <f ca="1">_xlfn.CONCAT(B11312,A11324)</f>
        <v>3D0A3EA-K</v>
      </c>
      <c r="C11324" s="17"/>
      <c r="D11324" s="184"/>
      <c r="E11324" s="197"/>
      <c r="F11324" s="19"/>
      <c r="G11324" s="20"/>
    </row>
    <row r="11325" spans="1:8">
      <c r="A11325" s="211" t="s">
        <v>495</v>
      </c>
      <c r="B11325" s="216" t="str">
        <f ca="1">_xlfn.CONCAT(B11312,A11325)</f>
        <v>3D0A3EA-L</v>
      </c>
      <c r="C11325" s="17"/>
      <c r="D11325" s="184"/>
      <c r="E11325" s="197"/>
      <c r="F11325" s="19"/>
      <c r="G11325" s="20"/>
    </row>
    <row r="11326" spans="1:8">
      <c r="A11326" s="211" t="s">
        <v>496</v>
      </c>
      <c r="B11326" s="216" t="str">
        <f ca="1">_xlfn.CONCAT(B11312,A11326)</f>
        <v>3D0A3EA-M</v>
      </c>
      <c r="C11326" s="17"/>
      <c r="D11326" s="184"/>
      <c r="E11326" s="197"/>
      <c r="F11326" s="19"/>
      <c r="G11326" s="20"/>
    </row>
    <row r="11327" spans="1:8">
      <c r="A11327" s="211" t="s">
        <v>497</v>
      </c>
      <c r="B11327" s="216" t="str">
        <f ca="1">_xlfn.CONCAT(B11312,A11327)</f>
        <v>3D0A3EA-N</v>
      </c>
      <c r="C11327" s="17"/>
      <c r="D11327" s="184"/>
      <c r="E11327" s="197"/>
      <c r="F11327" s="19"/>
      <c r="G11327" s="20"/>
    </row>
    <row r="11328" spans="1:8">
      <c r="A11328" s="211" t="s">
        <v>498</v>
      </c>
      <c r="B11328" s="216" t="str">
        <f ca="1">_xlfn.CONCAT(B11312,A11328)</f>
        <v>3D0A3EA-O</v>
      </c>
      <c r="C11328" s="17"/>
      <c r="D11328" s="184"/>
      <c r="E11328" s="197"/>
      <c r="F11328" s="19"/>
      <c r="G11328" s="20"/>
    </row>
    <row r="11329" spans="1:8">
      <c r="A11329" s="211" t="s">
        <v>499</v>
      </c>
      <c r="B11329" s="216" t="str">
        <f ca="1">_xlfn.CONCAT(B11312,A11329)</f>
        <v>3D0A3EA-P</v>
      </c>
      <c r="C11329" s="17"/>
      <c r="D11329" s="184"/>
      <c r="E11329" s="197"/>
      <c r="F11329" s="19"/>
      <c r="G11329" s="20"/>
    </row>
    <row r="11330" spans="1:8">
      <c r="A11330" s="211" t="s">
        <v>500</v>
      </c>
      <c r="B11330" s="216" t="str">
        <f ca="1">_xlfn.CONCAT(B11312,A11330)</f>
        <v>3D0A3EA-Q</v>
      </c>
      <c r="C11330" s="17"/>
      <c r="D11330" s="184"/>
      <c r="E11330" s="197"/>
      <c r="F11330" s="19"/>
      <c r="G11330" s="20"/>
    </row>
    <row r="11331" spans="1:8">
      <c r="A11331" s="211" t="s">
        <v>501</v>
      </c>
      <c r="B11331" s="216" t="str">
        <f ca="1">_xlfn.CONCAT(B11312,A11331)</f>
        <v>3D0A3EA-R</v>
      </c>
      <c r="C11331" s="17"/>
      <c r="D11331" s="184"/>
      <c r="E11331" s="197"/>
      <c r="F11331" s="19"/>
      <c r="G11331" s="20"/>
    </row>
    <row r="11332" spans="1:8">
      <c r="A11332" s="211" t="s">
        <v>502</v>
      </c>
      <c r="B11332" s="216" t="str">
        <f ca="1">_xlfn.CONCAT(B11312,A11332)</f>
        <v>3D0A3EA-S</v>
      </c>
      <c r="C11332" s="17"/>
      <c r="D11332" s="184"/>
      <c r="E11332" s="197"/>
      <c r="F11332" s="19"/>
      <c r="G11332" s="20"/>
    </row>
    <row r="11333" spans="1:8">
      <c r="A11333" s="211" t="s">
        <v>503</v>
      </c>
      <c r="B11333" s="216" t="str">
        <f ca="1">_xlfn.CONCAT(B11312,A11333)</f>
        <v>3D0A3EA-T</v>
      </c>
      <c r="C11333" s="17"/>
      <c r="D11333" s="184"/>
      <c r="E11333" s="197"/>
      <c r="F11333" s="19"/>
      <c r="G11333" s="20"/>
    </row>
    <row r="11334" spans="1:8" ht="14.25" thickBot="1">
      <c r="A11334" s="211" t="s">
        <v>504</v>
      </c>
      <c r="B11334" s="216" t="str">
        <f ca="1">_xlfn.CONCAT(B11312,A11334)</f>
        <v>3D0A3EA-U</v>
      </c>
      <c r="C11334" s="17"/>
      <c r="D11334" s="184"/>
      <c r="E11334" s="197"/>
      <c r="F11334" s="19"/>
      <c r="G11334" s="20"/>
    </row>
    <row r="11335" spans="1:8" ht="14.25" thickBot="1">
      <c r="A11335" s="211" t="s">
        <v>505</v>
      </c>
      <c r="B11335" s="216" t="str">
        <f ca="1">_xlfn.CONCAT(B11312,A11335)</f>
        <v>3D0A3EA-V</v>
      </c>
      <c r="C11335" s="17" t="s">
        <v>17</v>
      </c>
      <c r="D11335" s="192" t="s">
        <v>17</v>
      </c>
      <c r="E11335" s="18"/>
      <c r="F11335" s="22" t="s">
        <v>18</v>
      </c>
      <c r="G11335" s="23">
        <f>SUM(G11314:G11334)</f>
        <v>189397.30000000002</v>
      </c>
    </row>
    <row r="11336" spans="1:8" ht="15.75" thickBot="1">
      <c r="A11336" s="211" t="s">
        <v>506</v>
      </c>
      <c r="B11336" s="216" t="str">
        <f ca="1">_xlfn.CONCAT(B11312,A11336)</f>
        <v>3D0A3EA-W</v>
      </c>
      <c r="C11336" s="10" t="s">
        <v>19</v>
      </c>
      <c r="D11336" s="190"/>
      <c r="E11336" s="11"/>
      <c r="F11336" s="12"/>
      <c r="G11336" s="13"/>
    </row>
    <row r="11337" spans="1:8" ht="14.25" thickBot="1">
      <c r="A11337" s="211" t="s">
        <v>507</v>
      </c>
      <c r="B11337" s="216" t="str">
        <f ca="1">_xlfn.CONCAT(B11312,A11337)</f>
        <v>3D0A3EA-X</v>
      </c>
      <c r="C11337" s="14" t="s">
        <v>1</v>
      </c>
      <c r="D11337" s="15"/>
      <c r="E11337" s="15" t="s">
        <v>20</v>
      </c>
      <c r="F11337" s="16" t="s">
        <v>21</v>
      </c>
      <c r="G11337" s="15" t="s">
        <v>5</v>
      </c>
      <c r="H11337" s="215"/>
    </row>
    <row r="11338" spans="1:8">
      <c r="A11338" s="211" t="s">
        <v>508</v>
      </c>
      <c r="B11338" s="216" t="str">
        <f ca="1">_xlfn.CONCAT(B11312,A11338)</f>
        <v>3D0A3EA-Y</v>
      </c>
      <c r="C11338" s="24" t="s">
        <v>22</v>
      </c>
      <c r="D11338" s="184"/>
      <c r="E11338" s="25">
        <f>_xlfn.XLOOKUP(C11338,'H-MO'!B$7:B$30,'H-MO'!D$7:D$30,,0,1)</f>
        <v>2436.5624999999995</v>
      </c>
      <c r="F11338" s="19">
        <v>0.5</v>
      </c>
      <c r="G11338" s="33">
        <f t="shared" ref="G11338:G11343" si="326">+E11338*F11338</f>
        <v>1218.2812499999998</v>
      </c>
    </row>
    <row r="11339" spans="1:8">
      <c r="A11339" s="211" t="s">
        <v>509</v>
      </c>
      <c r="B11339" s="216" t="str">
        <f ca="1">_xlfn.CONCAT(B11312,A11339)</f>
        <v>3D0A3EA-Z</v>
      </c>
      <c r="C11339" s="24" t="s">
        <v>23</v>
      </c>
      <c r="D11339" s="184"/>
      <c r="E11339" s="25">
        <f>_xlfn.XLOOKUP(C11339,'H-MO'!B$7:B$30,'H-MO'!D$7:D$30,,0,1)</f>
        <v>1461.9374999999998</v>
      </c>
      <c r="F11339" s="19">
        <v>0.12</v>
      </c>
      <c r="G11339" s="33">
        <f t="shared" si="326"/>
        <v>175.43249999999998</v>
      </c>
    </row>
    <row r="11340" spans="1:8">
      <c r="A11340" s="211" t="s">
        <v>510</v>
      </c>
      <c r="B11340" s="216" t="str">
        <f ca="1">_xlfn.CONCAT(B11312,A11340)</f>
        <v>3D0A3EA-aa</v>
      </c>
      <c r="C11340" s="24" t="s">
        <v>24</v>
      </c>
      <c r="D11340" s="185"/>
      <c r="E11340" s="25">
        <f>_xlfn.XLOOKUP(C11340,'H-MO'!B$7:B$30,'H-MO'!D$7:D$30,,0,1)</f>
        <v>29238.749999999996</v>
      </c>
      <c r="F11340" s="28">
        <v>2E-3</v>
      </c>
      <c r="G11340" s="33">
        <f t="shared" si="326"/>
        <v>58.477499999999992</v>
      </c>
    </row>
    <row r="11341" spans="1:8">
      <c r="A11341" s="211" t="s">
        <v>511</v>
      </c>
      <c r="B11341" s="216" t="str">
        <f ca="1">_xlfn.CONCAT(B11312,A11341)</f>
        <v>3D0A3EA-ab</v>
      </c>
      <c r="C11341" s="24" t="s">
        <v>25</v>
      </c>
      <c r="D11341" s="185"/>
      <c r="E11341" s="25">
        <f>_xlfn.XLOOKUP(C11341,'H-MO'!B$7:B$30,'H-MO'!D$7:D$30,,0,1)</f>
        <v>2761.4374999999995</v>
      </c>
      <c r="F11341" s="28">
        <v>0.5</v>
      </c>
      <c r="G11341" s="33">
        <f t="shared" si="326"/>
        <v>1380.7187499999998</v>
      </c>
    </row>
    <row r="11342" spans="1:8">
      <c r="A11342" s="211" t="s">
        <v>512</v>
      </c>
      <c r="B11342" s="216" t="str">
        <f ca="1">_xlfn.CONCAT(B11312,A11342)</f>
        <v>3D0A3EA-ac</v>
      </c>
      <c r="C11342" s="24"/>
      <c r="D11342" s="185"/>
      <c r="E11342" s="29"/>
      <c r="F11342" s="28"/>
      <c r="G11342" s="33">
        <f t="shared" si="326"/>
        <v>0</v>
      </c>
    </row>
    <row r="11343" spans="1:8" ht="14.25" thickBot="1">
      <c r="A11343" s="211" t="s">
        <v>513</v>
      </c>
      <c r="B11343" s="216" t="str">
        <f ca="1">_xlfn.CONCAT(B11312,A11343)</f>
        <v>3D0A3EA-ad</v>
      </c>
      <c r="C11343" s="24"/>
      <c r="D11343" s="185"/>
      <c r="E11343" s="29"/>
      <c r="F11343" s="28"/>
      <c r="G11343" s="33">
        <f t="shared" si="326"/>
        <v>0</v>
      </c>
    </row>
    <row r="11344" spans="1:8" ht="14.25" thickBot="1">
      <c r="A11344" s="211" t="s">
        <v>514</v>
      </c>
      <c r="B11344" s="216" t="str">
        <f ca="1">_xlfn.CONCAT(B11312,A11344)</f>
        <v>3D0A3EA-ae</v>
      </c>
      <c r="C11344" s="17"/>
      <c r="D11344" s="192"/>
      <c r="E11344" s="18"/>
      <c r="F11344" s="22" t="s">
        <v>26</v>
      </c>
      <c r="G11344" s="23">
        <f>SUM(G11338:G11343)</f>
        <v>2832.9099999999994</v>
      </c>
    </row>
    <row r="11345" spans="1:8" ht="15.75" thickBot="1">
      <c r="A11345" s="211" t="s">
        <v>515</v>
      </c>
      <c r="B11345" s="216" t="str">
        <f ca="1">_xlfn.CONCAT(B11312,A11345)</f>
        <v>3D0A3EA-af</v>
      </c>
      <c r="C11345" s="10" t="s">
        <v>27</v>
      </c>
      <c r="D11345" s="190"/>
      <c r="E11345" s="11"/>
      <c r="F11345" s="12"/>
      <c r="G11345" s="13"/>
    </row>
    <row r="11346" spans="1:8" ht="14.25" thickBot="1">
      <c r="A11346" s="211" t="s">
        <v>516</v>
      </c>
      <c r="B11346" s="216" t="str">
        <f ca="1">_xlfn.CONCAT(B11312,A11346)</f>
        <v>3D0A3EA-ag</v>
      </c>
      <c r="C11346" s="14" t="s">
        <v>1</v>
      </c>
      <c r="D11346" s="15" t="s">
        <v>28</v>
      </c>
      <c r="E11346" s="15" t="s">
        <v>20</v>
      </c>
      <c r="F11346" s="16" t="s">
        <v>21</v>
      </c>
      <c r="G11346" s="15" t="s">
        <v>5</v>
      </c>
      <c r="H11346" s="215"/>
    </row>
    <row r="11347" spans="1:8">
      <c r="A11347" s="211" t="s">
        <v>517</v>
      </c>
      <c r="B11347" s="216" t="str">
        <f ca="1">_xlfn.CONCAT(B11312,A11347)</f>
        <v>3D0A3EA-ah</v>
      </c>
      <c r="C11347" s="30" t="s">
        <v>29</v>
      </c>
      <c r="D11347" s="186">
        <f>'H-MO'!$N$77</f>
        <v>725918.52892505517</v>
      </c>
      <c r="E11347" s="31">
        <f>+D11347/8</f>
        <v>90739.816115631897</v>
      </c>
      <c r="F11347" s="32">
        <v>0.47</v>
      </c>
      <c r="G11347" s="33">
        <f>+E11347*F11347</f>
        <v>42647.713574346992</v>
      </c>
    </row>
    <row r="11348" spans="1:8">
      <c r="A11348" s="211" t="s">
        <v>518</v>
      </c>
      <c r="B11348" s="216" t="str">
        <f ca="1">_xlfn.CONCAT(B11312,A11348)</f>
        <v>3D0A3EA-ai</v>
      </c>
      <c r="C11348" s="34" t="s">
        <v>30</v>
      </c>
      <c r="D11348" s="187">
        <f>'H-MO'!$N$86</f>
        <v>685561.39085756091</v>
      </c>
      <c r="E11348" s="29">
        <f>+D11348/8</f>
        <v>85695.173857195114</v>
      </c>
      <c r="F11348" s="28">
        <v>0</v>
      </c>
      <c r="G11348" s="33">
        <f>+E11348*F11348</f>
        <v>0</v>
      </c>
    </row>
    <row r="11349" spans="1:8" ht="14.25" thickBot="1">
      <c r="A11349" s="211" t="s">
        <v>519</v>
      </c>
      <c r="B11349" s="216" t="str">
        <f ca="1">_xlfn.CONCAT(B11312,A11349)</f>
        <v>3D0A3EA-aj</v>
      </c>
      <c r="C11349" s="34"/>
      <c r="D11349" s="187"/>
      <c r="E11349" s="29"/>
      <c r="F11349" s="28"/>
      <c r="G11349" s="33">
        <f>+E11349*F11349</f>
        <v>0</v>
      </c>
    </row>
    <row r="11350" spans="1:8" ht="14.25" thickBot="1">
      <c r="A11350" s="211" t="s">
        <v>520</v>
      </c>
      <c r="B11350" s="216" t="str">
        <f ca="1">_xlfn.CONCAT(B11312,A11350)</f>
        <v>3D0A3EA-ak</v>
      </c>
      <c r="C11350" s="34"/>
      <c r="D11350" s="185"/>
      <c r="E11350" s="26"/>
      <c r="F11350" s="36" t="s">
        <v>31</v>
      </c>
      <c r="G11350" s="23">
        <f>SUM(G11347:G11349)</f>
        <v>42647.713574346992</v>
      </c>
    </row>
    <row r="11351" spans="1:8" ht="14.25" thickBot="1">
      <c r="A11351" s="211" t="s">
        <v>521</v>
      </c>
      <c r="B11351" s="216" t="str">
        <f ca="1">_xlfn.CONCAT(B11312,A11351)</f>
        <v>3D0A3EA-al</v>
      </c>
      <c r="C11351" s="37"/>
      <c r="E11351" s="38"/>
      <c r="F11351" s="22"/>
      <c r="G11351" s="39"/>
    </row>
    <row r="11352" spans="1:8" ht="16.5" thickBot="1">
      <c r="A11352" s="211" t="s">
        <v>522</v>
      </c>
      <c r="B11352" s="216" t="str">
        <f ca="1">_xlfn.CONCAT(B11312,A11352)</f>
        <v>3D0A3EA-am</v>
      </c>
      <c r="C11352" s="40"/>
      <c r="D11352" s="193"/>
      <c r="E11352" s="41"/>
      <c r="F11352" s="42"/>
      <c r="G11352" s="43">
        <f>+G11335+G11344+G11350</f>
        <v>234877.92357434702</v>
      </c>
    </row>
    <row r="11353" spans="1:8" ht="21.75" thickBot="1">
      <c r="B11353" s="212" t="s">
        <v>550</v>
      </c>
      <c r="C11353" s="2"/>
      <c r="D11353" s="183"/>
      <c r="F11353" s="4"/>
      <c r="G11353" s="5"/>
    </row>
    <row r="11354" spans="1:8" ht="18.75">
      <c r="A11354" s="213"/>
      <c r="B11354" s="214">
        <v>258</v>
      </c>
      <c r="C11354" s="242" t="str">
        <f ca="1">_xlfn.XLOOKUP(B11354,Cantidades!$A$10:$A$314,Cantidades!$C$10:$C$314,,0,1)</f>
        <v>Salida electrica en tuberia EMT 3/4 en conductores 4x12 AWG, promedio 5m por muro</v>
      </c>
      <c r="D11354" s="243"/>
      <c r="E11354" s="243"/>
      <c r="F11354" s="243"/>
      <c r="G11354" s="244"/>
      <c r="H11354" s="213"/>
    </row>
    <row r="11355" spans="1:8" ht="19.5" thickBot="1">
      <c r="A11355" s="215"/>
      <c r="B11355" s="216" t="s">
        <v>550</v>
      </c>
      <c r="C11355" s="177"/>
      <c r="D11355" s="189"/>
      <c r="E11355" s="178"/>
      <c r="F11355" s="179" t="s">
        <v>636</v>
      </c>
      <c r="G11355" s="209" t="str">
        <f ca="1">B11356</f>
        <v>1F00391-</v>
      </c>
      <c r="H11355" s="215"/>
    </row>
    <row r="11356" spans="1:8" ht="15.75" thickBot="1">
      <c r="B11356" s="212" t="str">
        <f ca="1">_xlfn.XLOOKUP(C11354,Cantidades!$C$1:$C$314,Cantidades!$B$1:$B$314,"",0,1)</f>
        <v>1F00391-</v>
      </c>
      <c r="C11356" s="10" t="s">
        <v>0</v>
      </c>
      <c r="D11356" s="190"/>
      <c r="E11356" s="11"/>
      <c r="F11356" s="12"/>
      <c r="G11356" s="13"/>
    </row>
    <row r="11357" spans="1:8" ht="14.25" thickBot="1">
      <c r="A11357" s="215"/>
      <c r="B11357" s="216" t="s">
        <v>550</v>
      </c>
      <c r="C11357" s="14" t="s">
        <v>1</v>
      </c>
      <c r="D11357" s="15" t="s">
        <v>2</v>
      </c>
      <c r="E11357" s="15" t="s">
        <v>3</v>
      </c>
      <c r="F11357" s="16" t="s">
        <v>4</v>
      </c>
      <c r="G11357" s="15" t="s">
        <v>5</v>
      </c>
      <c r="H11357" s="215"/>
    </row>
    <row r="11358" spans="1:8">
      <c r="A11358" s="211" t="s">
        <v>484</v>
      </c>
      <c r="B11358" s="216" t="str">
        <f ca="1">_xlfn.CONCAT(B11356,A11358)</f>
        <v>1F00391-A</v>
      </c>
      <c r="C11358" s="17" t="str">
        <f>_xlfn.XLOOKUP(H11358,'Materiales unitario'!$A$1:$A$2500,'Materiales unitario'!B$1:B$2500,,0,1)</f>
        <v>Tubo metálico ø3/4" EMT</v>
      </c>
      <c r="D11358" s="184" t="str">
        <f>_xlfn.XLOOKUP(H11358,'Materiales unitario'!A$1:A$2500,'Materiales unitario'!C$1:C$2500,,0,1)</f>
        <v>ml</v>
      </c>
      <c r="E11358" s="197">
        <f>_xlfn.XLOOKUP(H11358,'Materiales unitario'!$A$1:$A$2500,'Materiales unitario'!D$1:D$2500,,0,1)</f>
        <v>11733</v>
      </c>
      <c r="F11358" s="19">
        <v>5.5</v>
      </c>
      <c r="G11358" s="20">
        <f t="shared" ref="G11358:G11366" si="327">+E11358*F11358</f>
        <v>64531.5</v>
      </c>
      <c r="H11358" s="211" t="s">
        <v>388</v>
      </c>
    </row>
    <row r="11359" spans="1:8">
      <c r="A11359" s="211" t="s">
        <v>485</v>
      </c>
      <c r="B11359" s="216" t="str">
        <f ca="1">_xlfn.CONCAT(B11356,A11359)</f>
        <v>1F00391-B</v>
      </c>
      <c r="C11359" s="17" t="str">
        <f>_xlfn.XLOOKUP(H11359,'Materiales unitario'!$A$1:$A$2500,'Materiales unitario'!B$1:B$2500,,0,1)</f>
        <v>Unión metálica ø3/4" EMT</v>
      </c>
      <c r="D11359" s="184" t="str">
        <f>_xlfn.XLOOKUP(H11359,'Materiales unitario'!A$1:A$2500,'Materiales unitario'!C$1:C$2500,,0,1)</f>
        <v>un</v>
      </c>
      <c r="E11359" s="197">
        <f>_xlfn.XLOOKUP(H11359,'Materiales unitario'!$A$1:$A$2500,'Materiales unitario'!D$1:D$2500,,0,1)</f>
        <v>1800</v>
      </c>
      <c r="F11359" s="19">
        <v>1</v>
      </c>
      <c r="G11359" s="20">
        <f t="shared" si="327"/>
        <v>1800</v>
      </c>
      <c r="H11359" s="211" t="s">
        <v>392</v>
      </c>
    </row>
    <row r="11360" spans="1:8">
      <c r="A11360" s="211" t="s">
        <v>486</v>
      </c>
      <c r="B11360" s="216" t="str">
        <f ca="1">_xlfn.CONCAT(B11356,A11360)</f>
        <v>1F00391-C</v>
      </c>
      <c r="C11360" s="17" t="str">
        <f>_xlfn.XLOOKUP(H11360,'Materiales unitario'!$A$1:$A$2500,'Materiales unitario'!B$1:B$2500,,0,1)</f>
        <v xml:space="preserve">Terminal metálico ø3/4" EMT </v>
      </c>
      <c r="D11360" s="184" t="str">
        <f>_xlfn.XLOOKUP(H11360,'Materiales unitario'!A$1:A$2500,'Materiales unitario'!C$1:C$2500,,0,1)</f>
        <v>un</v>
      </c>
      <c r="E11360" s="197">
        <f>_xlfn.XLOOKUP(H11360,'Materiales unitario'!$A$1:$A$2500,'Materiales unitario'!D$1:D$2500,,0,1)</f>
        <v>2200</v>
      </c>
      <c r="F11360" s="19">
        <v>2</v>
      </c>
      <c r="G11360" s="20">
        <f t="shared" si="327"/>
        <v>4400</v>
      </c>
      <c r="H11360" s="211" t="s">
        <v>371</v>
      </c>
    </row>
    <row r="11361" spans="1:8">
      <c r="A11361" s="211" t="s">
        <v>487</v>
      </c>
      <c r="B11361" s="216" t="str">
        <f ca="1">_xlfn.CONCAT(B11356,A11361)</f>
        <v>1F00391-D</v>
      </c>
      <c r="C11361" s="17" t="str">
        <f>_xlfn.XLOOKUP(H11361,'Materiales unitario'!$A$1:$A$2500,'Materiales unitario'!B$1:B$2500,,0,1)</f>
        <v xml:space="preserve">Soporte Metálico Uniestruc Tubería ø3/4" </v>
      </c>
      <c r="D11361" s="184" t="str">
        <f>_xlfn.XLOOKUP(H11361,'Materiales unitario'!A$1:A$2500,'Materiales unitario'!C$1:C$2500,,0,1)</f>
        <v>un</v>
      </c>
      <c r="E11361" s="197">
        <f>_xlfn.XLOOKUP(H11361,'Materiales unitario'!$A$1:$A$2500,'Materiales unitario'!D$1:D$2500,,0,1)</f>
        <v>630</v>
      </c>
      <c r="F11361" s="19">
        <v>2</v>
      </c>
      <c r="G11361" s="20">
        <f t="shared" si="327"/>
        <v>1260</v>
      </c>
      <c r="H11361" s="211" t="s">
        <v>356</v>
      </c>
    </row>
    <row r="11362" spans="1:8">
      <c r="A11362" s="211" t="s">
        <v>488</v>
      </c>
      <c r="B11362" s="216" t="str">
        <f ca="1">_xlfn.CONCAT(B11356,A11362)</f>
        <v>1F00391-E</v>
      </c>
      <c r="C11362" s="17" t="str">
        <f>_xlfn.XLOOKUP(H11362,'Materiales unitario'!$A$1:$A$2500,'Materiales unitario'!B$1:B$2500,,0,1)</f>
        <v>Alambre de cobre desnudo #12 AWG-ED</v>
      </c>
      <c r="D11362" s="184" t="str">
        <f>_xlfn.XLOOKUP(H11362,'Materiales unitario'!A$1:A$2500,'Materiales unitario'!C$1:C$2500,,0,1)</f>
        <v>ml</v>
      </c>
      <c r="E11362" s="197">
        <f>_xlfn.XLOOKUP(H11362,'Materiales unitario'!$A$1:$A$2500,'Materiales unitario'!D$1:D$2500,,0,1)</f>
        <v>2558.5</v>
      </c>
      <c r="F11362" s="19">
        <v>6</v>
      </c>
      <c r="G11362" s="20">
        <f t="shared" si="327"/>
        <v>15351</v>
      </c>
      <c r="H11362" s="211" t="s">
        <v>227</v>
      </c>
    </row>
    <row r="11363" spans="1:8">
      <c r="A11363" s="211" t="s">
        <v>489</v>
      </c>
      <c r="B11363" s="216" t="str">
        <f ca="1">_xlfn.CONCAT(B11356,A11363)</f>
        <v>1F00391-F</v>
      </c>
      <c r="C11363" s="17" t="str">
        <f>_xlfn.XLOOKUP(H11363,'Materiales unitario'!$A$1:$A$2500,'Materiales unitario'!B$1:B$2500,,0,1)</f>
        <v>Alambre de cobre aislado #12 AWG-THHN/THWN Color negro</v>
      </c>
      <c r="D11363" s="184" t="str">
        <f>_xlfn.XLOOKUP(H11363,'Materiales unitario'!A$1:A$2500,'Materiales unitario'!C$1:C$2500,,0,1)</f>
        <v>ml</v>
      </c>
      <c r="E11363" s="197">
        <f>_xlfn.XLOOKUP(H11363,'Materiales unitario'!$A$1:$A$2500,'Materiales unitario'!D$1:D$2500,,0,1)</f>
        <v>2975</v>
      </c>
      <c r="F11363" s="19">
        <v>18</v>
      </c>
      <c r="G11363" s="20">
        <f t="shared" si="327"/>
        <v>53550</v>
      </c>
      <c r="H11363" s="211" t="s">
        <v>524</v>
      </c>
    </row>
    <row r="11364" spans="1:8">
      <c r="A11364" s="211" t="s">
        <v>490</v>
      </c>
      <c r="B11364" s="216" t="str">
        <f ca="1">_xlfn.CONCAT(B11356,A11364)</f>
        <v>1F00391-G</v>
      </c>
      <c r="C11364" s="17" t="str">
        <f>_xlfn.XLOOKUP(H11364,'Materiales unitario'!$A$1:$A$2500,'Materiales unitario'!B$1:B$2500,,0,1)</f>
        <v>Conector de resorte rojo "R" 18-10 AWG</v>
      </c>
      <c r="D11364" s="184" t="str">
        <f>_xlfn.XLOOKUP(H11364,'Materiales unitario'!A$1:A$2500,'Materiales unitario'!C$1:C$2500,,0,1)</f>
        <v>un</v>
      </c>
      <c r="E11364" s="197">
        <f>_xlfn.XLOOKUP(H11364,'Materiales unitario'!$A$1:$A$2500,'Materiales unitario'!D$1:D$2500,,0,1)</f>
        <v>280</v>
      </c>
      <c r="F11364" s="19">
        <v>3</v>
      </c>
      <c r="G11364" s="20">
        <f t="shared" si="327"/>
        <v>840</v>
      </c>
      <c r="H11364" s="211" t="s">
        <v>302</v>
      </c>
    </row>
    <row r="11365" spans="1:8">
      <c r="A11365" s="211" t="s">
        <v>491</v>
      </c>
      <c r="B11365" s="216" t="str">
        <f ca="1">_xlfn.CONCAT(B11356,A11365)</f>
        <v>1F00391-H</v>
      </c>
      <c r="C11365" s="17" t="str">
        <f>_xlfn.XLOOKUP(H11365,'Materiales unitario'!$A$1:$A$2500,'Materiales unitario'!B$1:B$2500,,0,1)</f>
        <v xml:space="preserve">Caja galvanizada ref. 2400 + suplemento (Cal. 20) </v>
      </c>
      <c r="D11365" s="184" t="str">
        <f>_xlfn.XLOOKUP(H11365,'Materiales unitario'!A$1:A$2500,'Materiales unitario'!C$1:C$2500,,0,1)</f>
        <v>un</v>
      </c>
      <c r="E11365" s="197">
        <f>_xlfn.XLOOKUP(H11365,'Materiales unitario'!$A$1:$A$2500,'Materiales unitario'!D$1:D$2500,,0,1)</f>
        <v>4522</v>
      </c>
      <c r="F11365" s="19">
        <v>1.05</v>
      </c>
      <c r="G11365" s="20">
        <f t="shared" si="327"/>
        <v>4748.1000000000004</v>
      </c>
      <c r="H11365" s="211" t="s">
        <v>283</v>
      </c>
    </row>
    <row r="11366" spans="1:8">
      <c r="A11366" s="211" t="s">
        <v>492</v>
      </c>
      <c r="B11366" s="216" t="str">
        <f ca="1">_xlfn.CONCAT(B11356,A11366)</f>
        <v>1F00391-I</v>
      </c>
      <c r="C11366" s="17" t="str">
        <f>_xlfn.XLOOKUP(H11366,'Materiales unitario'!$A$1:$A$2500,'Materiales unitario'!B$1:B$2500,,0,1)</f>
        <v>Marquillas para circuito</v>
      </c>
      <c r="D11366" s="184" t="str">
        <f>_xlfn.XLOOKUP(H11366,'Materiales unitario'!A$1:A$2500,'Materiales unitario'!C$1:C$2500,,0,1)</f>
        <v>un</v>
      </c>
      <c r="E11366" s="197">
        <f>_xlfn.XLOOKUP(H11366,'Materiales unitario'!$A$1:$A$2500,'Materiales unitario'!D$1:D$2500,,0,1)</f>
        <v>1000</v>
      </c>
      <c r="F11366" s="19">
        <v>3</v>
      </c>
      <c r="G11366" s="20">
        <f t="shared" si="327"/>
        <v>3000</v>
      </c>
      <c r="H11366" s="211" t="s">
        <v>339</v>
      </c>
    </row>
    <row r="11367" spans="1:8">
      <c r="A11367" s="211" t="s">
        <v>493</v>
      </c>
      <c r="B11367" s="216" t="str">
        <f ca="1">_xlfn.CONCAT(B11356,A11367)</f>
        <v>1F00391-J</v>
      </c>
      <c r="C11367" s="17"/>
      <c r="D11367" s="184"/>
      <c r="E11367" s="197"/>
      <c r="F11367" s="19"/>
      <c r="G11367" s="20"/>
    </row>
    <row r="11368" spans="1:8">
      <c r="A11368" s="211" t="s">
        <v>494</v>
      </c>
      <c r="B11368" s="216" t="str">
        <f ca="1">_xlfn.CONCAT(B11356,A11368)</f>
        <v>1F00391-K</v>
      </c>
      <c r="C11368" s="17"/>
      <c r="D11368" s="184"/>
      <c r="E11368" s="197"/>
      <c r="F11368" s="19"/>
      <c r="G11368" s="20"/>
    </row>
    <row r="11369" spans="1:8">
      <c r="A11369" s="211" t="s">
        <v>495</v>
      </c>
      <c r="B11369" s="216" t="str">
        <f ca="1">_xlfn.CONCAT(B11356,A11369)</f>
        <v>1F00391-L</v>
      </c>
      <c r="C11369" s="17"/>
      <c r="D11369" s="184"/>
      <c r="E11369" s="197"/>
      <c r="F11369" s="19"/>
      <c r="G11369" s="20"/>
    </row>
    <row r="11370" spans="1:8">
      <c r="A11370" s="211" t="s">
        <v>496</v>
      </c>
      <c r="B11370" s="216" t="str">
        <f ca="1">_xlfn.CONCAT(B11356,A11370)</f>
        <v>1F00391-M</v>
      </c>
      <c r="C11370" s="17"/>
      <c r="D11370" s="184"/>
      <c r="E11370" s="197"/>
      <c r="F11370" s="19"/>
      <c r="G11370" s="20"/>
    </row>
    <row r="11371" spans="1:8">
      <c r="A11371" s="211" t="s">
        <v>497</v>
      </c>
      <c r="B11371" s="216" t="str">
        <f ca="1">_xlfn.CONCAT(B11356,A11371)</f>
        <v>1F00391-N</v>
      </c>
      <c r="C11371" s="17"/>
      <c r="D11371" s="184"/>
      <c r="E11371" s="197"/>
      <c r="F11371" s="19"/>
      <c r="G11371" s="20"/>
    </row>
    <row r="11372" spans="1:8">
      <c r="A11372" s="211" t="s">
        <v>498</v>
      </c>
      <c r="B11372" s="216" t="str">
        <f ca="1">_xlfn.CONCAT(B11356,A11372)</f>
        <v>1F00391-O</v>
      </c>
      <c r="C11372" s="17"/>
      <c r="D11372" s="184"/>
      <c r="E11372" s="197"/>
      <c r="F11372" s="19"/>
      <c r="G11372" s="20"/>
    </row>
    <row r="11373" spans="1:8">
      <c r="A11373" s="211" t="s">
        <v>499</v>
      </c>
      <c r="B11373" s="216" t="str">
        <f ca="1">_xlfn.CONCAT(B11356,A11373)</f>
        <v>1F00391-P</v>
      </c>
      <c r="C11373" s="17"/>
      <c r="D11373" s="184"/>
      <c r="E11373" s="197"/>
      <c r="F11373" s="19"/>
      <c r="G11373" s="20"/>
    </row>
    <row r="11374" spans="1:8">
      <c r="A11374" s="211" t="s">
        <v>500</v>
      </c>
      <c r="B11374" s="216" t="str">
        <f ca="1">_xlfn.CONCAT(B11356,A11374)</f>
        <v>1F00391-Q</v>
      </c>
      <c r="C11374" s="17"/>
      <c r="D11374" s="184"/>
      <c r="E11374" s="197"/>
      <c r="F11374" s="19"/>
      <c r="G11374" s="20"/>
    </row>
    <row r="11375" spans="1:8">
      <c r="A11375" s="211" t="s">
        <v>501</v>
      </c>
      <c r="B11375" s="216" t="str">
        <f ca="1">_xlfn.CONCAT(B11356,A11375)</f>
        <v>1F00391-R</v>
      </c>
      <c r="C11375" s="17"/>
      <c r="D11375" s="184"/>
      <c r="E11375" s="197"/>
      <c r="F11375" s="19"/>
      <c r="G11375" s="20"/>
    </row>
    <row r="11376" spans="1:8">
      <c r="A11376" s="211" t="s">
        <v>502</v>
      </c>
      <c r="B11376" s="216" t="str">
        <f ca="1">_xlfn.CONCAT(B11356,A11376)</f>
        <v>1F00391-S</v>
      </c>
      <c r="C11376" s="17"/>
      <c r="D11376" s="184"/>
      <c r="E11376" s="197"/>
      <c r="F11376" s="19"/>
      <c r="G11376" s="20"/>
    </row>
    <row r="11377" spans="1:8">
      <c r="A11377" s="211" t="s">
        <v>503</v>
      </c>
      <c r="B11377" s="216" t="str">
        <f ca="1">_xlfn.CONCAT(B11356,A11377)</f>
        <v>1F00391-T</v>
      </c>
      <c r="C11377" s="17"/>
      <c r="D11377" s="184"/>
      <c r="E11377" s="197"/>
      <c r="F11377" s="19"/>
      <c r="G11377" s="20"/>
    </row>
    <row r="11378" spans="1:8" ht="14.25" thickBot="1">
      <c r="A11378" s="211" t="s">
        <v>504</v>
      </c>
      <c r="B11378" s="216" t="str">
        <f ca="1">_xlfn.CONCAT(B11356,A11378)</f>
        <v>1F00391-U</v>
      </c>
      <c r="C11378" s="17"/>
      <c r="D11378" s="184"/>
      <c r="E11378" s="197"/>
      <c r="F11378" s="19"/>
      <c r="G11378" s="20"/>
    </row>
    <row r="11379" spans="1:8" ht="14.25" thickBot="1">
      <c r="A11379" s="211" t="s">
        <v>505</v>
      </c>
      <c r="B11379" s="216" t="str">
        <f ca="1">_xlfn.CONCAT(B11356,A11379)</f>
        <v>1F00391-V</v>
      </c>
      <c r="C11379" s="17" t="s">
        <v>17</v>
      </c>
      <c r="D11379" s="192" t="s">
        <v>17</v>
      </c>
      <c r="E11379" s="18"/>
      <c r="F11379" s="22" t="s">
        <v>18</v>
      </c>
      <c r="G11379" s="23">
        <f>SUM(G11358:G11378)</f>
        <v>149480.6</v>
      </c>
    </row>
    <row r="11380" spans="1:8" ht="15.75" thickBot="1">
      <c r="A11380" s="211" t="s">
        <v>506</v>
      </c>
      <c r="B11380" s="216" t="str">
        <f ca="1">_xlfn.CONCAT(B11356,A11380)</f>
        <v>1F00391-W</v>
      </c>
      <c r="C11380" s="10" t="s">
        <v>19</v>
      </c>
      <c r="D11380" s="190"/>
      <c r="E11380" s="11"/>
      <c r="F11380" s="12"/>
      <c r="G11380" s="13"/>
    </row>
    <row r="11381" spans="1:8" ht="14.25" thickBot="1">
      <c r="A11381" s="211" t="s">
        <v>507</v>
      </c>
      <c r="B11381" s="216" t="str">
        <f ca="1">_xlfn.CONCAT(B11356,A11381)</f>
        <v>1F00391-X</v>
      </c>
      <c r="C11381" s="14" t="s">
        <v>1</v>
      </c>
      <c r="D11381" s="15"/>
      <c r="E11381" s="15" t="s">
        <v>20</v>
      </c>
      <c r="F11381" s="16" t="s">
        <v>21</v>
      </c>
      <c r="G11381" s="15" t="s">
        <v>5</v>
      </c>
      <c r="H11381" s="215"/>
    </row>
    <row r="11382" spans="1:8">
      <c r="A11382" s="211" t="s">
        <v>508</v>
      </c>
      <c r="B11382" s="216" t="str">
        <f ca="1">_xlfn.CONCAT(B11356,A11382)</f>
        <v>1F00391-Y</v>
      </c>
      <c r="C11382" s="24" t="s">
        <v>22</v>
      </c>
      <c r="D11382" s="184"/>
      <c r="E11382" s="25">
        <f>_xlfn.XLOOKUP(C11382,'H-MO'!B$7:B$30,'H-MO'!D$7:D$30,,0,1)</f>
        <v>2436.5624999999995</v>
      </c>
      <c r="F11382" s="19">
        <v>0.5</v>
      </c>
      <c r="G11382" s="33">
        <f t="shared" ref="G11382:G11387" si="328">+E11382*F11382</f>
        <v>1218.2812499999998</v>
      </c>
    </row>
    <row r="11383" spans="1:8">
      <c r="A11383" s="211" t="s">
        <v>509</v>
      </c>
      <c r="B11383" s="216" t="str">
        <f ca="1">_xlfn.CONCAT(B11356,A11383)</f>
        <v>1F00391-Z</v>
      </c>
      <c r="C11383" s="24" t="s">
        <v>23</v>
      </c>
      <c r="D11383" s="184"/>
      <c r="E11383" s="25">
        <f>_xlfn.XLOOKUP(C11383,'H-MO'!B$7:B$30,'H-MO'!D$7:D$30,,0,1)</f>
        <v>1461.9374999999998</v>
      </c>
      <c r="F11383" s="19">
        <v>9.8000000000000004E-2</v>
      </c>
      <c r="G11383" s="33">
        <f t="shared" si="328"/>
        <v>143.26987499999998</v>
      </c>
    </row>
    <row r="11384" spans="1:8">
      <c r="A11384" s="211" t="s">
        <v>510</v>
      </c>
      <c r="B11384" s="216" t="str">
        <f ca="1">_xlfn.CONCAT(B11356,A11384)</f>
        <v>1F00391-aa</v>
      </c>
      <c r="C11384" s="24" t="s">
        <v>24</v>
      </c>
      <c r="D11384" s="185"/>
      <c r="E11384" s="25">
        <f>_xlfn.XLOOKUP(C11384,'H-MO'!B$7:B$30,'H-MO'!D$7:D$30,,0,1)</f>
        <v>29238.749999999996</v>
      </c>
      <c r="F11384" s="28">
        <v>2E-3</v>
      </c>
      <c r="G11384" s="33">
        <f t="shared" si="328"/>
        <v>58.477499999999992</v>
      </c>
    </row>
    <row r="11385" spans="1:8">
      <c r="A11385" s="211" t="s">
        <v>511</v>
      </c>
      <c r="B11385" s="216" t="str">
        <f ca="1">_xlfn.CONCAT(B11356,A11385)</f>
        <v>1F00391-ab</v>
      </c>
      <c r="C11385" s="24" t="s">
        <v>25</v>
      </c>
      <c r="D11385" s="185"/>
      <c r="E11385" s="25">
        <f>_xlfn.XLOOKUP(C11385,'H-MO'!B$7:B$30,'H-MO'!D$7:D$30,,0,1)</f>
        <v>2761.4374999999995</v>
      </c>
      <c r="F11385" s="28">
        <v>0.6</v>
      </c>
      <c r="G11385" s="33">
        <f t="shared" si="328"/>
        <v>1656.8624999999997</v>
      </c>
    </row>
    <row r="11386" spans="1:8">
      <c r="A11386" s="211" t="s">
        <v>512</v>
      </c>
      <c r="B11386" s="216" t="str">
        <f ca="1">_xlfn.CONCAT(B11356,A11386)</f>
        <v>1F00391-ac</v>
      </c>
      <c r="C11386" s="24"/>
      <c r="D11386" s="185"/>
      <c r="E11386" s="29"/>
      <c r="F11386" s="28"/>
      <c r="G11386" s="33">
        <f t="shared" si="328"/>
        <v>0</v>
      </c>
    </row>
    <row r="11387" spans="1:8" ht="14.25" thickBot="1">
      <c r="A11387" s="211" t="s">
        <v>513</v>
      </c>
      <c r="B11387" s="216" t="str">
        <f ca="1">_xlfn.CONCAT(B11356,A11387)</f>
        <v>1F00391-ad</v>
      </c>
      <c r="C11387" s="24"/>
      <c r="D11387" s="185"/>
      <c r="E11387" s="29"/>
      <c r="F11387" s="28"/>
      <c r="G11387" s="33">
        <f t="shared" si="328"/>
        <v>0</v>
      </c>
    </row>
    <row r="11388" spans="1:8" ht="14.25" thickBot="1">
      <c r="A11388" s="211" t="s">
        <v>514</v>
      </c>
      <c r="B11388" s="216" t="str">
        <f ca="1">_xlfn.CONCAT(B11356,A11388)</f>
        <v>1F00391-ae</v>
      </c>
      <c r="C11388" s="17"/>
      <c r="D11388" s="192"/>
      <c r="E11388" s="18"/>
      <c r="F11388" s="22" t="s">
        <v>26</v>
      </c>
      <c r="G11388" s="23">
        <f>SUM(G11382:G11387)</f>
        <v>3076.8911249999992</v>
      </c>
    </row>
    <row r="11389" spans="1:8" ht="15.75" thickBot="1">
      <c r="A11389" s="211" t="s">
        <v>515</v>
      </c>
      <c r="B11389" s="216" t="str">
        <f ca="1">_xlfn.CONCAT(B11356,A11389)</f>
        <v>1F00391-af</v>
      </c>
      <c r="C11389" s="10" t="s">
        <v>27</v>
      </c>
      <c r="D11389" s="190"/>
      <c r="E11389" s="11"/>
      <c r="F11389" s="12"/>
      <c r="G11389" s="13"/>
    </row>
    <row r="11390" spans="1:8" ht="14.25" thickBot="1">
      <c r="A11390" s="211" t="s">
        <v>516</v>
      </c>
      <c r="B11390" s="216" t="str">
        <f ca="1">_xlfn.CONCAT(B11356,A11390)</f>
        <v>1F00391-ag</v>
      </c>
      <c r="C11390" s="14" t="s">
        <v>1</v>
      </c>
      <c r="D11390" s="15" t="s">
        <v>28</v>
      </c>
      <c r="E11390" s="15" t="s">
        <v>20</v>
      </c>
      <c r="F11390" s="16" t="s">
        <v>21</v>
      </c>
      <c r="G11390" s="15" t="s">
        <v>5</v>
      </c>
      <c r="H11390" s="215"/>
    </row>
    <row r="11391" spans="1:8">
      <c r="A11391" s="211" t="s">
        <v>517</v>
      </c>
      <c r="B11391" s="216" t="str">
        <f ca="1">_xlfn.CONCAT(B11356,A11391)</f>
        <v>1F00391-ah</v>
      </c>
      <c r="C11391" s="30" t="s">
        <v>29</v>
      </c>
      <c r="D11391" s="186">
        <f>'H-MO'!$N$77</f>
        <v>725918.52892505517</v>
      </c>
      <c r="E11391" s="31">
        <f>+D11391/8</f>
        <v>90739.816115631897</v>
      </c>
      <c r="F11391" s="32">
        <v>0.5</v>
      </c>
      <c r="G11391" s="33">
        <f>+E11391*F11391</f>
        <v>45369.908057815948</v>
      </c>
    </row>
    <row r="11392" spans="1:8">
      <c r="A11392" s="211" t="s">
        <v>518</v>
      </c>
      <c r="B11392" s="216" t="str">
        <f ca="1">_xlfn.CONCAT(B11356,A11392)</f>
        <v>1F00391-ai</v>
      </c>
      <c r="C11392" s="34" t="s">
        <v>30</v>
      </c>
      <c r="D11392" s="187">
        <f>'H-MO'!$N$86</f>
        <v>685561.39085756091</v>
      </c>
      <c r="E11392" s="29">
        <f>+D11392/8</f>
        <v>85695.173857195114</v>
      </c>
      <c r="F11392" s="28">
        <v>0</v>
      </c>
      <c r="G11392" s="33">
        <f>+E11392*F11392</f>
        <v>0</v>
      </c>
    </row>
    <row r="11393" spans="1:8" ht="14.25" thickBot="1">
      <c r="A11393" s="211" t="s">
        <v>519</v>
      </c>
      <c r="B11393" s="216" t="str">
        <f ca="1">_xlfn.CONCAT(B11356,A11393)</f>
        <v>1F00391-aj</v>
      </c>
      <c r="C11393" s="34"/>
      <c r="D11393" s="187"/>
      <c r="E11393" s="29"/>
      <c r="F11393" s="28"/>
      <c r="G11393" s="33">
        <f>+E11393*F11393</f>
        <v>0</v>
      </c>
    </row>
    <row r="11394" spans="1:8" ht="14.25" thickBot="1">
      <c r="A11394" s="211" t="s">
        <v>520</v>
      </c>
      <c r="B11394" s="216" t="str">
        <f ca="1">_xlfn.CONCAT(B11356,A11394)</f>
        <v>1F00391-ak</v>
      </c>
      <c r="C11394" s="34"/>
      <c r="D11394" s="185"/>
      <c r="E11394" s="26"/>
      <c r="F11394" s="36" t="s">
        <v>31</v>
      </c>
      <c r="G11394" s="23">
        <f>SUM(G11391:G11393)</f>
        <v>45369.908057815948</v>
      </c>
    </row>
    <row r="11395" spans="1:8" ht="14.25" thickBot="1">
      <c r="A11395" s="211" t="s">
        <v>521</v>
      </c>
      <c r="B11395" s="216" t="str">
        <f ca="1">_xlfn.CONCAT(B11356,A11395)</f>
        <v>1F00391-al</v>
      </c>
      <c r="C11395" s="37"/>
      <c r="E11395" s="38"/>
      <c r="F11395" s="22"/>
      <c r="G11395" s="39"/>
    </row>
    <row r="11396" spans="1:8" ht="16.5" thickBot="1">
      <c r="A11396" s="211" t="s">
        <v>522</v>
      </c>
      <c r="B11396" s="216" t="str">
        <f ca="1">_xlfn.CONCAT(B11356,A11396)</f>
        <v>1F00391-am</v>
      </c>
      <c r="C11396" s="40"/>
      <c r="D11396" s="193"/>
      <c r="E11396" s="41"/>
      <c r="F11396" s="42"/>
      <c r="G11396" s="43">
        <f>+G11379+G11388+G11394</f>
        <v>197927.39918281595</v>
      </c>
    </row>
    <row r="11397" spans="1:8" ht="21.75" thickBot="1">
      <c r="B11397" s="212" t="s">
        <v>550</v>
      </c>
      <c r="C11397" s="2"/>
      <c r="D11397" s="183"/>
      <c r="F11397" s="4"/>
      <c r="G11397" s="5"/>
    </row>
    <row r="11398" spans="1:8" ht="18.75">
      <c r="A11398" s="213"/>
      <c r="B11398" s="214">
        <v>259</v>
      </c>
      <c r="C11398" s="242" t="str">
        <f ca="1">_xlfn.XLOOKUP(B11398,Cantidades!$A$10:$A$314,Cantidades!$C$10:$C$314,,0,1)</f>
        <v>TOMA INDUSTRIAL DE SOBREPONER 3P+N+T 250V/32A IP44; INCLUYE CLAVIJA. MARCA LEGRAND</v>
      </c>
      <c r="D11398" s="243"/>
      <c r="E11398" s="243"/>
      <c r="F11398" s="243"/>
      <c r="G11398" s="244"/>
      <c r="H11398" s="213"/>
    </row>
    <row r="11399" spans="1:8" ht="19.5" thickBot="1">
      <c r="A11399" s="215"/>
      <c r="B11399" s="216" t="s">
        <v>550</v>
      </c>
      <c r="C11399" s="177"/>
      <c r="D11399" s="189"/>
      <c r="E11399" s="178"/>
      <c r="F11399" s="179" t="s">
        <v>636</v>
      </c>
      <c r="G11399" s="209" t="str">
        <f ca="1">B11400</f>
        <v>1274D39E-</v>
      </c>
      <c r="H11399" s="215"/>
    </row>
    <row r="11400" spans="1:8" ht="15.75" thickBot="1">
      <c r="B11400" s="212" t="str">
        <f ca="1">_xlfn.XLOOKUP(C11398,Cantidades!$C$1:$C$314,Cantidades!$B$1:$B$314,"",0,1)</f>
        <v>1274D39E-</v>
      </c>
      <c r="C11400" s="10" t="s">
        <v>0</v>
      </c>
      <c r="D11400" s="190"/>
      <c r="E11400" s="11"/>
      <c r="F11400" s="12"/>
      <c r="G11400" s="13"/>
    </row>
    <row r="11401" spans="1:8" ht="14.25" thickBot="1">
      <c r="A11401" s="215"/>
      <c r="B11401" s="216" t="s">
        <v>550</v>
      </c>
      <c r="C11401" s="14" t="s">
        <v>1</v>
      </c>
      <c r="D11401" s="15" t="s">
        <v>2</v>
      </c>
      <c r="E11401" s="15" t="s">
        <v>3</v>
      </c>
      <c r="F11401" s="16" t="s">
        <v>4</v>
      </c>
      <c r="G11401" s="15" t="s">
        <v>5</v>
      </c>
      <c r="H11401" s="215"/>
    </row>
    <row r="11402" spans="1:8">
      <c r="A11402" s="211" t="s">
        <v>484</v>
      </c>
      <c r="B11402" s="216" t="str">
        <f ca="1">_xlfn.CONCAT(B11400,A11402)</f>
        <v>1274D39E-A</v>
      </c>
      <c r="C11402" s="17" t="str">
        <f>_xlfn.XLOOKUP(H11402,'Materiales unitario'!$A$1:$A$2500,'Materiales unitario'!B$1:B$2500,,0,1)</f>
        <v>Toma 32 AMP 3P+T IP44 Sobreponer Legrand</v>
      </c>
      <c r="D11402" s="184" t="str">
        <f>_xlfn.XLOOKUP(H11402,'Materiales unitario'!A$1:A$2500,'Materiales unitario'!C$1:C$2500,,0,1)</f>
        <v>un</v>
      </c>
      <c r="E11402" s="197">
        <f>_xlfn.XLOOKUP(H11402,'Materiales unitario'!$A$1:$A$2500,'Materiales unitario'!D$1:D$2500,,0,1)</f>
        <v>78360</v>
      </c>
      <c r="F11402" s="19">
        <v>1</v>
      </c>
      <c r="G11402" s="20">
        <f t="shared" ref="G11402:G11405" si="329">+E11402*F11402</f>
        <v>78360</v>
      </c>
      <c r="H11402" s="211" t="s">
        <v>1755</v>
      </c>
    </row>
    <row r="11403" spans="1:8">
      <c r="A11403" s="211" t="s">
        <v>485</v>
      </c>
      <c r="B11403" s="216" t="str">
        <f ca="1">_xlfn.CONCAT(B11400,A11403)</f>
        <v>1274D39E-B</v>
      </c>
      <c r="C11403" s="17" t="str">
        <f>_xlfn.XLOOKUP(H11403,'Materiales unitario'!$A$1:$A$2500,'Materiales unitario'!B$1:B$2500,,0,1)</f>
        <v>Clavija 32 AMP 3P+T IP44 Legrand</v>
      </c>
      <c r="D11403" s="184" t="str">
        <f>_xlfn.XLOOKUP(H11403,'Materiales unitario'!A$1:A$2500,'Materiales unitario'!C$1:C$2500,,0,1)</f>
        <v>un</v>
      </c>
      <c r="E11403" s="197">
        <f>_xlfn.XLOOKUP(H11403,'Materiales unitario'!$A$1:$A$2500,'Materiales unitario'!D$1:D$2500,,0,1)</f>
        <v>82936</v>
      </c>
      <c r="F11403" s="19">
        <v>1</v>
      </c>
      <c r="G11403" s="20">
        <f t="shared" si="329"/>
        <v>82936</v>
      </c>
      <c r="H11403" s="211" t="s">
        <v>1756</v>
      </c>
    </row>
    <row r="11404" spans="1:8">
      <c r="A11404" s="211" t="s">
        <v>486</v>
      </c>
      <c r="B11404" s="216" t="str">
        <f ca="1">_xlfn.CONCAT(B11400,A11404)</f>
        <v>1274D39E-C</v>
      </c>
      <c r="C11404" s="17" t="str">
        <f>_xlfn.XLOOKUP(H11404,'Materiales unitario'!$A$1:$A$2500,'Materiales unitario'!B$1:B$2500,,0,1)</f>
        <v>Marquillas para circuito</v>
      </c>
      <c r="D11404" s="184" t="str">
        <f>_xlfn.XLOOKUP(H11404,'Materiales unitario'!A$1:A$2500,'Materiales unitario'!C$1:C$2500,,0,1)</f>
        <v>un</v>
      </c>
      <c r="E11404" s="197">
        <f>_xlfn.XLOOKUP(H11404,'Materiales unitario'!$A$1:$A$2500,'Materiales unitario'!D$1:D$2500,,0,1)</f>
        <v>1000</v>
      </c>
      <c r="F11404" s="19">
        <v>3</v>
      </c>
      <c r="G11404" s="20">
        <f t="shared" si="329"/>
        <v>3000</v>
      </c>
      <c r="H11404" s="211" t="s">
        <v>339</v>
      </c>
    </row>
    <row r="11405" spans="1:8">
      <c r="A11405" s="211" t="s">
        <v>487</v>
      </c>
      <c r="B11405" s="216" t="str">
        <f ca="1">_xlfn.CONCAT(B11400,A11405)</f>
        <v>1274D39E-D</v>
      </c>
      <c r="C11405" s="17" t="str">
        <f>_xlfn.XLOOKUP(H11405,'Materiales unitario'!$A$1:$A$2500,'Materiales unitario'!B$1:B$2500,,0,1)</f>
        <v>Accesorios de anclaje y fijacion.</v>
      </c>
      <c r="D11405" s="184" t="str">
        <f>_xlfn.XLOOKUP(H11405,'Materiales unitario'!A$1:A$2500,'Materiales unitario'!C$1:C$2500,,0,1)</f>
        <v>un</v>
      </c>
      <c r="E11405" s="197">
        <f>_xlfn.XLOOKUP(H11405,'Materiales unitario'!$A$1:$A$2500,'Materiales unitario'!D$1:D$2500,,0,1)</f>
        <v>10000</v>
      </c>
      <c r="F11405" s="19">
        <v>0.6</v>
      </c>
      <c r="G11405" s="20">
        <f t="shared" si="329"/>
        <v>6000</v>
      </c>
      <c r="H11405" s="211" t="s">
        <v>222</v>
      </c>
    </row>
    <row r="11406" spans="1:8">
      <c r="A11406" s="211" t="s">
        <v>488</v>
      </c>
      <c r="B11406" s="216" t="str">
        <f ca="1">_xlfn.CONCAT(B11400,A11406)</f>
        <v>1274D39E-E</v>
      </c>
      <c r="C11406" s="17"/>
      <c r="D11406" s="184"/>
      <c r="E11406" s="197"/>
      <c r="F11406" s="19"/>
      <c r="G11406" s="20"/>
    </row>
    <row r="11407" spans="1:8">
      <c r="A11407" s="211" t="s">
        <v>489</v>
      </c>
      <c r="B11407" s="216" t="str">
        <f ca="1">_xlfn.CONCAT(B11400,A11407)</f>
        <v>1274D39E-F</v>
      </c>
      <c r="C11407" s="17"/>
      <c r="D11407" s="184"/>
      <c r="E11407" s="197"/>
      <c r="F11407" s="19"/>
      <c r="G11407" s="20"/>
    </row>
    <row r="11408" spans="1:8">
      <c r="A11408" s="211" t="s">
        <v>490</v>
      </c>
      <c r="B11408" s="216" t="str">
        <f ca="1">_xlfn.CONCAT(B11400,A11408)</f>
        <v>1274D39E-G</v>
      </c>
      <c r="C11408" s="17"/>
      <c r="D11408" s="184"/>
      <c r="E11408" s="197"/>
      <c r="F11408" s="19"/>
      <c r="G11408" s="20"/>
    </row>
    <row r="11409" spans="1:7">
      <c r="A11409" s="211" t="s">
        <v>491</v>
      </c>
      <c r="B11409" s="216" t="str">
        <f ca="1">_xlfn.CONCAT(B11400,A11409)</f>
        <v>1274D39E-H</v>
      </c>
      <c r="C11409" s="17"/>
      <c r="D11409" s="184"/>
      <c r="E11409" s="197"/>
      <c r="F11409" s="19"/>
      <c r="G11409" s="20"/>
    </row>
    <row r="11410" spans="1:7">
      <c r="A11410" s="211" t="s">
        <v>492</v>
      </c>
      <c r="B11410" s="216" t="str">
        <f ca="1">_xlfn.CONCAT(B11400,A11410)</f>
        <v>1274D39E-I</v>
      </c>
      <c r="C11410" s="17"/>
      <c r="D11410" s="184"/>
      <c r="E11410" s="197"/>
      <c r="F11410" s="19"/>
      <c r="G11410" s="20"/>
    </row>
    <row r="11411" spans="1:7">
      <c r="A11411" s="211" t="s">
        <v>493</v>
      </c>
      <c r="B11411" s="216" t="str">
        <f ca="1">_xlfn.CONCAT(B11400,A11411)</f>
        <v>1274D39E-J</v>
      </c>
      <c r="C11411" s="17"/>
      <c r="D11411" s="184"/>
      <c r="E11411" s="197"/>
      <c r="F11411" s="19"/>
      <c r="G11411" s="20"/>
    </row>
    <row r="11412" spans="1:7">
      <c r="A11412" s="211" t="s">
        <v>494</v>
      </c>
      <c r="B11412" s="216" t="str">
        <f ca="1">_xlfn.CONCAT(B11400,A11412)</f>
        <v>1274D39E-K</v>
      </c>
      <c r="C11412" s="17"/>
      <c r="D11412" s="184"/>
      <c r="E11412" s="197"/>
      <c r="F11412" s="19"/>
      <c r="G11412" s="20"/>
    </row>
    <row r="11413" spans="1:7">
      <c r="A11413" s="211" t="s">
        <v>495</v>
      </c>
      <c r="B11413" s="216" t="str">
        <f ca="1">_xlfn.CONCAT(B11400,A11413)</f>
        <v>1274D39E-L</v>
      </c>
      <c r="C11413" s="17"/>
      <c r="D11413" s="184"/>
      <c r="E11413" s="197"/>
      <c r="F11413" s="19"/>
      <c r="G11413" s="20"/>
    </row>
    <row r="11414" spans="1:7">
      <c r="A11414" s="211" t="s">
        <v>496</v>
      </c>
      <c r="B11414" s="216" t="str">
        <f ca="1">_xlfn.CONCAT(B11400,A11414)</f>
        <v>1274D39E-M</v>
      </c>
      <c r="C11414" s="17"/>
      <c r="D11414" s="184"/>
      <c r="E11414" s="197"/>
      <c r="F11414" s="19"/>
      <c r="G11414" s="20"/>
    </row>
    <row r="11415" spans="1:7">
      <c r="A11415" s="211" t="s">
        <v>497</v>
      </c>
      <c r="B11415" s="216" t="str">
        <f ca="1">_xlfn.CONCAT(B11400,A11415)</f>
        <v>1274D39E-N</v>
      </c>
      <c r="C11415" s="17"/>
      <c r="D11415" s="184"/>
      <c r="E11415" s="197"/>
      <c r="F11415" s="19"/>
      <c r="G11415" s="20"/>
    </row>
    <row r="11416" spans="1:7">
      <c r="A11416" s="211" t="s">
        <v>498</v>
      </c>
      <c r="B11416" s="216" t="str">
        <f ca="1">_xlfn.CONCAT(B11400,A11416)</f>
        <v>1274D39E-O</v>
      </c>
      <c r="C11416" s="17"/>
      <c r="D11416" s="184"/>
      <c r="E11416" s="197"/>
      <c r="F11416" s="19"/>
      <c r="G11416" s="20"/>
    </row>
    <row r="11417" spans="1:7">
      <c r="A11417" s="211" t="s">
        <v>499</v>
      </c>
      <c r="B11417" s="216" t="str">
        <f ca="1">_xlfn.CONCAT(B11400,A11417)</f>
        <v>1274D39E-P</v>
      </c>
      <c r="C11417" s="17"/>
      <c r="D11417" s="184"/>
      <c r="E11417" s="197"/>
      <c r="F11417" s="19"/>
      <c r="G11417" s="20"/>
    </row>
    <row r="11418" spans="1:7">
      <c r="A11418" s="211" t="s">
        <v>500</v>
      </c>
      <c r="B11418" s="216" t="str">
        <f ca="1">_xlfn.CONCAT(B11400,A11418)</f>
        <v>1274D39E-Q</v>
      </c>
      <c r="C11418" s="17"/>
      <c r="D11418" s="184"/>
      <c r="E11418" s="197"/>
      <c r="F11418" s="19"/>
      <c r="G11418" s="20"/>
    </row>
    <row r="11419" spans="1:7">
      <c r="A11419" s="211" t="s">
        <v>501</v>
      </c>
      <c r="B11419" s="216" t="str">
        <f ca="1">_xlfn.CONCAT(B11400,A11419)</f>
        <v>1274D39E-R</v>
      </c>
      <c r="C11419" s="17"/>
      <c r="D11419" s="184"/>
      <c r="E11419" s="197"/>
      <c r="F11419" s="19"/>
      <c r="G11419" s="20"/>
    </row>
    <row r="11420" spans="1:7">
      <c r="A11420" s="211" t="s">
        <v>502</v>
      </c>
      <c r="B11420" s="216" t="str">
        <f ca="1">_xlfn.CONCAT(B11400,A11420)</f>
        <v>1274D39E-S</v>
      </c>
      <c r="C11420" s="17"/>
      <c r="D11420" s="184"/>
      <c r="E11420" s="197"/>
      <c r="F11420" s="19"/>
      <c r="G11420" s="20"/>
    </row>
    <row r="11421" spans="1:7">
      <c r="A11421" s="211" t="s">
        <v>503</v>
      </c>
      <c r="B11421" s="216" t="str">
        <f ca="1">_xlfn.CONCAT(B11400,A11421)</f>
        <v>1274D39E-T</v>
      </c>
      <c r="C11421" s="17"/>
      <c r="D11421" s="184"/>
      <c r="E11421" s="197"/>
      <c r="F11421" s="19"/>
      <c r="G11421" s="20"/>
    </row>
    <row r="11422" spans="1:7" ht="14.25" thickBot="1">
      <c r="A11422" s="211" t="s">
        <v>504</v>
      </c>
      <c r="B11422" s="216" t="str">
        <f ca="1">_xlfn.CONCAT(B11400,A11422)</f>
        <v>1274D39E-U</v>
      </c>
      <c r="C11422" s="17"/>
      <c r="D11422" s="184"/>
      <c r="E11422" s="197"/>
      <c r="F11422" s="19"/>
      <c r="G11422" s="20"/>
    </row>
    <row r="11423" spans="1:7" ht="14.25" thickBot="1">
      <c r="A11423" s="211" t="s">
        <v>505</v>
      </c>
      <c r="B11423" s="216" t="str">
        <f ca="1">_xlfn.CONCAT(B11400,A11423)</f>
        <v>1274D39E-V</v>
      </c>
      <c r="C11423" s="17" t="s">
        <v>17</v>
      </c>
      <c r="D11423" s="192" t="s">
        <v>17</v>
      </c>
      <c r="E11423" s="18"/>
      <c r="F11423" s="22" t="s">
        <v>18</v>
      </c>
      <c r="G11423" s="23">
        <f>SUM(G11402:G11422)</f>
        <v>170296</v>
      </c>
    </row>
    <row r="11424" spans="1:7" ht="15.75" thickBot="1">
      <c r="A11424" s="211" t="s">
        <v>506</v>
      </c>
      <c r="B11424" s="216" t="str">
        <f ca="1">_xlfn.CONCAT(B11400,A11424)</f>
        <v>1274D39E-W</v>
      </c>
      <c r="C11424" s="10" t="s">
        <v>19</v>
      </c>
      <c r="D11424" s="190"/>
      <c r="E11424" s="11"/>
      <c r="F11424" s="12"/>
      <c r="G11424" s="13"/>
    </row>
    <row r="11425" spans="1:8" ht="14.25" thickBot="1">
      <c r="A11425" s="211" t="s">
        <v>507</v>
      </c>
      <c r="B11425" s="216" t="str">
        <f ca="1">_xlfn.CONCAT(B11400,A11425)</f>
        <v>1274D39E-X</v>
      </c>
      <c r="C11425" s="14" t="s">
        <v>1</v>
      </c>
      <c r="D11425" s="15"/>
      <c r="E11425" s="15" t="s">
        <v>20</v>
      </c>
      <c r="F11425" s="16" t="s">
        <v>21</v>
      </c>
      <c r="G11425" s="15" t="s">
        <v>5</v>
      </c>
      <c r="H11425" s="215"/>
    </row>
    <row r="11426" spans="1:8">
      <c r="A11426" s="211" t="s">
        <v>508</v>
      </c>
      <c r="B11426" s="216" t="str">
        <f ca="1">_xlfn.CONCAT(B11400,A11426)</f>
        <v>1274D39E-Y</v>
      </c>
      <c r="C11426" s="24" t="s">
        <v>22</v>
      </c>
      <c r="D11426" s="184"/>
      <c r="E11426" s="25">
        <f>_xlfn.XLOOKUP(C11426,'H-MO'!B$7:B$30,'H-MO'!D$7:D$30,,0,1)</f>
        <v>2436.5624999999995</v>
      </c>
      <c r="F11426" s="19">
        <v>0.4</v>
      </c>
      <c r="G11426" s="33">
        <f t="shared" ref="G11426:G11431" si="330">+E11426*F11426</f>
        <v>974.62499999999989</v>
      </c>
    </row>
    <row r="11427" spans="1:8">
      <c r="A11427" s="211" t="s">
        <v>509</v>
      </c>
      <c r="B11427" s="216" t="str">
        <f ca="1">_xlfn.CONCAT(B11400,A11427)</f>
        <v>1274D39E-Z</v>
      </c>
      <c r="C11427" s="24" t="s">
        <v>23</v>
      </c>
      <c r="D11427" s="184"/>
      <c r="E11427" s="25">
        <f>_xlfn.XLOOKUP(C11427,'H-MO'!B$7:B$30,'H-MO'!D$7:D$30,,0,1)</f>
        <v>1461.9374999999998</v>
      </c>
      <c r="F11427" s="19">
        <v>0.06</v>
      </c>
      <c r="G11427" s="33">
        <f t="shared" si="330"/>
        <v>87.716249999999988</v>
      </c>
    </row>
    <row r="11428" spans="1:8">
      <c r="A11428" s="211" t="s">
        <v>510</v>
      </c>
      <c r="B11428" s="216" t="str">
        <f ca="1">_xlfn.CONCAT(B11400,A11428)</f>
        <v>1274D39E-aa</v>
      </c>
      <c r="C11428" s="24" t="s">
        <v>24</v>
      </c>
      <c r="D11428" s="185"/>
      <c r="E11428" s="25">
        <f>_xlfn.XLOOKUP(C11428,'H-MO'!B$7:B$30,'H-MO'!D$7:D$30,,0,1)</f>
        <v>29238.749999999996</v>
      </c>
      <c r="F11428" s="28">
        <v>0.05</v>
      </c>
      <c r="G11428" s="33">
        <f t="shared" si="330"/>
        <v>1461.9375</v>
      </c>
    </row>
    <row r="11429" spans="1:8">
      <c r="A11429" s="211" t="s">
        <v>511</v>
      </c>
      <c r="B11429" s="216" t="str">
        <f ca="1">_xlfn.CONCAT(B11400,A11429)</f>
        <v>1274D39E-ab</v>
      </c>
      <c r="C11429" s="24" t="s">
        <v>25</v>
      </c>
      <c r="D11429" s="185"/>
      <c r="E11429" s="25">
        <f>_xlfn.XLOOKUP(C11429,'H-MO'!B$7:B$30,'H-MO'!D$7:D$30,,0,1)</f>
        <v>2761.4374999999995</v>
      </c>
      <c r="F11429" s="28">
        <v>0.2</v>
      </c>
      <c r="G11429" s="33">
        <f t="shared" si="330"/>
        <v>552.28749999999991</v>
      </c>
    </row>
    <row r="11430" spans="1:8">
      <c r="A11430" s="211" t="s">
        <v>512</v>
      </c>
      <c r="B11430" s="216" t="str">
        <f ca="1">_xlfn.CONCAT(B11400,A11430)</f>
        <v>1274D39E-ac</v>
      </c>
      <c r="C11430" s="24"/>
      <c r="D11430" s="185"/>
      <c r="E11430" s="29"/>
      <c r="F11430" s="28"/>
      <c r="G11430" s="33">
        <f t="shared" si="330"/>
        <v>0</v>
      </c>
    </row>
    <row r="11431" spans="1:8" ht="14.25" thickBot="1">
      <c r="A11431" s="211" t="s">
        <v>513</v>
      </c>
      <c r="B11431" s="216" t="str">
        <f ca="1">_xlfn.CONCAT(B11400,A11431)</f>
        <v>1274D39E-ad</v>
      </c>
      <c r="C11431" s="24"/>
      <c r="D11431" s="185"/>
      <c r="E11431" s="29"/>
      <c r="F11431" s="28"/>
      <c r="G11431" s="33">
        <f t="shared" si="330"/>
        <v>0</v>
      </c>
    </row>
    <row r="11432" spans="1:8" ht="14.25" thickBot="1">
      <c r="A11432" s="211" t="s">
        <v>514</v>
      </c>
      <c r="B11432" s="216" t="str">
        <f ca="1">_xlfn.CONCAT(B11400,A11432)</f>
        <v>1274D39E-ae</v>
      </c>
      <c r="C11432" s="17"/>
      <c r="D11432" s="192"/>
      <c r="E11432" s="18"/>
      <c r="F11432" s="22" t="s">
        <v>26</v>
      </c>
      <c r="G11432" s="23">
        <f>SUM(G11426:G11431)</f>
        <v>3076.5662499999999</v>
      </c>
    </row>
    <row r="11433" spans="1:8" ht="15.75" thickBot="1">
      <c r="A11433" s="211" t="s">
        <v>515</v>
      </c>
      <c r="B11433" s="216" t="str">
        <f ca="1">_xlfn.CONCAT(B11400,A11433)</f>
        <v>1274D39E-af</v>
      </c>
      <c r="C11433" s="10" t="s">
        <v>27</v>
      </c>
      <c r="D11433" s="190"/>
      <c r="E11433" s="11"/>
      <c r="F11433" s="12"/>
      <c r="G11433" s="13"/>
    </row>
    <row r="11434" spans="1:8" ht="14.25" thickBot="1">
      <c r="A11434" s="211" t="s">
        <v>516</v>
      </c>
      <c r="B11434" s="216" t="str">
        <f ca="1">_xlfn.CONCAT(B11400,A11434)</f>
        <v>1274D39E-ag</v>
      </c>
      <c r="C11434" s="14" t="s">
        <v>1</v>
      </c>
      <c r="D11434" s="15" t="s">
        <v>28</v>
      </c>
      <c r="E11434" s="15" t="s">
        <v>20</v>
      </c>
      <c r="F11434" s="16" t="s">
        <v>21</v>
      </c>
      <c r="G11434" s="15" t="s">
        <v>5</v>
      </c>
      <c r="H11434" s="215"/>
    </row>
    <row r="11435" spans="1:8">
      <c r="A11435" s="211" t="s">
        <v>517</v>
      </c>
      <c r="B11435" s="216" t="str">
        <f ca="1">_xlfn.CONCAT(B11400,A11435)</f>
        <v>1274D39E-ah</v>
      </c>
      <c r="C11435" s="30" t="s">
        <v>29</v>
      </c>
      <c r="D11435" s="186">
        <f>'H-MO'!$N$77</f>
        <v>725918.52892505517</v>
      </c>
      <c r="E11435" s="31">
        <f>+D11435/8</f>
        <v>90739.816115631897</v>
      </c>
      <c r="F11435" s="32">
        <v>0.4</v>
      </c>
      <c r="G11435" s="33">
        <f>+E11435*F11435</f>
        <v>36295.926446252757</v>
      </c>
    </row>
    <row r="11436" spans="1:8">
      <c r="A11436" s="211" t="s">
        <v>518</v>
      </c>
      <c r="B11436" s="216" t="str">
        <f ca="1">_xlfn.CONCAT(B11400,A11436)</f>
        <v>1274D39E-ai</v>
      </c>
      <c r="C11436" s="34" t="s">
        <v>30</v>
      </c>
      <c r="D11436" s="187">
        <f>'H-MO'!$N$86</f>
        <v>685561.39085756091</v>
      </c>
      <c r="E11436" s="29">
        <f>+D11436/8</f>
        <v>85695.173857195114</v>
      </c>
      <c r="F11436" s="28">
        <v>0</v>
      </c>
      <c r="G11436" s="33">
        <f>+E11436*F11436</f>
        <v>0</v>
      </c>
    </row>
    <row r="11437" spans="1:8" ht="14.25" thickBot="1">
      <c r="A11437" s="211" t="s">
        <v>519</v>
      </c>
      <c r="B11437" s="216" t="str">
        <f ca="1">_xlfn.CONCAT(B11400,A11437)</f>
        <v>1274D39E-aj</v>
      </c>
      <c r="C11437" s="34"/>
      <c r="D11437" s="187"/>
      <c r="E11437" s="29"/>
      <c r="F11437" s="28"/>
      <c r="G11437" s="33">
        <f>+E11437*F11437</f>
        <v>0</v>
      </c>
    </row>
    <row r="11438" spans="1:8" ht="14.25" thickBot="1">
      <c r="A11438" s="211" t="s">
        <v>520</v>
      </c>
      <c r="B11438" s="216" t="str">
        <f ca="1">_xlfn.CONCAT(B11400,A11438)</f>
        <v>1274D39E-ak</v>
      </c>
      <c r="C11438" s="34"/>
      <c r="D11438" s="185"/>
      <c r="E11438" s="26"/>
      <c r="F11438" s="36" t="s">
        <v>31</v>
      </c>
      <c r="G11438" s="23">
        <f>SUM(G11435:G11437)</f>
        <v>36295.926446252757</v>
      </c>
    </row>
    <row r="11439" spans="1:8" ht="14.25" thickBot="1">
      <c r="A11439" s="211" t="s">
        <v>521</v>
      </c>
      <c r="B11439" s="216" t="str">
        <f ca="1">_xlfn.CONCAT(B11400,A11439)</f>
        <v>1274D39E-al</v>
      </c>
      <c r="C11439" s="37"/>
      <c r="E11439" s="38"/>
      <c r="F11439" s="22"/>
      <c r="G11439" s="39"/>
    </row>
    <row r="11440" spans="1:8" ht="16.5" thickBot="1">
      <c r="A11440" s="211" t="s">
        <v>522</v>
      </c>
      <c r="B11440" s="216" t="str">
        <f ca="1">_xlfn.CONCAT(B11400,A11440)</f>
        <v>1274D39E-am</v>
      </c>
      <c r="C11440" s="40"/>
      <c r="D11440" s="193"/>
      <c r="E11440" s="41"/>
      <c r="F11440" s="42"/>
      <c r="G11440" s="43">
        <f>+G11423+G11432+G11438</f>
        <v>209668.49269625277</v>
      </c>
    </row>
    <row r="11441" spans="1:8" ht="21.75" thickBot="1">
      <c r="B11441" s="212" t="s">
        <v>550</v>
      </c>
      <c r="C11441" s="2"/>
      <c r="D11441" s="183"/>
      <c r="F11441" s="4"/>
      <c r="G11441" s="5"/>
    </row>
    <row r="11442" spans="1:8" ht="18.75">
      <c r="A11442" s="213"/>
      <c r="B11442" s="214">
        <v>260</v>
      </c>
      <c r="C11442" s="242" t="str">
        <f ca="1">_xlfn.XLOOKUP(B11442,Cantidades!$A$10:$A$314,Cantidades!$C$10:$C$314,,0,1)</f>
        <v>TOMA CON SEGURO DE GIRO 2P+T 250V/20A IP67; INCLUYE CLAVIJA. MARCA LEGRAND</v>
      </c>
      <c r="D11442" s="243"/>
      <c r="E11442" s="243"/>
      <c r="F11442" s="243"/>
      <c r="G11442" s="244"/>
      <c r="H11442" s="213"/>
    </row>
    <row r="11443" spans="1:8" ht="19.5" thickBot="1">
      <c r="A11443" s="215"/>
      <c r="B11443" s="216" t="s">
        <v>550</v>
      </c>
      <c r="C11443" s="177"/>
      <c r="D11443" s="189"/>
      <c r="E11443" s="178"/>
      <c r="F11443" s="179" t="s">
        <v>636</v>
      </c>
      <c r="G11443" s="209" t="str">
        <f ca="1">B11444</f>
        <v>29BF56CB-</v>
      </c>
      <c r="H11443" s="215"/>
    </row>
    <row r="11444" spans="1:8" ht="15.75" thickBot="1">
      <c r="B11444" s="212" t="str">
        <f ca="1">_xlfn.XLOOKUP(C11442,Cantidades!$C$1:$C$314,Cantidades!$B$1:$B$314,"",0,1)</f>
        <v>29BF56CB-</v>
      </c>
      <c r="C11444" s="10" t="s">
        <v>0</v>
      </c>
      <c r="D11444" s="190"/>
      <c r="E11444" s="11"/>
      <c r="F11444" s="12"/>
      <c r="G11444" s="13"/>
    </row>
    <row r="11445" spans="1:8" ht="14.25" thickBot="1">
      <c r="A11445" s="215"/>
      <c r="B11445" s="216" t="s">
        <v>550</v>
      </c>
      <c r="C11445" s="14" t="s">
        <v>1</v>
      </c>
      <c r="D11445" s="15" t="s">
        <v>2</v>
      </c>
      <c r="E11445" s="15" t="s">
        <v>3</v>
      </c>
      <c r="F11445" s="16" t="s">
        <v>4</v>
      </c>
      <c r="G11445" s="15" t="s">
        <v>5</v>
      </c>
      <c r="H11445" s="215"/>
    </row>
    <row r="11446" spans="1:8">
      <c r="A11446" s="211" t="s">
        <v>484</v>
      </c>
      <c r="B11446" s="216" t="str">
        <f ca="1">_xlfn.CONCAT(B11444,A11446)</f>
        <v>29BF56CB-A</v>
      </c>
      <c r="C11446" s="17" t="str">
        <f>_xlfn.XLOOKUP(H11446,'Materiales unitario'!$A$1:$A$2500,'Materiales unitario'!B$1:B$2500,,0,1)</f>
        <v>Toma Incrustar Media Vuelta 20amp 250v 2polo+tierra</v>
      </c>
      <c r="D11446" s="184" t="str">
        <f>_xlfn.XLOOKUP(H11446,'Materiales unitario'!A$1:A$2500,'Materiales unitario'!C$1:C$2500,,0,1)</f>
        <v>un</v>
      </c>
      <c r="E11446" s="197">
        <f>_xlfn.XLOOKUP(H11446,'Materiales unitario'!$A$1:$A$2500,'Materiales unitario'!D$1:D$2500,,0,1)</f>
        <v>75960</v>
      </c>
      <c r="F11446" s="19">
        <v>1</v>
      </c>
      <c r="G11446" s="20">
        <f t="shared" ref="G11446:G11448" si="331">+E11446*F11446</f>
        <v>75960</v>
      </c>
      <c r="H11446" s="211" t="s">
        <v>1760</v>
      </c>
    </row>
    <row r="11447" spans="1:8">
      <c r="A11447" s="211" t="s">
        <v>485</v>
      </c>
      <c r="B11447" s="216" t="str">
        <f ca="1">_xlfn.CONCAT(B11444,A11447)</f>
        <v>29BF56CB-B</v>
      </c>
      <c r="C11447" s="17" t="str">
        <f>_xlfn.XLOOKUP(H11447,'Materiales unitario'!$A$1:$A$2500,'Materiales unitario'!B$1:B$2500,,0,1)</f>
        <v>Clavija 20a 2p+t 250v Turnlok</v>
      </c>
      <c r="D11447" s="184" t="str">
        <f>_xlfn.XLOOKUP(H11447,'Materiales unitario'!A$1:A$2500,'Materiales unitario'!C$1:C$2500,,0,1)</f>
        <v>un</v>
      </c>
      <c r="E11447" s="197">
        <f>_xlfn.XLOOKUP(H11447,'Materiales unitario'!$A$1:$A$2500,'Materiales unitario'!D$1:D$2500,,0,1)</f>
        <v>34440</v>
      </c>
      <c r="F11447" s="19">
        <v>1</v>
      </c>
      <c r="G11447" s="20">
        <f t="shared" si="331"/>
        <v>34440</v>
      </c>
      <c r="H11447" s="211" t="s">
        <v>1764</v>
      </c>
    </row>
    <row r="11448" spans="1:8">
      <c r="A11448" s="211" t="s">
        <v>486</v>
      </c>
      <c r="B11448" s="216" t="str">
        <f ca="1">_xlfn.CONCAT(B11444,A11448)</f>
        <v>29BF56CB-C</v>
      </c>
      <c r="C11448" s="17" t="str">
        <f>_xlfn.XLOOKUP(H11448,'Materiales unitario'!$A$1:$A$2500,'Materiales unitario'!B$1:B$2500,,0,1)</f>
        <v>Marquillas para circuito</v>
      </c>
      <c r="D11448" s="184" t="str">
        <f>_xlfn.XLOOKUP(H11448,'Materiales unitario'!A$1:A$2500,'Materiales unitario'!C$1:C$2500,,0,1)</f>
        <v>un</v>
      </c>
      <c r="E11448" s="197">
        <f>_xlfn.XLOOKUP(H11448,'Materiales unitario'!$A$1:$A$2500,'Materiales unitario'!D$1:D$2500,,0,1)</f>
        <v>1000</v>
      </c>
      <c r="F11448" s="19">
        <v>3</v>
      </c>
      <c r="G11448" s="20">
        <f t="shared" si="331"/>
        <v>3000</v>
      </c>
      <c r="H11448" s="211" t="s">
        <v>339</v>
      </c>
    </row>
    <row r="11449" spans="1:8">
      <c r="A11449" s="211" t="s">
        <v>487</v>
      </c>
      <c r="B11449" s="216" t="str">
        <f ca="1">_xlfn.CONCAT(B11444,A11449)</f>
        <v>29BF56CB-D</v>
      </c>
      <c r="C11449" s="17"/>
      <c r="D11449" s="184"/>
      <c r="E11449" s="197"/>
      <c r="F11449" s="19"/>
      <c r="G11449" s="20"/>
    </row>
    <row r="11450" spans="1:8">
      <c r="A11450" s="211" t="s">
        <v>488</v>
      </c>
      <c r="B11450" s="216" t="str">
        <f ca="1">_xlfn.CONCAT(B11444,A11450)</f>
        <v>29BF56CB-E</v>
      </c>
      <c r="C11450" s="17"/>
      <c r="D11450" s="184"/>
      <c r="E11450" s="197"/>
      <c r="F11450" s="19"/>
      <c r="G11450" s="20"/>
    </row>
    <row r="11451" spans="1:8">
      <c r="A11451" s="211" t="s">
        <v>489</v>
      </c>
      <c r="B11451" s="216" t="str">
        <f ca="1">_xlfn.CONCAT(B11444,A11451)</f>
        <v>29BF56CB-F</v>
      </c>
      <c r="C11451" s="17"/>
      <c r="D11451" s="184"/>
      <c r="E11451" s="197"/>
      <c r="F11451" s="19"/>
      <c r="G11451" s="20"/>
    </row>
    <row r="11452" spans="1:8">
      <c r="A11452" s="211" t="s">
        <v>490</v>
      </c>
      <c r="B11452" s="216" t="str">
        <f ca="1">_xlfn.CONCAT(B11444,A11452)</f>
        <v>29BF56CB-G</v>
      </c>
      <c r="C11452" s="17"/>
      <c r="D11452" s="184"/>
      <c r="E11452" s="197"/>
      <c r="F11452" s="19"/>
      <c r="G11452" s="20"/>
    </row>
    <row r="11453" spans="1:8">
      <c r="A11453" s="211" t="s">
        <v>491</v>
      </c>
      <c r="B11453" s="216" t="str">
        <f ca="1">_xlfn.CONCAT(B11444,A11453)</f>
        <v>29BF56CB-H</v>
      </c>
      <c r="C11453" s="17"/>
      <c r="D11453" s="184"/>
      <c r="E11453" s="197"/>
      <c r="F11453" s="19"/>
      <c r="G11453" s="20"/>
    </row>
    <row r="11454" spans="1:8">
      <c r="A11454" s="211" t="s">
        <v>492</v>
      </c>
      <c r="B11454" s="216" t="str">
        <f ca="1">_xlfn.CONCAT(B11444,A11454)</f>
        <v>29BF56CB-I</v>
      </c>
      <c r="C11454" s="17"/>
      <c r="D11454" s="184"/>
      <c r="E11454" s="197"/>
      <c r="F11454" s="19"/>
      <c r="G11454" s="20"/>
    </row>
    <row r="11455" spans="1:8">
      <c r="A11455" s="211" t="s">
        <v>493</v>
      </c>
      <c r="B11455" s="216" t="str">
        <f ca="1">_xlfn.CONCAT(B11444,A11455)</f>
        <v>29BF56CB-J</v>
      </c>
      <c r="C11455" s="17"/>
      <c r="D11455" s="184"/>
      <c r="E11455" s="197"/>
      <c r="F11455" s="19"/>
      <c r="G11455" s="20"/>
    </row>
    <row r="11456" spans="1:8">
      <c r="A11456" s="211" t="s">
        <v>494</v>
      </c>
      <c r="B11456" s="216" t="str">
        <f ca="1">_xlfn.CONCAT(B11444,A11456)</f>
        <v>29BF56CB-K</v>
      </c>
      <c r="C11456" s="17"/>
      <c r="D11456" s="184"/>
      <c r="E11456" s="197"/>
      <c r="F11456" s="19"/>
      <c r="G11456" s="20"/>
    </row>
    <row r="11457" spans="1:8">
      <c r="A11457" s="211" t="s">
        <v>495</v>
      </c>
      <c r="B11457" s="216" t="str">
        <f ca="1">_xlfn.CONCAT(B11444,A11457)</f>
        <v>29BF56CB-L</v>
      </c>
      <c r="C11457" s="17"/>
      <c r="D11457" s="184"/>
      <c r="E11457" s="197"/>
      <c r="F11457" s="19"/>
      <c r="G11457" s="20"/>
    </row>
    <row r="11458" spans="1:8">
      <c r="A11458" s="211" t="s">
        <v>496</v>
      </c>
      <c r="B11458" s="216" t="str">
        <f ca="1">_xlfn.CONCAT(B11444,A11458)</f>
        <v>29BF56CB-M</v>
      </c>
      <c r="C11458" s="17"/>
      <c r="D11458" s="184"/>
      <c r="E11458" s="197"/>
      <c r="F11458" s="19"/>
      <c r="G11458" s="20"/>
    </row>
    <row r="11459" spans="1:8">
      <c r="A11459" s="211" t="s">
        <v>497</v>
      </c>
      <c r="B11459" s="216" t="str">
        <f ca="1">_xlfn.CONCAT(B11444,A11459)</f>
        <v>29BF56CB-N</v>
      </c>
      <c r="C11459" s="17"/>
      <c r="D11459" s="184"/>
      <c r="E11459" s="197"/>
      <c r="F11459" s="19"/>
      <c r="G11459" s="20"/>
    </row>
    <row r="11460" spans="1:8">
      <c r="A11460" s="211" t="s">
        <v>498</v>
      </c>
      <c r="B11460" s="216" t="str">
        <f ca="1">_xlfn.CONCAT(B11444,A11460)</f>
        <v>29BF56CB-O</v>
      </c>
      <c r="C11460" s="17"/>
      <c r="D11460" s="184"/>
      <c r="E11460" s="197"/>
      <c r="F11460" s="19"/>
      <c r="G11460" s="20"/>
    </row>
    <row r="11461" spans="1:8">
      <c r="A11461" s="211" t="s">
        <v>499</v>
      </c>
      <c r="B11461" s="216" t="str">
        <f ca="1">_xlfn.CONCAT(B11444,A11461)</f>
        <v>29BF56CB-P</v>
      </c>
      <c r="C11461" s="17"/>
      <c r="D11461" s="184"/>
      <c r="E11461" s="197"/>
      <c r="F11461" s="19"/>
      <c r="G11461" s="20"/>
    </row>
    <row r="11462" spans="1:8">
      <c r="A11462" s="211" t="s">
        <v>500</v>
      </c>
      <c r="B11462" s="216" t="str">
        <f ca="1">_xlfn.CONCAT(B11444,A11462)</f>
        <v>29BF56CB-Q</v>
      </c>
      <c r="C11462" s="17"/>
      <c r="D11462" s="184"/>
      <c r="E11462" s="197"/>
      <c r="F11462" s="19"/>
      <c r="G11462" s="20"/>
    </row>
    <row r="11463" spans="1:8">
      <c r="A11463" s="211" t="s">
        <v>501</v>
      </c>
      <c r="B11463" s="216" t="str">
        <f ca="1">_xlfn.CONCAT(B11444,A11463)</f>
        <v>29BF56CB-R</v>
      </c>
      <c r="C11463" s="17"/>
      <c r="D11463" s="184"/>
      <c r="E11463" s="197"/>
      <c r="F11463" s="19"/>
      <c r="G11463" s="20"/>
    </row>
    <row r="11464" spans="1:8">
      <c r="A11464" s="211" t="s">
        <v>502</v>
      </c>
      <c r="B11464" s="216" t="str">
        <f ca="1">_xlfn.CONCAT(B11444,A11464)</f>
        <v>29BF56CB-S</v>
      </c>
      <c r="C11464" s="17"/>
      <c r="D11464" s="184"/>
      <c r="E11464" s="197"/>
      <c r="F11464" s="19"/>
      <c r="G11464" s="20"/>
    </row>
    <row r="11465" spans="1:8">
      <c r="A11465" s="211" t="s">
        <v>503</v>
      </c>
      <c r="B11465" s="216" t="str">
        <f ca="1">_xlfn.CONCAT(B11444,A11465)</f>
        <v>29BF56CB-T</v>
      </c>
      <c r="C11465" s="17"/>
      <c r="D11465" s="184"/>
      <c r="E11465" s="197"/>
      <c r="F11465" s="19"/>
      <c r="G11465" s="20"/>
    </row>
    <row r="11466" spans="1:8" ht="14.25" thickBot="1">
      <c r="A11466" s="211" t="s">
        <v>504</v>
      </c>
      <c r="B11466" s="216" t="str">
        <f ca="1">_xlfn.CONCAT(B11444,A11466)</f>
        <v>29BF56CB-U</v>
      </c>
      <c r="C11466" s="17"/>
      <c r="D11466" s="184"/>
      <c r="E11466" s="197"/>
      <c r="F11466" s="19"/>
      <c r="G11466" s="20"/>
    </row>
    <row r="11467" spans="1:8" ht="14.25" thickBot="1">
      <c r="A11467" s="211" t="s">
        <v>505</v>
      </c>
      <c r="B11467" s="216" t="str">
        <f ca="1">_xlfn.CONCAT(B11444,A11467)</f>
        <v>29BF56CB-V</v>
      </c>
      <c r="C11467" s="17" t="s">
        <v>17</v>
      </c>
      <c r="D11467" s="192" t="s">
        <v>17</v>
      </c>
      <c r="E11467" s="18"/>
      <c r="F11467" s="22" t="s">
        <v>18</v>
      </c>
      <c r="G11467" s="23">
        <f>SUM(G11446:G11466)</f>
        <v>113400</v>
      </c>
    </row>
    <row r="11468" spans="1:8" ht="15.75" thickBot="1">
      <c r="A11468" s="211" t="s">
        <v>506</v>
      </c>
      <c r="B11468" s="216" t="str">
        <f ca="1">_xlfn.CONCAT(B11444,A11468)</f>
        <v>29BF56CB-W</v>
      </c>
      <c r="C11468" s="10" t="s">
        <v>19</v>
      </c>
      <c r="D11468" s="190"/>
      <c r="E11468" s="11"/>
      <c r="F11468" s="12"/>
      <c r="G11468" s="13"/>
    </row>
    <row r="11469" spans="1:8" ht="14.25" thickBot="1">
      <c r="A11469" s="211" t="s">
        <v>507</v>
      </c>
      <c r="B11469" s="216" t="str">
        <f ca="1">_xlfn.CONCAT(B11444,A11469)</f>
        <v>29BF56CB-X</v>
      </c>
      <c r="C11469" s="14" t="s">
        <v>1</v>
      </c>
      <c r="D11469" s="15"/>
      <c r="E11469" s="15" t="s">
        <v>20</v>
      </c>
      <c r="F11469" s="16" t="s">
        <v>21</v>
      </c>
      <c r="G11469" s="15" t="s">
        <v>5</v>
      </c>
      <c r="H11469" s="215"/>
    </row>
    <row r="11470" spans="1:8">
      <c r="A11470" s="211" t="s">
        <v>508</v>
      </c>
      <c r="B11470" s="216" t="str">
        <f ca="1">_xlfn.CONCAT(B11444,A11470)</f>
        <v>29BF56CB-Y</v>
      </c>
      <c r="C11470" s="24" t="s">
        <v>22</v>
      </c>
      <c r="D11470" s="184"/>
      <c r="E11470" s="25">
        <f>_xlfn.XLOOKUP(C11470,'H-MO'!B$7:B$30,'H-MO'!D$7:D$30,,0,1)</f>
        <v>2436.5624999999995</v>
      </c>
      <c r="F11470" s="19">
        <v>0.2</v>
      </c>
      <c r="G11470" s="33">
        <f t="shared" ref="G11470:G11475" si="332">+E11470*F11470</f>
        <v>487.31249999999994</v>
      </c>
    </row>
    <row r="11471" spans="1:8">
      <c r="A11471" s="211" t="s">
        <v>509</v>
      </c>
      <c r="B11471" s="216" t="str">
        <f ca="1">_xlfn.CONCAT(B11444,A11471)</f>
        <v>29BF56CB-Z</v>
      </c>
      <c r="C11471" s="24" t="s">
        <v>23</v>
      </c>
      <c r="D11471" s="184"/>
      <c r="E11471" s="25">
        <f>_xlfn.XLOOKUP(C11471,'H-MO'!B$7:B$30,'H-MO'!D$7:D$30,,0,1)</f>
        <v>1461.9374999999998</v>
      </c>
      <c r="F11471" s="19">
        <v>0.03</v>
      </c>
      <c r="G11471" s="33">
        <f t="shared" si="332"/>
        <v>43.858124999999994</v>
      </c>
    </row>
    <row r="11472" spans="1:8">
      <c r="A11472" s="211" t="s">
        <v>510</v>
      </c>
      <c r="B11472" s="216" t="str">
        <f ca="1">_xlfn.CONCAT(B11444,A11472)</f>
        <v>29BF56CB-aa</v>
      </c>
      <c r="C11472" s="24" t="s">
        <v>24</v>
      </c>
      <c r="D11472" s="185"/>
      <c r="E11472" s="25">
        <f>_xlfn.XLOOKUP(C11472,'H-MO'!B$7:B$30,'H-MO'!D$7:D$30,,0,1)</f>
        <v>29238.749999999996</v>
      </c>
      <c r="F11472" s="28">
        <v>0.04</v>
      </c>
      <c r="G11472" s="33">
        <f t="shared" si="332"/>
        <v>1169.55</v>
      </c>
    </row>
    <row r="11473" spans="1:8">
      <c r="A11473" s="211" t="s">
        <v>511</v>
      </c>
      <c r="B11473" s="216" t="str">
        <f ca="1">_xlfn.CONCAT(B11444,A11473)</f>
        <v>29BF56CB-ab</v>
      </c>
      <c r="C11473" s="24" t="s">
        <v>25</v>
      </c>
      <c r="D11473" s="185"/>
      <c r="E11473" s="25">
        <f>_xlfn.XLOOKUP(C11473,'H-MO'!B$7:B$30,'H-MO'!D$7:D$30,,0,1)</f>
        <v>2761.4374999999995</v>
      </c>
      <c r="F11473" s="28">
        <v>0.2</v>
      </c>
      <c r="G11473" s="33">
        <f t="shared" si="332"/>
        <v>552.28749999999991</v>
      </c>
    </row>
    <row r="11474" spans="1:8">
      <c r="A11474" s="211" t="s">
        <v>512</v>
      </c>
      <c r="B11474" s="216" t="str">
        <f ca="1">_xlfn.CONCAT(B11444,A11474)</f>
        <v>29BF56CB-ac</v>
      </c>
      <c r="C11474" s="24"/>
      <c r="D11474" s="185"/>
      <c r="E11474" s="29"/>
      <c r="F11474" s="28"/>
      <c r="G11474" s="33">
        <f t="shared" si="332"/>
        <v>0</v>
      </c>
    </row>
    <row r="11475" spans="1:8" ht="14.25" thickBot="1">
      <c r="A11475" s="211" t="s">
        <v>513</v>
      </c>
      <c r="B11475" s="216" t="str">
        <f ca="1">_xlfn.CONCAT(B11444,A11475)</f>
        <v>29BF56CB-ad</v>
      </c>
      <c r="C11475" s="24"/>
      <c r="D11475" s="185"/>
      <c r="E11475" s="29"/>
      <c r="F11475" s="28"/>
      <c r="G11475" s="33">
        <f t="shared" si="332"/>
        <v>0</v>
      </c>
    </row>
    <row r="11476" spans="1:8" ht="14.25" thickBot="1">
      <c r="A11476" s="211" t="s">
        <v>514</v>
      </c>
      <c r="B11476" s="216" t="str">
        <f ca="1">_xlfn.CONCAT(B11444,A11476)</f>
        <v>29BF56CB-ae</v>
      </c>
      <c r="C11476" s="17"/>
      <c r="D11476" s="192"/>
      <c r="E11476" s="18"/>
      <c r="F11476" s="22" t="s">
        <v>26</v>
      </c>
      <c r="G11476" s="23">
        <f>SUM(G11470:G11475)</f>
        <v>2253.0081249999998</v>
      </c>
    </row>
    <row r="11477" spans="1:8" ht="15.75" thickBot="1">
      <c r="A11477" s="211" t="s">
        <v>515</v>
      </c>
      <c r="B11477" s="216" t="str">
        <f ca="1">_xlfn.CONCAT(B11444,A11477)</f>
        <v>29BF56CB-af</v>
      </c>
      <c r="C11477" s="10" t="s">
        <v>27</v>
      </c>
      <c r="D11477" s="190"/>
      <c r="E11477" s="11"/>
      <c r="F11477" s="12"/>
      <c r="G11477" s="13"/>
    </row>
    <row r="11478" spans="1:8" ht="14.25" thickBot="1">
      <c r="A11478" s="211" t="s">
        <v>516</v>
      </c>
      <c r="B11478" s="216" t="str">
        <f ca="1">_xlfn.CONCAT(B11444,A11478)</f>
        <v>29BF56CB-ag</v>
      </c>
      <c r="C11478" s="14" t="s">
        <v>1</v>
      </c>
      <c r="D11478" s="15" t="s">
        <v>28</v>
      </c>
      <c r="E11478" s="15" t="s">
        <v>20</v>
      </c>
      <c r="F11478" s="16" t="s">
        <v>21</v>
      </c>
      <c r="G11478" s="15" t="s">
        <v>5</v>
      </c>
      <c r="H11478" s="215"/>
    </row>
    <row r="11479" spans="1:8">
      <c r="A11479" s="211" t="s">
        <v>517</v>
      </c>
      <c r="B11479" s="216" t="str">
        <f ca="1">_xlfn.CONCAT(B11444,A11479)</f>
        <v>29BF56CB-ah</v>
      </c>
      <c r="C11479" s="30" t="s">
        <v>29</v>
      </c>
      <c r="D11479" s="186">
        <f>'H-MO'!$N$77</f>
        <v>725918.52892505517</v>
      </c>
      <c r="E11479" s="31">
        <f>+D11479/8</f>
        <v>90739.816115631897</v>
      </c>
      <c r="F11479" s="32">
        <v>0.25</v>
      </c>
      <c r="G11479" s="33">
        <f>+E11479*F11479</f>
        <v>22684.954028907974</v>
      </c>
    </row>
    <row r="11480" spans="1:8">
      <c r="A11480" s="211" t="s">
        <v>518</v>
      </c>
      <c r="B11480" s="216" t="str">
        <f ca="1">_xlfn.CONCAT(B11444,A11480)</f>
        <v>29BF56CB-ai</v>
      </c>
      <c r="C11480" s="34" t="s">
        <v>30</v>
      </c>
      <c r="D11480" s="187">
        <f>'H-MO'!$N$86</f>
        <v>685561.39085756091</v>
      </c>
      <c r="E11480" s="29">
        <f>+D11480/8</f>
        <v>85695.173857195114</v>
      </c>
      <c r="F11480" s="28">
        <v>0</v>
      </c>
      <c r="G11480" s="33">
        <f>+E11480*F11480</f>
        <v>0</v>
      </c>
    </row>
    <row r="11481" spans="1:8" ht="14.25" thickBot="1">
      <c r="A11481" s="211" t="s">
        <v>519</v>
      </c>
      <c r="B11481" s="216" t="str">
        <f ca="1">_xlfn.CONCAT(B11444,A11481)</f>
        <v>29BF56CB-aj</v>
      </c>
      <c r="C11481" s="34"/>
      <c r="D11481" s="187"/>
      <c r="E11481" s="29"/>
      <c r="F11481" s="28"/>
      <c r="G11481" s="33">
        <f>+E11481*F11481</f>
        <v>0</v>
      </c>
    </row>
    <row r="11482" spans="1:8" ht="14.25" thickBot="1">
      <c r="A11482" s="211" t="s">
        <v>520</v>
      </c>
      <c r="B11482" s="216" t="str">
        <f ca="1">_xlfn.CONCAT(B11444,A11482)</f>
        <v>29BF56CB-ak</v>
      </c>
      <c r="C11482" s="34"/>
      <c r="D11482" s="185"/>
      <c r="E11482" s="26"/>
      <c r="F11482" s="36" t="s">
        <v>31</v>
      </c>
      <c r="G11482" s="23">
        <f>SUM(G11479:G11481)</f>
        <v>22684.954028907974</v>
      </c>
    </row>
    <row r="11483" spans="1:8" ht="14.25" thickBot="1">
      <c r="A11483" s="211" t="s">
        <v>521</v>
      </c>
      <c r="B11483" s="216" t="str">
        <f ca="1">_xlfn.CONCAT(B11444,A11483)</f>
        <v>29BF56CB-al</v>
      </c>
      <c r="C11483" s="37"/>
      <c r="E11483" s="38"/>
      <c r="F11483" s="22"/>
      <c r="G11483" s="39"/>
    </row>
    <row r="11484" spans="1:8" ht="16.5" thickBot="1">
      <c r="A11484" s="211" t="s">
        <v>522</v>
      </c>
      <c r="B11484" s="216" t="str">
        <f ca="1">_xlfn.CONCAT(B11444,A11484)</f>
        <v>29BF56CB-am</v>
      </c>
      <c r="C11484" s="40"/>
      <c r="D11484" s="193"/>
      <c r="E11484" s="41"/>
      <c r="F11484" s="42"/>
      <c r="G11484" s="43">
        <f>+G11467+G11476+G11482</f>
        <v>138337.96215390798</v>
      </c>
    </row>
    <row r="11485" spans="1:8" ht="21.75" thickBot="1">
      <c r="B11485" s="212" t="s">
        <v>550</v>
      </c>
      <c r="C11485" s="2"/>
      <c r="D11485" s="183"/>
      <c r="F11485" s="4"/>
      <c r="G11485" s="5"/>
    </row>
    <row r="11486" spans="1:8" ht="18.75">
      <c r="A11486" s="213"/>
      <c r="B11486" s="214">
        <v>261</v>
      </c>
      <c r="C11486" s="242" t="str">
        <f ca="1">_xlfn.XLOOKUP(B11486,Cantidades!$A$10:$A$314,Cantidades!$C$10:$C$314,,0,1)</f>
        <v>Suministro e instalacion de ventilador de techo KDK 3 a 5 aspas</v>
      </c>
      <c r="D11486" s="243"/>
      <c r="E11486" s="243"/>
      <c r="F11486" s="243"/>
      <c r="G11486" s="244"/>
      <c r="H11486" s="213"/>
    </row>
    <row r="11487" spans="1:8" ht="19.5" thickBot="1">
      <c r="A11487" s="215"/>
      <c r="B11487" s="216" t="s">
        <v>550</v>
      </c>
      <c r="C11487" s="177"/>
      <c r="D11487" s="189"/>
      <c r="E11487" s="178"/>
      <c r="F11487" s="179" t="s">
        <v>636</v>
      </c>
      <c r="G11487" s="209" t="str">
        <f ca="1">B11488</f>
        <v>AB9979C-</v>
      </c>
      <c r="H11487" s="215"/>
    </row>
    <row r="11488" spans="1:8" ht="15.75" thickBot="1">
      <c r="B11488" s="212" t="str">
        <f ca="1">_xlfn.XLOOKUP(C11486,Cantidades!$C$1:$C$314,Cantidades!$B$1:$B$314,"",0,1)</f>
        <v>AB9979C-</v>
      </c>
      <c r="C11488" s="10" t="s">
        <v>0</v>
      </c>
      <c r="D11488" s="190"/>
      <c r="E11488" s="11"/>
      <c r="F11488" s="12"/>
      <c r="G11488" s="13"/>
    </row>
    <row r="11489" spans="1:8" ht="14.25" thickBot="1">
      <c r="A11489" s="215"/>
      <c r="B11489" s="216" t="s">
        <v>550</v>
      </c>
      <c r="C11489" s="14" t="s">
        <v>1</v>
      </c>
      <c r="D11489" s="15" t="s">
        <v>2</v>
      </c>
      <c r="E11489" s="15" t="s">
        <v>3</v>
      </c>
      <c r="F11489" s="16" t="s">
        <v>4</v>
      </c>
      <c r="G11489" s="15" t="s">
        <v>5</v>
      </c>
      <c r="H11489" s="215"/>
    </row>
    <row r="11490" spans="1:8">
      <c r="A11490" s="211" t="s">
        <v>484</v>
      </c>
      <c r="B11490" s="216" t="str">
        <f ca="1">_xlfn.CONCAT(B11488,A11490)</f>
        <v>AB9979C-A</v>
      </c>
      <c r="C11490" s="17" t="str">
        <f>_xlfn.XLOOKUP(H11490,'Materiales unitario'!$A$1:$A$2500,'Materiales unitario'!B$1:B$2500,,0,1)</f>
        <v>Ventilador de techo KDK 3 aspas</v>
      </c>
      <c r="D11490" s="184" t="str">
        <f>_xlfn.XLOOKUP(H11490,'Materiales unitario'!A$1:A$2500,'Materiales unitario'!C$1:C$2500,,0,1)</f>
        <v>un</v>
      </c>
      <c r="E11490" s="197">
        <f>_xlfn.XLOOKUP(H11490,'Materiales unitario'!$A$1:$A$2500,'Materiales unitario'!D$1:D$2500,,0,1)</f>
        <v>584400</v>
      </c>
      <c r="F11490" s="19">
        <v>1</v>
      </c>
      <c r="G11490" s="20">
        <f t="shared" ref="G11490:G11492" si="333">+E11490*F11490</f>
        <v>584400</v>
      </c>
      <c r="H11490" s="211" t="s">
        <v>1768</v>
      </c>
    </row>
    <row r="11491" spans="1:8">
      <c r="A11491" s="211" t="s">
        <v>485</v>
      </c>
      <c r="B11491" s="216" t="str">
        <f ca="1">_xlfn.CONCAT(B11488,A11491)</f>
        <v>AB9979C-B</v>
      </c>
      <c r="C11491" s="17" t="str">
        <f>_xlfn.XLOOKUP(H11491,'Materiales unitario'!$A$1:$A$2500,'Materiales unitario'!B$1:B$2500,,0,1)</f>
        <v>Accesorios de anclaje y fijacion.</v>
      </c>
      <c r="D11491" s="184" t="str">
        <f>_xlfn.XLOOKUP(H11491,'Materiales unitario'!A$1:A$2500,'Materiales unitario'!C$1:C$2500,,0,1)</f>
        <v>un</v>
      </c>
      <c r="E11491" s="197">
        <f>_xlfn.XLOOKUP(H11491,'Materiales unitario'!$A$1:$A$2500,'Materiales unitario'!D$1:D$2500,,0,1)</f>
        <v>10000</v>
      </c>
      <c r="F11491" s="19">
        <v>1.5</v>
      </c>
      <c r="G11491" s="20">
        <f t="shared" si="333"/>
        <v>15000</v>
      </c>
      <c r="H11491" s="211" t="s">
        <v>222</v>
      </c>
    </row>
    <row r="11492" spans="1:8">
      <c r="A11492" s="211" t="s">
        <v>486</v>
      </c>
      <c r="B11492" s="216" t="str">
        <f ca="1">_xlfn.CONCAT(B11488,A11492)</f>
        <v>AB9979C-C</v>
      </c>
      <c r="C11492" s="17" t="str">
        <f>_xlfn.XLOOKUP(H11492,'Materiales unitario'!$A$1:$A$2500,'Materiales unitario'!B$1:B$2500,,0,1)</f>
        <v>Marquillas para circuito</v>
      </c>
      <c r="D11492" s="184" t="str">
        <f>_xlfn.XLOOKUP(H11492,'Materiales unitario'!A$1:A$2500,'Materiales unitario'!C$1:C$2500,,0,1)</f>
        <v>un</v>
      </c>
      <c r="E11492" s="197">
        <f>_xlfn.XLOOKUP(H11492,'Materiales unitario'!$A$1:$A$2500,'Materiales unitario'!D$1:D$2500,,0,1)</f>
        <v>1000</v>
      </c>
      <c r="F11492" s="19">
        <v>3</v>
      </c>
      <c r="G11492" s="20">
        <f t="shared" si="333"/>
        <v>3000</v>
      </c>
      <c r="H11492" s="211" t="s">
        <v>339</v>
      </c>
    </row>
    <row r="11493" spans="1:8">
      <c r="A11493" s="211" t="s">
        <v>487</v>
      </c>
      <c r="B11493" s="216" t="str">
        <f ca="1">_xlfn.CONCAT(B11488,A11493)</f>
        <v>AB9979C-D</v>
      </c>
      <c r="C11493" s="17"/>
      <c r="D11493" s="184"/>
      <c r="E11493" s="197"/>
      <c r="F11493" s="19"/>
      <c r="G11493" s="20"/>
    </row>
    <row r="11494" spans="1:8">
      <c r="A11494" s="211" t="s">
        <v>488</v>
      </c>
      <c r="B11494" s="216" t="str">
        <f ca="1">_xlfn.CONCAT(B11488,A11494)</f>
        <v>AB9979C-E</v>
      </c>
      <c r="C11494" s="17"/>
      <c r="D11494" s="184"/>
      <c r="E11494" s="197"/>
      <c r="F11494" s="19"/>
      <c r="G11494" s="20"/>
    </row>
    <row r="11495" spans="1:8">
      <c r="A11495" s="211" t="s">
        <v>489</v>
      </c>
      <c r="B11495" s="216" t="str">
        <f ca="1">_xlfn.CONCAT(B11488,A11495)</f>
        <v>AB9979C-F</v>
      </c>
      <c r="C11495" s="17"/>
      <c r="D11495" s="184"/>
      <c r="E11495" s="197"/>
      <c r="F11495" s="19"/>
      <c r="G11495" s="20"/>
    </row>
    <row r="11496" spans="1:8">
      <c r="A11496" s="211" t="s">
        <v>490</v>
      </c>
      <c r="B11496" s="216" t="str">
        <f ca="1">_xlfn.CONCAT(B11488,A11496)</f>
        <v>AB9979C-G</v>
      </c>
      <c r="C11496" s="17"/>
      <c r="D11496" s="184"/>
      <c r="E11496" s="197"/>
      <c r="F11496" s="19"/>
      <c r="G11496" s="20"/>
    </row>
    <row r="11497" spans="1:8">
      <c r="A11497" s="211" t="s">
        <v>491</v>
      </c>
      <c r="B11497" s="216" t="str">
        <f ca="1">_xlfn.CONCAT(B11488,A11497)</f>
        <v>AB9979C-H</v>
      </c>
      <c r="C11497" s="17"/>
      <c r="D11497" s="184"/>
      <c r="E11497" s="197"/>
      <c r="F11497" s="19"/>
      <c r="G11497" s="20"/>
    </row>
    <row r="11498" spans="1:8">
      <c r="A11498" s="211" t="s">
        <v>492</v>
      </c>
      <c r="B11498" s="216" t="str">
        <f ca="1">_xlfn.CONCAT(B11488,A11498)</f>
        <v>AB9979C-I</v>
      </c>
      <c r="C11498" s="17"/>
      <c r="D11498" s="184"/>
      <c r="E11498" s="197"/>
      <c r="F11498" s="19"/>
      <c r="G11498" s="20"/>
    </row>
    <row r="11499" spans="1:8">
      <c r="A11499" s="211" t="s">
        <v>493</v>
      </c>
      <c r="B11499" s="216" t="str">
        <f ca="1">_xlfn.CONCAT(B11488,A11499)</f>
        <v>AB9979C-J</v>
      </c>
      <c r="C11499" s="17"/>
      <c r="D11499" s="184"/>
      <c r="E11499" s="197"/>
      <c r="F11499" s="19"/>
      <c r="G11499" s="20"/>
    </row>
    <row r="11500" spans="1:8">
      <c r="A11500" s="211" t="s">
        <v>494</v>
      </c>
      <c r="B11500" s="216" t="str">
        <f ca="1">_xlfn.CONCAT(B11488,A11500)</f>
        <v>AB9979C-K</v>
      </c>
      <c r="C11500" s="17"/>
      <c r="D11500" s="184"/>
      <c r="E11500" s="197"/>
      <c r="F11500" s="19"/>
      <c r="G11500" s="20"/>
    </row>
    <row r="11501" spans="1:8">
      <c r="A11501" s="211" t="s">
        <v>495</v>
      </c>
      <c r="B11501" s="216" t="str">
        <f ca="1">_xlfn.CONCAT(B11488,A11501)</f>
        <v>AB9979C-L</v>
      </c>
      <c r="C11501" s="17"/>
      <c r="D11501" s="184"/>
      <c r="E11501" s="197"/>
      <c r="F11501" s="19"/>
      <c r="G11501" s="20"/>
    </row>
    <row r="11502" spans="1:8">
      <c r="A11502" s="211" t="s">
        <v>496</v>
      </c>
      <c r="B11502" s="216" t="str">
        <f ca="1">_xlfn.CONCAT(B11488,A11502)</f>
        <v>AB9979C-M</v>
      </c>
      <c r="C11502" s="17"/>
      <c r="D11502" s="184"/>
      <c r="E11502" s="197"/>
      <c r="F11502" s="19"/>
      <c r="G11502" s="20"/>
    </row>
    <row r="11503" spans="1:8">
      <c r="A11503" s="211" t="s">
        <v>497</v>
      </c>
      <c r="B11503" s="216" t="str">
        <f ca="1">_xlfn.CONCAT(B11488,A11503)</f>
        <v>AB9979C-N</v>
      </c>
      <c r="C11503" s="17"/>
      <c r="D11503" s="184"/>
      <c r="E11503" s="197"/>
      <c r="F11503" s="19"/>
      <c r="G11503" s="20"/>
    </row>
    <row r="11504" spans="1:8">
      <c r="A11504" s="211" t="s">
        <v>498</v>
      </c>
      <c r="B11504" s="216" t="str">
        <f ca="1">_xlfn.CONCAT(B11488,A11504)</f>
        <v>AB9979C-O</v>
      </c>
      <c r="C11504" s="17"/>
      <c r="D11504" s="184"/>
      <c r="E11504" s="197"/>
      <c r="F11504" s="19"/>
      <c r="G11504" s="20"/>
    </row>
    <row r="11505" spans="1:8">
      <c r="A11505" s="211" t="s">
        <v>499</v>
      </c>
      <c r="B11505" s="216" t="str">
        <f ca="1">_xlfn.CONCAT(B11488,A11505)</f>
        <v>AB9979C-P</v>
      </c>
      <c r="C11505" s="17"/>
      <c r="D11505" s="184"/>
      <c r="E11505" s="197"/>
      <c r="F11505" s="19"/>
      <c r="G11505" s="20"/>
    </row>
    <row r="11506" spans="1:8">
      <c r="A11506" s="211" t="s">
        <v>500</v>
      </c>
      <c r="B11506" s="216" t="str">
        <f ca="1">_xlfn.CONCAT(B11488,A11506)</f>
        <v>AB9979C-Q</v>
      </c>
      <c r="C11506" s="17"/>
      <c r="D11506" s="184"/>
      <c r="E11506" s="197"/>
      <c r="F11506" s="19"/>
      <c r="G11506" s="20"/>
    </row>
    <row r="11507" spans="1:8">
      <c r="A11507" s="211" t="s">
        <v>501</v>
      </c>
      <c r="B11507" s="216" t="str">
        <f ca="1">_xlfn.CONCAT(B11488,A11507)</f>
        <v>AB9979C-R</v>
      </c>
      <c r="C11507" s="17"/>
      <c r="D11507" s="184"/>
      <c r="E11507" s="197"/>
      <c r="F11507" s="19"/>
      <c r="G11507" s="20"/>
    </row>
    <row r="11508" spans="1:8">
      <c r="A11508" s="211" t="s">
        <v>502</v>
      </c>
      <c r="B11508" s="216" t="str">
        <f ca="1">_xlfn.CONCAT(B11488,A11508)</f>
        <v>AB9979C-S</v>
      </c>
      <c r="C11508" s="17"/>
      <c r="D11508" s="184"/>
      <c r="E11508" s="197"/>
      <c r="F11508" s="19"/>
      <c r="G11508" s="20"/>
    </row>
    <row r="11509" spans="1:8">
      <c r="A11509" s="211" t="s">
        <v>503</v>
      </c>
      <c r="B11509" s="216" t="str">
        <f ca="1">_xlfn.CONCAT(B11488,A11509)</f>
        <v>AB9979C-T</v>
      </c>
      <c r="C11509" s="17"/>
      <c r="D11509" s="184"/>
      <c r="E11509" s="197"/>
      <c r="F11509" s="19"/>
      <c r="G11509" s="20"/>
    </row>
    <row r="11510" spans="1:8" ht="14.25" thickBot="1">
      <c r="A11510" s="211" t="s">
        <v>504</v>
      </c>
      <c r="B11510" s="216" t="str">
        <f ca="1">_xlfn.CONCAT(B11488,A11510)</f>
        <v>AB9979C-U</v>
      </c>
      <c r="C11510" s="17"/>
      <c r="D11510" s="184"/>
      <c r="E11510" s="197"/>
      <c r="F11510" s="19"/>
      <c r="G11510" s="20"/>
    </row>
    <row r="11511" spans="1:8" ht="14.25" thickBot="1">
      <c r="A11511" s="211" t="s">
        <v>505</v>
      </c>
      <c r="B11511" s="216" t="str">
        <f ca="1">_xlfn.CONCAT(B11488,A11511)</f>
        <v>AB9979C-V</v>
      </c>
      <c r="C11511" s="17" t="s">
        <v>17</v>
      </c>
      <c r="D11511" s="192" t="s">
        <v>17</v>
      </c>
      <c r="E11511" s="18"/>
      <c r="F11511" s="22" t="s">
        <v>18</v>
      </c>
      <c r="G11511" s="23">
        <f>SUM(G11490:G11510)</f>
        <v>602400</v>
      </c>
    </row>
    <row r="11512" spans="1:8" ht="15.75" thickBot="1">
      <c r="A11512" s="211" t="s">
        <v>506</v>
      </c>
      <c r="B11512" s="216" t="str">
        <f ca="1">_xlfn.CONCAT(B11488,A11512)</f>
        <v>AB9979C-W</v>
      </c>
      <c r="C11512" s="10" t="s">
        <v>19</v>
      </c>
      <c r="D11512" s="190"/>
      <c r="E11512" s="11"/>
      <c r="F11512" s="12"/>
      <c r="G11512" s="13"/>
    </row>
    <row r="11513" spans="1:8" ht="14.25" thickBot="1">
      <c r="A11513" s="211" t="s">
        <v>507</v>
      </c>
      <c r="B11513" s="216" t="str">
        <f ca="1">_xlfn.CONCAT(B11488,A11513)</f>
        <v>AB9979C-X</v>
      </c>
      <c r="C11513" s="14" t="s">
        <v>1</v>
      </c>
      <c r="D11513" s="15"/>
      <c r="E11513" s="15" t="s">
        <v>20</v>
      </c>
      <c r="F11513" s="16" t="s">
        <v>21</v>
      </c>
      <c r="G11513" s="15" t="s">
        <v>5</v>
      </c>
      <c r="H11513" s="215"/>
    </row>
    <row r="11514" spans="1:8">
      <c r="A11514" s="211" t="s">
        <v>508</v>
      </c>
      <c r="B11514" s="216" t="str">
        <f ca="1">_xlfn.CONCAT(B11488,A11514)</f>
        <v>AB9979C-Y</v>
      </c>
      <c r="C11514" s="24" t="s">
        <v>22</v>
      </c>
      <c r="D11514" s="184"/>
      <c r="E11514" s="25">
        <f>_xlfn.XLOOKUP(C11514,'H-MO'!B$7:B$30,'H-MO'!D$7:D$30,,0,1)</f>
        <v>2436.5624999999995</v>
      </c>
      <c r="F11514" s="19">
        <v>1</v>
      </c>
      <c r="G11514" s="33">
        <f t="shared" ref="G11514:G11519" si="334">+E11514*F11514</f>
        <v>2436.5624999999995</v>
      </c>
    </row>
    <row r="11515" spans="1:8">
      <c r="A11515" s="211" t="s">
        <v>509</v>
      </c>
      <c r="B11515" s="216" t="str">
        <f ca="1">_xlfn.CONCAT(B11488,A11515)</f>
        <v>AB9979C-Z</v>
      </c>
      <c r="C11515" s="24" t="s">
        <v>23</v>
      </c>
      <c r="D11515" s="184"/>
      <c r="E11515" s="25">
        <f>_xlfn.XLOOKUP(C11515,'H-MO'!B$7:B$30,'H-MO'!D$7:D$30,,0,1)</f>
        <v>1461.9374999999998</v>
      </c>
      <c r="F11515" s="19">
        <v>0.04</v>
      </c>
      <c r="G11515" s="33">
        <f t="shared" si="334"/>
        <v>58.477499999999992</v>
      </c>
    </row>
    <row r="11516" spans="1:8">
      <c r="A11516" s="211" t="s">
        <v>510</v>
      </c>
      <c r="B11516" s="216" t="str">
        <f ca="1">_xlfn.CONCAT(B11488,A11516)</f>
        <v>AB9979C-aa</v>
      </c>
      <c r="C11516" s="24" t="s">
        <v>24</v>
      </c>
      <c r="D11516" s="185"/>
      <c r="E11516" s="25">
        <f>_xlfn.XLOOKUP(C11516,'H-MO'!B$7:B$30,'H-MO'!D$7:D$30,,0,1)</f>
        <v>29238.749999999996</v>
      </c>
      <c r="F11516" s="28">
        <v>0.5</v>
      </c>
      <c r="G11516" s="33">
        <f t="shared" si="334"/>
        <v>14619.374999999998</v>
      </c>
    </row>
    <row r="11517" spans="1:8">
      <c r="A11517" s="211" t="s">
        <v>511</v>
      </c>
      <c r="B11517" s="216" t="str">
        <f ca="1">_xlfn.CONCAT(B11488,A11517)</f>
        <v>AB9979C-ab</v>
      </c>
      <c r="C11517" s="24" t="s">
        <v>25</v>
      </c>
      <c r="D11517" s="185"/>
      <c r="E11517" s="25">
        <f>_xlfn.XLOOKUP(C11517,'H-MO'!B$7:B$30,'H-MO'!D$7:D$30,,0,1)</f>
        <v>2761.4374999999995</v>
      </c>
      <c r="F11517" s="28">
        <v>1</v>
      </c>
      <c r="G11517" s="33">
        <f t="shared" si="334"/>
        <v>2761.4374999999995</v>
      </c>
    </row>
    <row r="11518" spans="1:8">
      <c r="A11518" s="211" t="s">
        <v>512</v>
      </c>
      <c r="B11518" s="216" t="str">
        <f ca="1">_xlfn.CONCAT(B11488,A11518)</f>
        <v>AB9979C-ac</v>
      </c>
      <c r="C11518" s="24"/>
      <c r="D11518" s="185"/>
      <c r="E11518" s="29"/>
      <c r="F11518" s="28"/>
      <c r="G11518" s="33">
        <f t="shared" si="334"/>
        <v>0</v>
      </c>
    </row>
    <row r="11519" spans="1:8" ht="14.25" thickBot="1">
      <c r="A11519" s="211" t="s">
        <v>513</v>
      </c>
      <c r="B11519" s="216" t="str">
        <f ca="1">_xlfn.CONCAT(B11488,A11519)</f>
        <v>AB9979C-ad</v>
      </c>
      <c r="C11519" s="24"/>
      <c r="D11519" s="185"/>
      <c r="E11519" s="29"/>
      <c r="F11519" s="28"/>
      <c r="G11519" s="33">
        <f t="shared" si="334"/>
        <v>0</v>
      </c>
    </row>
    <row r="11520" spans="1:8" ht="14.25" thickBot="1">
      <c r="A11520" s="211" t="s">
        <v>514</v>
      </c>
      <c r="B11520" s="216" t="str">
        <f ca="1">_xlfn.CONCAT(B11488,A11520)</f>
        <v>AB9979C-ae</v>
      </c>
      <c r="C11520" s="17"/>
      <c r="D11520" s="192"/>
      <c r="E11520" s="18"/>
      <c r="F11520" s="22" t="s">
        <v>26</v>
      </c>
      <c r="G11520" s="23">
        <f>SUM(G11514:G11519)</f>
        <v>19875.852499999997</v>
      </c>
    </row>
    <row r="11521" spans="1:8" ht="15.75" thickBot="1">
      <c r="A11521" s="211" t="s">
        <v>515</v>
      </c>
      <c r="B11521" s="216" t="str">
        <f ca="1">_xlfn.CONCAT(B11488,A11521)</f>
        <v>AB9979C-af</v>
      </c>
      <c r="C11521" s="10" t="s">
        <v>27</v>
      </c>
      <c r="D11521" s="190"/>
      <c r="E11521" s="11"/>
      <c r="F11521" s="12"/>
      <c r="G11521" s="13"/>
    </row>
    <row r="11522" spans="1:8" ht="14.25" thickBot="1">
      <c r="A11522" s="211" t="s">
        <v>516</v>
      </c>
      <c r="B11522" s="216" t="str">
        <f ca="1">_xlfn.CONCAT(B11488,A11522)</f>
        <v>AB9979C-ag</v>
      </c>
      <c r="C11522" s="14" t="s">
        <v>1</v>
      </c>
      <c r="D11522" s="15" t="s">
        <v>28</v>
      </c>
      <c r="E11522" s="15" t="s">
        <v>20</v>
      </c>
      <c r="F11522" s="16" t="s">
        <v>21</v>
      </c>
      <c r="G11522" s="15" t="s">
        <v>5</v>
      </c>
      <c r="H11522" s="215"/>
    </row>
    <row r="11523" spans="1:8">
      <c r="A11523" s="211" t="s">
        <v>517</v>
      </c>
      <c r="B11523" s="216" t="str">
        <f ca="1">_xlfn.CONCAT(B11488,A11523)</f>
        <v>AB9979C-ah</v>
      </c>
      <c r="C11523" s="30" t="s">
        <v>29</v>
      </c>
      <c r="D11523" s="186">
        <f>'H-MO'!$N$77</f>
        <v>725918.52892505517</v>
      </c>
      <c r="E11523" s="31">
        <f>+D11523/8</f>
        <v>90739.816115631897</v>
      </c>
      <c r="F11523" s="32">
        <v>0.9</v>
      </c>
      <c r="G11523" s="33">
        <f>+E11523*F11523</f>
        <v>81665.834504068713</v>
      </c>
    </row>
    <row r="11524" spans="1:8">
      <c r="A11524" s="211" t="s">
        <v>518</v>
      </c>
      <c r="B11524" s="216" t="str">
        <f ca="1">_xlfn.CONCAT(B11488,A11524)</f>
        <v>AB9979C-ai</v>
      </c>
      <c r="C11524" s="34" t="s">
        <v>30</v>
      </c>
      <c r="D11524" s="187">
        <f>'H-MO'!$N$86</f>
        <v>685561.39085756091</v>
      </c>
      <c r="E11524" s="29">
        <f>+D11524/8</f>
        <v>85695.173857195114</v>
      </c>
      <c r="F11524" s="28">
        <v>0</v>
      </c>
      <c r="G11524" s="33">
        <f>+E11524*F11524</f>
        <v>0</v>
      </c>
    </row>
    <row r="11525" spans="1:8" ht="14.25" thickBot="1">
      <c r="A11525" s="211" t="s">
        <v>519</v>
      </c>
      <c r="B11525" s="216" t="str">
        <f ca="1">_xlfn.CONCAT(B11488,A11525)</f>
        <v>AB9979C-aj</v>
      </c>
      <c r="C11525" s="34"/>
      <c r="D11525" s="187"/>
      <c r="E11525" s="29"/>
      <c r="F11525" s="28"/>
      <c r="G11525" s="33">
        <f>+E11525*F11525</f>
        <v>0</v>
      </c>
    </row>
    <row r="11526" spans="1:8" ht="14.25" thickBot="1">
      <c r="A11526" s="211" t="s">
        <v>520</v>
      </c>
      <c r="B11526" s="216" t="str">
        <f ca="1">_xlfn.CONCAT(B11488,A11526)</f>
        <v>AB9979C-ak</v>
      </c>
      <c r="C11526" s="34"/>
      <c r="D11526" s="185"/>
      <c r="E11526" s="26"/>
      <c r="F11526" s="36" t="s">
        <v>31</v>
      </c>
      <c r="G11526" s="23">
        <f>SUM(G11523:G11525)</f>
        <v>81665.834504068713</v>
      </c>
    </row>
    <row r="11527" spans="1:8" ht="14.25" thickBot="1">
      <c r="A11527" s="211" t="s">
        <v>521</v>
      </c>
      <c r="B11527" s="216" t="str">
        <f ca="1">_xlfn.CONCAT(B11488,A11527)</f>
        <v>AB9979C-al</v>
      </c>
      <c r="C11527" s="37"/>
      <c r="E11527" s="38"/>
      <c r="F11527" s="22"/>
      <c r="G11527" s="39"/>
    </row>
    <row r="11528" spans="1:8" ht="16.5" thickBot="1">
      <c r="A11528" s="211" t="s">
        <v>522</v>
      </c>
      <c r="B11528" s="216" t="str">
        <f ca="1">_xlfn.CONCAT(B11488,A11528)</f>
        <v>AB9979C-am</v>
      </c>
      <c r="C11528" s="40"/>
      <c r="D11528" s="193"/>
      <c r="E11528" s="41"/>
      <c r="F11528" s="42"/>
      <c r="G11528" s="43">
        <f>+G11511+G11520+G11526</f>
        <v>703941.68700406875</v>
      </c>
    </row>
    <row r="11529" spans="1:8" ht="21.75" thickBot="1">
      <c r="B11529" s="212" t="s">
        <v>550</v>
      </c>
      <c r="C11529" s="2"/>
      <c r="D11529" s="183"/>
      <c r="F11529" s="4"/>
      <c r="G11529" s="5"/>
    </row>
    <row r="11530" spans="1:8" ht="18.75">
      <c r="A11530" s="213"/>
      <c r="B11530" s="214">
        <v>262</v>
      </c>
      <c r="C11530" s="242" t="str">
        <f ca="1">_xlfn.XLOOKUP(B11530,Cantidades!$A$10:$A$314,Cantidades!$C$10:$C$314,,0,1)</f>
        <v>Suministro e instalacion de ventilador de muro UNIVERSAL giro automatico 3 velocidades</v>
      </c>
      <c r="D11530" s="243"/>
      <c r="E11530" s="243"/>
      <c r="F11530" s="243"/>
      <c r="G11530" s="244"/>
      <c r="H11530" s="213"/>
    </row>
    <row r="11531" spans="1:8" ht="19.5" thickBot="1">
      <c r="A11531" s="215"/>
      <c r="B11531" s="216" t="s">
        <v>550</v>
      </c>
      <c r="C11531" s="177"/>
      <c r="D11531" s="189"/>
      <c r="E11531" s="178"/>
      <c r="F11531" s="179" t="s">
        <v>636</v>
      </c>
      <c r="G11531" s="209" t="str">
        <f ca="1">B11532</f>
        <v>15BFEE6B-</v>
      </c>
      <c r="H11531" s="215"/>
    </row>
    <row r="11532" spans="1:8" ht="15.75" thickBot="1">
      <c r="B11532" s="212" t="str">
        <f ca="1">_xlfn.XLOOKUP(C11530,Cantidades!$C$1:$C$314,Cantidades!$B$1:$B$314,"",0,1)</f>
        <v>15BFEE6B-</v>
      </c>
      <c r="C11532" s="10" t="s">
        <v>0</v>
      </c>
      <c r="D11532" s="190"/>
      <c r="E11532" s="11"/>
      <c r="F11532" s="12"/>
      <c r="G11532" s="13"/>
    </row>
    <row r="11533" spans="1:8" ht="14.25" thickBot="1">
      <c r="A11533" s="215"/>
      <c r="B11533" s="216" t="s">
        <v>550</v>
      </c>
      <c r="C11533" s="14" t="s">
        <v>1</v>
      </c>
      <c r="D11533" s="15" t="s">
        <v>2</v>
      </c>
      <c r="E11533" s="15" t="s">
        <v>3</v>
      </c>
      <c r="F11533" s="16" t="s">
        <v>4</v>
      </c>
      <c r="G11533" s="15" t="s">
        <v>5</v>
      </c>
      <c r="H11533" s="215"/>
    </row>
    <row r="11534" spans="1:8">
      <c r="A11534" s="211" t="s">
        <v>484</v>
      </c>
      <c r="B11534" s="216" t="str">
        <f ca="1">_xlfn.CONCAT(B11532,A11534)</f>
        <v>15BFEE6B-A</v>
      </c>
      <c r="C11534" s="17" t="str">
        <f>_xlfn.XLOOKUP(H11534,'Materiales unitario'!$A$1:$A$2500,'Materiales unitario'!B$1:B$2500,,0,1)</f>
        <v>Ventilador de muro UNIVERSAL giro automatico 3 velocidades</v>
      </c>
      <c r="D11534" s="184" t="str">
        <f>_xlfn.XLOOKUP(H11534,'Materiales unitario'!A$1:A$2500,'Materiales unitario'!C$1:C$2500,,0,1)</f>
        <v>un</v>
      </c>
      <c r="E11534" s="197">
        <f>_xlfn.XLOOKUP(H11534,'Materiales unitario'!$A$1:$A$2500,'Materiales unitario'!D$1:D$2500,,0,1)</f>
        <v>309900</v>
      </c>
      <c r="F11534" s="19">
        <v>1</v>
      </c>
      <c r="G11534" s="20">
        <f t="shared" ref="G11534:G11536" si="335">+E11534*F11534</f>
        <v>309900</v>
      </c>
      <c r="H11534" s="211" t="s">
        <v>1771</v>
      </c>
    </row>
    <row r="11535" spans="1:8">
      <c r="A11535" s="211" t="s">
        <v>485</v>
      </c>
      <c r="B11535" s="216" t="str">
        <f ca="1">_xlfn.CONCAT(B11532,A11535)</f>
        <v>15BFEE6B-B</v>
      </c>
      <c r="C11535" s="17" t="str">
        <f>_xlfn.XLOOKUP(H11535,'Materiales unitario'!$A$1:$A$2500,'Materiales unitario'!B$1:B$2500,,0,1)</f>
        <v>Accesorios de anclaje y fijacion.</v>
      </c>
      <c r="D11535" s="184" t="str">
        <f>_xlfn.XLOOKUP(H11535,'Materiales unitario'!A$1:A$2500,'Materiales unitario'!C$1:C$2500,,0,1)</f>
        <v>un</v>
      </c>
      <c r="E11535" s="197">
        <f>_xlfn.XLOOKUP(H11535,'Materiales unitario'!$A$1:$A$2500,'Materiales unitario'!D$1:D$2500,,0,1)</f>
        <v>10000</v>
      </c>
      <c r="F11535" s="19">
        <v>1.5</v>
      </c>
      <c r="G11535" s="20">
        <f t="shared" si="335"/>
        <v>15000</v>
      </c>
      <c r="H11535" s="211" t="s">
        <v>222</v>
      </c>
    </row>
    <row r="11536" spans="1:8">
      <c r="A11536" s="211" t="s">
        <v>486</v>
      </c>
      <c r="B11536" s="216" t="str">
        <f ca="1">_xlfn.CONCAT(B11532,A11536)</f>
        <v>15BFEE6B-C</v>
      </c>
      <c r="C11536" s="17" t="str">
        <f>_xlfn.XLOOKUP(H11536,'Materiales unitario'!$A$1:$A$2500,'Materiales unitario'!B$1:B$2500,,0,1)</f>
        <v>Marquillas para circuito</v>
      </c>
      <c r="D11536" s="184" t="str">
        <f>_xlfn.XLOOKUP(H11536,'Materiales unitario'!A$1:A$2500,'Materiales unitario'!C$1:C$2500,,0,1)</f>
        <v>un</v>
      </c>
      <c r="E11536" s="197">
        <f>_xlfn.XLOOKUP(H11536,'Materiales unitario'!$A$1:$A$2500,'Materiales unitario'!D$1:D$2500,,0,1)</f>
        <v>1000</v>
      </c>
      <c r="F11536" s="19">
        <v>3</v>
      </c>
      <c r="G11536" s="20">
        <f t="shared" si="335"/>
        <v>3000</v>
      </c>
      <c r="H11536" s="211" t="s">
        <v>339</v>
      </c>
    </row>
    <row r="11537" spans="1:7">
      <c r="A11537" s="211" t="s">
        <v>487</v>
      </c>
      <c r="B11537" s="216" t="str">
        <f ca="1">_xlfn.CONCAT(B11532,A11537)</f>
        <v>15BFEE6B-D</v>
      </c>
      <c r="C11537" s="17"/>
      <c r="D11537" s="184"/>
      <c r="E11537" s="197"/>
      <c r="F11537" s="19"/>
      <c r="G11537" s="20"/>
    </row>
    <row r="11538" spans="1:7">
      <c r="A11538" s="211" t="s">
        <v>488</v>
      </c>
      <c r="B11538" s="216" t="str">
        <f ca="1">_xlfn.CONCAT(B11532,A11538)</f>
        <v>15BFEE6B-E</v>
      </c>
      <c r="C11538" s="17"/>
      <c r="D11538" s="184"/>
      <c r="E11538" s="197"/>
      <c r="F11538" s="19"/>
      <c r="G11538" s="20"/>
    </row>
    <row r="11539" spans="1:7">
      <c r="A11539" s="211" t="s">
        <v>489</v>
      </c>
      <c r="B11539" s="216" t="str">
        <f ca="1">_xlfn.CONCAT(B11532,A11539)</f>
        <v>15BFEE6B-F</v>
      </c>
      <c r="C11539" s="17"/>
      <c r="D11539" s="184"/>
      <c r="E11539" s="197"/>
      <c r="F11539" s="19"/>
      <c r="G11539" s="20"/>
    </row>
    <row r="11540" spans="1:7">
      <c r="A11540" s="211" t="s">
        <v>490</v>
      </c>
      <c r="B11540" s="216" t="str">
        <f ca="1">_xlfn.CONCAT(B11532,A11540)</f>
        <v>15BFEE6B-G</v>
      </c>
      <c r="C11540" s="17"/>
      <c r="D11540" s="184"/>
      <c r="E11540" s="197"/>
      <c r="F11540" s="19"/>
      <c r="G11540" s="20"/>
    </row>
    <row r="11541" spans="1:7">
      <c r="A11541" s="211" t="s">
        <v>491</v>
      </c>
      <c r="B11541" s="216" t="str">
        <f ca="1">_xlfn.CONCAT(B11532,A11541)</f>
        <v>15BFEE6B-H</v>
      </c>
      <c r="C11541" s="17"/>
      <c r="D11541" s="184"/>
      <c r="E11541" s="197"/>
      <c r="F11541" s="19"/>
      <c r="G11541" s="20"/>
    </row>
    <row r="11542" spans="1:7">
      <c r="A11542" s="211" t="s">
        <v>492</v>
      </c>
      <c r="B11542" s="216" t="str">
        <f ca="1">_xlfn.CONCAT(B11532,A11542)</f>
        <v>15BFEE6B-I</v>
      </c>
      <c r="C11542" s="17"/>
      <c r="D11542" s="184"/>
      <c r="E11542" s="197"/>
      <c r="F11542" s="19"/>
      <c r="G11542" s="20"/>
    </row>
    <row r="11543" spans="1:7">
      <c r="A11543" s="211" t="s">
        <v>493</v>
      </c>
      <c r="B11543" s="216" t="str">
        <f ca="1">_xlfn.CONCAT(B11532,A11543)</f>
        <v>15BFEE6B-J</v>
      </c>
      <c r="C11543" s="17"/>
      <c r="D11543" s="184"/>
      <c r="E11543" s="197"/>
      <c r="F11543" s="19"/>
      <c r="G11543" s="20"/>
    </row>
    <row r="11544" spans="1:7">
      <c r="A11544" s="211" t="s">
        <v>494</v>
      </c>
      <c r="B11544" s="216" t="str">
        <f ca="1">_xlfn.CONCAT(B11532,A11544)</f>
        <v>15BFEE6B-K</v>
      </c>
      <c r="C11544" s="17"/>
      <c r="D11544" s="184"/>
      <c r="E11544" s="197"/>
      <c r="F11544" s="19"/>
      <c r="G11544" s="20"/>
    </row>
    <row r="11545" spans="1:7">
      <c r="A11545" s="211" t="s">
        <v>495</v>
      </c>
      <c r="B11545" s="216" t="str">
        <f ca="1">_xlfn.CONCAT(B11532,A11545)</f>
        <v>15BFEE6B-L</v>
      </c>
      <c r="C11545" s="17"/>
      <c r="D11545" s="184"/>
      <c r="E11545" s="197"/>
      <c r="F11545" s="19"/>
      <c r="G11545" s="20"/>
    </row>
    <row r="11546" spans="1:7">
      <c r="A11546" s="211" t="s">
        <v>496</v>
      </c>
      <c r="B11546" s="216" t="str">
        <f ca="1">_xlfn.CONCAT(B11532,A11546)</f>
        <v>15BFEE6B-M</v>
      </c>
      <c r="C11546" s="17"/>
      <c r="D11546" s="184"/>
      <c r="E11546" s="197"/>
      <c r="F11546" s="19"/>
      <c r="G11546" s="20"/>
    </row>
    <row r="11547" spans="1:7">
      <c r="A11547" s="211" t="s">
        <v>497</v>
      </c>
      <c r="B11547" s="216" t="str">
        <f ca="1">_xlfn.CONCAT(B11532,A11547)</f>
        <v>15BFEE6B-N</v>
      </c>
      <c r="C11547" s="17"/>
      <c r="D11547" s="184"/>
      <c r="E11547" s="197"/>
      <c r="F11547" s="19"/>
      <c r="G11547" s="20"/>
    </row>
    <row r="11548" spans="1:7">
      <c r="A11548" s="211" t="s">
        <v>498</v>
      </c>
      <c r="B11548" s="216" t="str">
        <f ca="1">_xlfn.CONCAT(B11532,A11548)</f>
        <v>15BFEE6B-O</v>
      </c>
      <c r="C11548" s="17"/>
      <c r="D11548" s="184"/>
      <c r="E11548" s="197"/>
      <c r="F11548" s="19"/>
      <c r="G11548" s="20"/>
    </row>
    <row r="11549" spans="1:7">
      <c r="A11549" s="211" t="s">
        <v>499</v>
      </c>
      <c r="B11549" s="216" t="str">
        <f ca="1">_xlfn.CONCAT(B11532,A11549)</f>
        <v>15BFEE6B-P</v>
      </c>
      <c r="C11549" s="17"/>
      <c r="D11549" s="184"/>
      <c r="E11549" s="197"/>
      <c r="F11549" s="19"/>
      <c r="G11549" s="20"/>
    </row>
    <row r="11550" spans="1:7">
      <c r="A11550" s="211" t="s">
        <v>500</v>
      </c>
      <c r="B11550" s="216" t="str">
        <f ca="1">_xlfn.CONCAT(B11532,A11550)</f>
        <v>15BFEE6B-Q</v>
      </c>
      <c r="C11550" s="17"/>
      <c r="D11550" s="184"/>
      <c r="E11550" s="197"/>
      <c r="F11550" s="19"/>
      <c r="G11550" s="20"/>
    </row>
    <row r="11551" spans="1:7">
      <c r="A11551" s="211" t="s">
        <v>501</v>
      </c>
      <c r="B11551" s="216" t="str">
        <f ca="1">_xlfn.CONCAT(B11532,A11551)</f>
        <v>15BFEE6B-R</v>
      </c>
      <c r="C11551" s="17"/>
      <c r="D11551" s="184"/>
      <c r="E11551" s="197"/>
      <c r="F11551" s="19"/>
      <c r="G11551" s="20"/>
    </row>
    <row r="11552" spans="1:7">
      <c r="A11552" s="211" t="s">
        <v>502</v>
      </c>
      <c r="B11552" s="216" t="str">
        <f ca="1">_xlfn.CONCAT(B11532,A11552)</f>
        <v>15BFEE6B-S</v>
      </c>
      <c r="C11552" s="17"/>
      <c r="D11552" s="184"/>
      <c r="E11552" s="197"/>
      <c r="F11552" s="19"/>
      <c r="G11552" s="20"/>
    </row>
    <row r="11553" spans="1:8">
      <c r="A11553" s="211" t="s">
        <v>503</v>
      </c>
      <c r="B11553" s="216" t="str">
        <f ca="1">_xlfn.CONCAT(B11532,A11553)</f>
        <v>15BFEE6B-T</v>
      </c>
      <c r="C11553" s="17"/>
      <c r="D11553" s="184"/>
      <c r="E11553" s="197"/>
      <c r="F11553" s="19"/>
      <c r="G11553" s="20"/>
    </row>
    <row r="11554" spans="1:8" ht="14.25" thickBot="1">
      <c r="A11554" s="211" t="s">
        <v>504</v>
      </c>
      <c r="B11554" s="216" t="str">
        <f ca="1">_xlfn.CONCAT(B11532,A11554)</f>
        <v>15BFEE6B-U</v>
      </c>
      <c r="C11554" s="17"/>
      <c r="D11554" s="184"/>
      <c r="E11554" s="197"/>
      <c r="F11554" s="19"/>
      <c r="G11554" s="20"/>
    </row>
    <row r="11555" spans="1:8" ht="14.25" thickBot="1">
      <c r="A11555" s="211" t="s">
        <v>505</v>
      </c>
      <c r="B11555" s="216" t="str">
        <f ca="1">_xlfn.CONCAT(B11532,A11555)</f>
        <v>15BFEE6B-V</v>
      </c>
      <c r="C11555" s="17" t="s">
        <v>17</v>
      </c>
      <c r="D11555" s="192" t="s">
        <v>17</v>
      </c>
      <c r="E11555" s="18"/>
      <c r="F11555" s="22" t="s">
        <v>18</v>
      </c>
      <c r="G11555" s="23">
        <f>SUM(G11534:G11554)</f>
        <v>327900</v>
      </c>
    </row>
    <row r="11556" spans="1:8" ht="15.75" thickBot="1">
      <c r="A11556" s="211" t="s">
        <v>506</v>
      </c>
      <c r="B11556" s="216" t="str">
        <f ca="1">_xlfn.CONCAT(B11532,A11556)</f>
        <v>15BFEE6B-W</v>
      </c>
      <c r="C11556" s="10" t="s">
        <v>19</v>
      </c>
      <c r="D11556" s="190"/>
      <c r="E11556" s="11"/>
      <c r="F11556" s="12"/>
      <c r="G11556" s="13"/>
    </row>
    <row r="11557" spans="1:8" ht="14.25" thickBot="1">
      <c r="A11557" s="211" t="s">
        <v>507</v>
      </c>
      <c r="B11557" s="216" t="str">
        <f ca="1">_xlfn.CONCAT(B11532,A11557)</f>
        <v>15BFEE6B-X</v>
      </c>
      <c r="C11557" s="14" t="s">
        <v>1</v>
      </c>
      <c r="D11557" s="15"/>
      <c r="E11557" s="15" t="s">
        <v>20</v>
      </c>
      <c r="F11557" s="16" t="s">
        <v>21</v>
      </c>
      <c r="G11557" s="15" t="s">
        <v>5</v>
      </c>
      <c r="H11557" s="215"/>
    </row>
    <row r="11558" spans="1:8">
      <c r="A11558" s="211" t="s">
        <v>508</v>
      </c>
      <c r="B11558" s="216" t="str">
        <f ca="1">_xlfn.CONCAT(B11532,A11558)</f>
        <v>15BFEE6B-Y</v>
      </c>
      <c r="C11558" s="24" t="s">
        <v>22</v>
      </c>
      <c r="D11558" s="184"/>
      <c r="E11558" s="25">
        <f>_xlfn.XLOOKUP(C11558,'H-MO'!B$7:B$30,'H-MO'!D$7:D$30,,0,1)</f>
        <v>2436.5624999999995</v>
      </c>
      <c r="F11558" s="19">
        <v>0.5</v>
      </c>
      <c r="G11558" s="33">
        <f t="shared" ref="G11558:G11563" si="336">+E11558*F11558</f>
        <v>1218.2812499999998</v>
      </c>
    </row>
    <row r="11559" spans="1:8">
      <c r="A11559" s="211" t="s">
        <v>509</v>
      </c>
      <c r="B11559" s="216" t="str">
        <f ca="1">_xlfn.CONCAT(B11532,A11559)</f>
        <v>15BFEE6B-Z</v>
      </c>
      <c r="C11559" s="24" t="s">
        <v>23</v>
      </c>
      <c r="D11559" s="184"/>
      <c r="E11559" s="25">
        <f>_xlfn.XLOOKUP(C11559,'H-MO'!B$7:B$30,'H-MO'!D$7:D$30,,0,1)</f>
        <v>1461.9374999999998</v>
      </c>
      <c r="F11559" s="19">
        <v>0.04</v>
      </c>
      <c r="G11559" s="33">
        <f t="shared" si="336"/>
        <v>58.477499999999992</v>
      </c>
    </row>
    <row r="11560" spans="1:8">
      <c r="A11560" s="211" t="s">
        <v>510</v>
      </c>
      <c r="B11560" s="216" t="str">
        <f ca="1">_xlfn.CONCAT(B11532,A11560)</f>
        <v>15BFEE6B-aa</v>
      </c>
      <c r="C11560" s="24" t="s">
        <v>24</v>
      </c>
      <c r="D11560" s="185"/>
      <c r="E11560" s="25">
        <f>_xlfn.XLOOKUP(C11560,'H-MO'!B$7:B$30,'H-MO'!D$7:D$30,,0,1)</f>
        <v>29238.749999999996</v>
      </c>
      <c r="F11560" s="28">
        <v>0.3</v>
      </c>
      <c r="G11560" s="33">
        <f t="shared" si="336"/>
        <v>8771.6249999999982</v>
      </c>
    </row>
    <row r="11561" spans="1:8">
      <c r="A11561" s="211" t="s">
        <v>511</v>
      </c>
      <c r="B11561" s="216" t="str">
        <f ca="1">_xlfn.CONCAT(B11532,A11561)</f>
        <v>15BFEE6B-ab</v>
      </c>
      <c r="C11561" s="24" t="s">
        <v>25</v>
      </c>
      <c r="D11561" s="185"/>
      <c r="E11561" s="25">
        <f>_xlfn.XLOOKUP(C11561,'H-MO'!B$7:B$30,'H-MO'!D$7:D$30,,0,1)</f>
        <v>2761.4374999999995</v>
      </c>
      <c r="F11561" s="28">
        <v>0.7</v>
      </c>
      <c r="G11561" s="33">
        <f t="shared" si="336"/>
        <v>1933.0062499999995</v>
      </c>
    </row>
    <row r="11562" spans="1:8">
      <c r="A11562" s="211" t="s">
        <v>512</v>
      </c>
      <c r="B11562" s="216" t="str">
        <f ca="1">_xlfn.CONCAT(B11532,A11562)</f>
        <v>15BFEE6B-ac</v>
      </c>
      <c r="C11562" s="24"/>
      <c r="D11562" s="185"/>
      <c r="E11562" s="29"/>
      <c r="F11562" s="28"/>
      <c r="G11562" s="33">
        <f t="shared" si="336"/>
        <v>0</v>
      </c>
    </row>
    <row r="11563" spans="1:8" ht="14.25" thickBot="1">
      <c r="A11563" s="211" t="s">
        <v>513</v>
      </c>
      <c r="B11563" s="216" t="str">
        <f ca="1">_xlfn.CONCAT(B11532,A11563)</f>
        <v>15BFEE6B-ad</v>
      </c>
      <c r="C11563" s="24"/>
      <c r="D11563" s="185"/>
      <c r="E11563" s="29"/>
      <c r="F11563" s="28"/>
      <c r="G11563" s="33">
        <f t="shared" si="336"/>
        <v>0</v>
      </c>
    </row>
    <row r="11564" spans="1:8" ht="14.25" thickBot="1">
      <c r="A11564" s="211" t="s">
        <v>514</v>
      </c>
      <c r="B11564" s="216" t="str">
        <f ca="1">_xlfn.CONCAT(B11532,A11564)</f>
        <v>15BFEE6B-ae</v>
      </c>
      <c r="C11564" s="17"/>
      <c r="D11564" s="192"/>
      <c r="E11564" s="18"/>
      <c r="F11564" s="22" t="s">
        <v>26</v>
      </c>
      <c r="G11564" s="23">
        <f>SUM(G11558:G11563)</f>
        <v>11981.389999999996</v>
      </c>
    </row>
    <row r="11565" spans="1:8" ht="15.75" thickBot="1">
      <c r="A11565" s="211" t="s">
        <v>515</v>
      </c>
      <c r="B11565" s="216" t="str">
        <f ca="1">_xlfn.CONCAT(B11532,A11565)</f>
        <v>15BFEE6B-af</v>
      </c>
      <c r="C11565" s="10" t="s">
        <v>27</v>
      </c>
      <c r="D11565" s="190"/>
      <c r="E11565" s="11"/>
      <c r="F11565" s="12"/>
      <c r="G11565" s="13"/>
    </row>
    <row r="11566" spans="1:8" ht="14.25" thickBot="1">
      <c r="A11566" s="211" t="s">
        <v>516</v>
      </c>
      <c r="B11566" s="216" t="str">
        <f ca="1">_xlfn.CONCAT(B11532,A11566)</f>
        <v>15BFEE6B-ag</v>
      </c>
      <c r="C11566" s="14" t="s">
        <v>1</v>
      </c>
      <c r="D11566" s="15" t="s">
        <v>28</v>
      </c>
      <c r="E11566" s="15" t="s">
        <v>20</v>
      </c>
      <c r="F11566" s="16" t="s">
        <v>21</v>
      </c>
      <c r="G11566" s="15" t="s">
        <v>5</v>
      </c>
      <c r="H11566" s="215"/>
    </row>
    <row r="11567" spans="1:8">
      <c r="A11567" s="211" t="s">
        <v>517</v>
      </c>
      <c r="B11567" s="216" t="str">
        <f ca="1">_xlfn.CONCAT(B11532,A11567)</f>
        <v>15BFEE6B-ah</v>
      </c>
      <c r="C11567" s="30" t="s">
        <v>29</v>
      </c>
      <c r="D11567" s="186">
        <f>'H-MO'!$N$77</f>
        <v>725918.52892505517</v>
      </c>
      <c r="E11567" s="31">
        <f>+D11567/8</f>
        <v>90739.816115631897</v>
      </c>
      <c r="F11567" s="32">
        <v>0.5</v>
      </c>
      <c r="G11567" s="33">
        <f>+E11567*F11567</f>
        <v>45369.908057815948</v>
      </c>
    </row>
    <row r="11568" spans="1:8">
      <c r="A11568" s="211" t="s">
        <v>518</v>
      </c>
      <c r="B11568" s="216" t="str">
        <f ca="1">_xlfn.CONCAT(B11532,A11568)</f>
        <v>15BFEE6B-ai</v>
      </c>
      <c r="C11568" s="34" t="s">
        <v>30</v>
      </c>
      <c r="D11568" s="187">
        <f>'H-MO'!$N$86</f>
        <v>685561.39085756091</v>
      </c>
      <c r="E11568" s="29">
        <f>+D11568/8</f>
        <v>85695.173857195114</v>
      </c>
      <c r="F11568" s="28">
        <v>0</v>
      </c>
      <c r="G11568" s="33">
        <f>+E11568*F11568</f>
        <v>0</v>
      </c>
    </row>
    <row r="11569" spans="1:8" ht="14.25" thickBot="1">
      <c r="A11569" s="211" t="s">
        <v>519</v>
      </c>
      <c r="B11569" s="216" t="str">
        <f ca="1">_xlfn.CONCAT(B11532,A11569)</f>
        <v>15BFEE6B-aj</v>
      </c>
      <c r="C11569" s="34"/>
      <c r="D11569" s="187"/>
      <c r="E11569" s="29"/>
      <c r="F11569" s="28"/>
      <c r="G11569" s="33">
        <f>+E11569*F11569</f>
        <v>0</v>
      </c>
    </row>
    <row r="11570" spans="1:8" ht="14.25" thickBot="1">
      <c r="A11570" s="211" t="s">
        <v>520</v>
      </c>
      <c r="B11570" s="216" t="str">
        <f ca="1">_xlfn.CONCAT(B11532,A11570)</f>
        <v>15BFEE6B-ak</v>
      </c>
      <c r="C11570" s="34"/>
      <c r="D11570" s="185"/>
      <c r="E11570" s="26"/>
      <c r="F11570" s="36" t="s">
        <v>31</v>
      </c>
      <c r="G11570" s="23">
        <f>SUM(G11567:G11569)</f>
        <v>45369.908057815948</v>
      </c>
    </row>
    <row r="11571" spans="1:8" ht="14.25" thickBot="1">
      <c r="A11571" s="211" t="s">
        <v>521</v>
      </c>
      <c r="B11571" s="216" t="str">
        <f ca="1">_xlfn.CONCAT(B11532,A11571)</f>
        <v>15BFEE6B-al</v>
      </c>
      <c r="C11571" s="37"/>
      <c r="E11571" s="38"/>
      <c r="F11571" s="22"/>
      <c r="G11571" s="39"/>
    </row>
    <row r="11572" spans="1:8" ht="16.5" thickBot="1">
      <c r="A11572" s="211" t="s">
        <v>522</v>
      </c>
      <c r="B11572" s="216" t="str">
        <f ca="1">_xlfn.CONCAT(B11532,A11572)</f>
        <v>15BFEE6B-am</v>
      </c>
      <c r="C11572" s="40"/>
      <c r="D11572" s="193"/>
      <c r="E11572" s="41"/>
      <c r="F11572" s="42"/>
      <c r="G11572" s="43">
        <f>+G11555+G11564+G11570</f>
        <v>385251.29805781599</v>
      </c>
    </row>
    <row r="11573" spans="1:8" ht="21.75" thickBot="1">
      <c r="B11573" s="212" t="s">
        <v>550</v>
      </c>
      <c r="C11573" s="2"/>
      <c r="D11573" s="183"/>
      <c r="F11573" s="4"/>
      <c r="G11573" s="5"/>
    </row>
    <row r="11574" spans="1:8" ht="18.75">
      <c r="A11574" s="213"/>
      <c r="B11574" s="214">
        <v>263</v>
      </c>
      <c r="C11574" s="242" t="str">
        <f ca="1">_xlfn.XLOOKUP(B11574,Cantidades!$A$10:$A$314,Cantidades!$C$10:$C$314,,0,1)</f>
        <v>Suministro e instalacion de Borna de compresion 2/0 estañada</v>
      </c>
      <c r="D11574" s="243"/>
      <c r="E11574" s="243"/>
      <c r="F11574" s="243"/>
      <c r="G11574" s="244"/>
      <c r="H11574" s="213"/>
    </row>
    <row r="11575" spans="1:8" ht="19.5" thickBot="1">
      <c r="A11575" s="215"/>
      <c r="B11575" s="216" t="s">
        <v>550</v>
      </c>
      <c r="C11575" s="177"/>
      <c r="D11575" s="189"/>
      <c r="E11575" s="178"/>
      <c r="F11575" s="179" t="s">
        <v>636</v>
      </c>
      <c r="G11575" s="209" t="str">
        <f ca="1">B11576</f>
        <v>12FECAD2-</v>
      </c>
      <c r="H11575" s="215"/>
    </row>
    <row r="11576" spans="1:8" ht="15.75" thickBot="1">
      <c r="B11576" s="212" t="str">
        <f ca="1">_xlfn.XLOOKUP(C11574,Cantidades!$C$1:$C$314,Cantidades!$B$1:$B$314,"",0,1)</f>
        <v>12FECAD2-</v>
      </c>
      <c r="C11576" s="10" t="s">
        <v>0</v>
      </c>
      <c r="D11576" s="190"/>
      <c r="E11576" s="11"/>
      <c r="F11576" s="12"/>
      <c r="G11576" s="13"/>
    </row>
    <row r="11577" spans="1:8" ht="14.25" thickBot="1">
      <c r="A11577" s="215"/>
      <c r="B11577" s="216" t="s">
        <v>550</v>
      </c>
      <c r="C11577" s="14" t="s">
        <v>1</v>
      </c>
      <c r="D11577" s="15" t="s">
        <v>2</v>
      </c>
      <c r="E11577" s="15" t="s">
        <v>3</v>
      </c>
      <c r="F11577" s="16" t="s">
        <v>4</v>
      </c>
      <c r="G11577" s="15" t="s">
        <v>5</v>
      </c>
      <c r="H11577" s="215"/>
    </row>
    <row r="11578" spans="1:8">
      <c r="A11578" s="211" t="s">
        <v>484</v>
      </c>
      <c r="B11578" s="216" t="str">
        <f ca="1">_xlfn.CONCAT(B11576,A11578)</f>
        <v>12FECAD2-A</v>
      </c>
      <c r="C11578" s="17" t="str">
        <f>_xlfn.XLOOKUP(H11578,'Materiales unitario'!$A$1:$A$2500,'Materiales unitario'!B$1:B$2500,,0,1)</f>
        <v>Borna terminal estañada  de ojo tipo pala #2/0 AWG</v>
      </c>
      <c r="D11578" s="184" t="str">
        <f>_xlfn.XLOOKUP(H11578,'Materiales unitario'!A$1:A$2500,'Materiales unitario'!C$1:C$2500,,0,1)</f>
        <v>un</v>
      </c>
      <c r="E11578" s="197">
        <f>_xlfn.XLOOKUP(H11578,'Materiales unitario'!$A$1:$A$2500,'Materiales unitario'!D$1:D$2500,,0,1)</f>
        <v>7120</v>
      </c>
      <c r="F11578" s="19">
        <v>1</v>
      </c>
      <c r="G11578" s="20">
        <f t="shared" ref="G11578:G11579" si="337">+E11578*F11578</f>
        <v>7120</v>
      </c>
      <c r="H11578" s="211" t="s">
        <v>249</v>
      </c>
    </row>
    <row r="11579" spans="1:8">
      <c r="A11579" s="211" t="s">
        <v>485</v>
      </c>
      <c r="B11579" s="216" t="str">
        <f ca="1">_xlfn.CONCAT(B11576,A11579)</f>
        <v>12FECAD2-B</v>
      </c>
      <c r="C11579" s="17" t="str">
        <f>_xlfn.XLOOKUP(H11579,'Materiales unitario'!$A$1:$A$2500,'Materiales unitario'!B$1:B$2500,,0,1)</f>
        <v>Termoencogible</v>
      </c>
      <c r="D11579" s="184" t="str">
        <f>_xlfn.XLOOKUP(H11579,'Materiales unitario'!A$1:A$2500,'Materiales unitario'!C$1:C$2500,,0,1)</f>
        <v>un</v>
      </c>
      <c r="E11579" s="197">
        <f>_xlfn.XLOOKUP(H11579,'Materiales unitario'!$A$1:$A$2500,'Materiales unitario'!D$1:D$2500,,0,1)</f>
        <v>5000</v>
      </c>
      <c r="F11579" s="19">
        <v>0.1</v>
      </c>
      <c r="G11579" s="20">
        <f t="shared" si="337"/>
        <v>500</v>
      </c>
      <c r="H11579" s="211" t="s">
        <v>373</v>
      </c>
    </row>
    <row r="11580" spans="1:8">
      <c r="A11580" s="211" t="s">
        <v>486</v>
      </c>
      <c r="B11580" s="216" t="str">
        <f ca="1">_xlfn.CONCAT(B11576,A11580)</f>
        <v>12FECAD2-C</v>
      </c>
      <c r="C11580" s="17"/>
      <c r="D11580" s="184"/>
      <c r="E11580" s="197"/>
      <c r="F11580" s="19"/>
      <c r="G11580" s="20"/>
    </row>
    <row r="11581" spans="1:8">
      <c r="A11581" s="211" t="s">
        <v>487</v>
      </c>
      <c r="B11581" s="216" t="str">
        <f ca="1">_xlfn.CONCAT(B11576,A11581)</f>
        <v>12FECAD2-D</v>
      </c>
      <c r="C11581" s="17"/>
      <c r="D11581" s="184"/>
      <c r="E11581" s="197"/>
      <c r="F11581" s="19"/>
      <c r="G11581" s="20"/>
    </row>
    <row r="11582" spans="1:8">
      <c r="A11582" s="211" t="s">
        <v>488</v>
      </c>
      <c r="B11582" s="216" t="str">
        <f ca="1">_xlfn.CONCAT(B11576,A11582)</f>
        <v>12FECAD2-E</v>
      </c>
      <c r="C11582" s="17"/>
      <c r="D11582" s="184"/>
      <c r="E11582" s="197"/>
      <c r="F11582" s="19"/>
      <c r="G11582" s="20"/>
    </row>
    <row r="11583" spans="1:8">
      <c r="A11583" s="211" t="s">
        <v>489</v>
      </c>
      <c r="B11583" s="216" t="str">
        <f ca="1">_xlfn.CONCAT(B11576,A11583)</f>
        <v>12FECAD2-F</v>
      </c>
      <c r="C11583" s="17"/>
      <c r="D11583" s="184"/>
      <c r="E11583" s="197"/>
      <c r="F11583" s="19"/>
      <c r="G11583" s="20"/>
    </row>
    <row r="11584" spans="1:8">
      <c r="A11584" s="211" t="s">
        <v>490</v>
      </c>
      <c r="B11584" s="216" t="str">
        <f ca="1">_xlfn.CONCAT(B11576,A11584)</f>
        <v>12FECAD2-G</v>
      </c>
      <c r="C11584" s="17"/>
      <c r="D11584" s="184"/>
      <c r="E11584" s="197"/>
      <c r="F11584" s="19"/>
      <c r="G11584" s="20"/>
    </row>
    <row r="11585" spans="1:7">
      <c r="A11585" s="211" t="s">
        <v>491</v>
      </c>
      <c r="B11585" s="216" t="str">
        <f ca="1">_xlfn.CONCAT(B11576,A11585)</f>
        <v>12FECAD2-H</v>
      </c>
      <c r="C11585" s="17"/>
      <c r="D11585" s="184"/>
      <c r="E11585" s="197"/>
      <c r="F11585" s="19"/>
      <c r="G11585" s="20"/>
    </row>
    <row r="11586" spans="1:7">
      <c r="A11586" s="211" t="s">
        <v>492</v>
      </c>
      <c r="B11586" s="216" t="str">
        <f ca="1">_xlfn.CONCAT(B11576,A11586)</f>
        <v>12FECAD2-I</v>
      </c>
      <c r="C11586" s="17"/>
      <c r="D11586" s="184"/>
      <c r="E11586" s="197"/>
      <c r="F11586" s="19"/>
      <c r="G11586" s="20"/>
    </row>
    <row r="11587" spans="1:7">
      <c r="A11587" s="211" t="s">
        <v>493</v>
      </c>
      <c r="B11587" s="216" t="str">
        <f ca="1">_xlfn.CONCAT(B11576,A11587)</f>
        <v>12FECAD2-J</v>
      </c>
      <c r="C11587" s="17"/>
      <c r="D11587" s="184"/>
      <c r="E11587" s="197"/>
      <c r="F11587" s="19"/>
      <c r="G11587" s="20"/>
    </row>
    <row r="11588" spans="1:7">
      <c r="A11588" s="211" t="s">
        <v>494</v>
      </c>
      <c r="B11588" s="216" t="str">
        <f ca="1">_xlfn.CONCAT(B11576,A11588)</f>
        <v>12FECAD2-K</v>
      </c>
      <c r="C11588" s="17"/>
      <c r="D11588" s="184"/>
      <c r="E11588" s="197"/>
      <c r="F11588" s="19"/>
      <c r="G11588" s="20"/>
    </row>
    <row r="11589" spans="1:7">
      <c r="A11589" s="211" t="s">
        <v>495</v>
      </c>
      <c r="B11589" s="216" t="str">
        <f ca="1">_xlfn.CONCAT(B11576,A11589)</f>
        <v>12FECAD2-L</v>
      </c>
      <c r="C11589" s="17"/>
      <c r="D11589" s="184"/>
      <c r="E11589" s="197"/>
      <c r="F11589" s="19"/>
      <c r="G11589" s="20"/>
    </row>
    <row r="11590" spans="1:7">
      <c r="A11590" s="211" t="s">
        <v>496</v>
      </c>
      <c r="B11590" s="216" t="str">
        <f ca="1">_xlfn.CONCAT(B11576,A11590)</f>
        <v>12FECAD2-M</v>
      </c>
      <c r="C11590" s="17"/>
      <c r="D11590" s="184"/>
      <c r="E11590" s="197"/>
      <c r="F11590" s="19"/>
      <c r="G11590" s="20"/>
    </row>
    <row r="11591" spans="1:7">
      <c r="A11591" s="211" t="s">
        <v>497</v>
      </c>
      <c r="B11591" s="216" t="str">
        <f ca="1">_xlfn.CONCAT(B11576,A11591)</f>
        <v>12FECAD2-N</v>
      </c>
      <c r="C11591" s="17"/>
      <c r="D11591" s="184"/>
      <c r="E11591" s="197"/>
      <c r="F11591" s="19"/>
      <c r="G11591" s="20"/>
    </row>
    <row r="11592" spans="1:7">
      <c r="A11592" s="211" t="s">
        <v>498</v>
      </c>
      <c r="B11592" s="216" t="str">
        <f ca="1">_xlfn.CONCAT(B11576,A11592)</f>
        <v>12FECAD2-O</v>
      </c>
      <c r="C11592" s="17"/>
      <c r="D11592" s="184"/>
      <c r="E11592" s="197"/>
      <c r="F11592" s="19"/>
      <c r="G11592" s="20"/>
    </row>
    <row r="11593" spans="1:7">
      <c r="A11593" s="211" t="s">
        <v>499</v>
      </c>
      <c r="B11593" s="216" t="str">
        <f ca="1">_xlfn.CONCAT(B11576,A11593)</f>
        <v>12FECAD2-P</v>
      </c>
      <c r="C11593" s="17"/>
      <c r="D11593" s="184"/>
      <c r="E11593" s="197"/>
      <c r="F11593" s="19"/>
      <c r="G11593" s="20"/>
    </row>
    <row r="11594" spans="1:7">
      <c r="A11594" s="211" t="s">
        <v>500</v>
      </c>
      <c r="B11594" s="216" t="str">
        <f ca="1">_xlfn.CONCAT(B11576,A11594)</f>
        <v>12FECAD2-Q</v>
      </c>
      <c r="C11594" s="17"/>
      <c r="D11594" s="184"/>
      <c r="E11594" s="197"/>
      <c r="F11594" s="19"/>
      <c r="G11594" s="20"/>
    </row>
    <row r="11595" spans="1:7">
      <c r="A11595" s="211" t="s">
        <v>501</v>
      </c>
      <c r="B11595" s="216" t="str">
        <f ca="1">_xlfn.CONCAT(B11576,A11595)</f>
        <v>12FECAD2-R</v>
      </c>
      <c r="C11595" s="17"/>
      <c r="D11595" s="184"/>
      <c r="E11595" s="197"/>
      <c r="F11595" s="19"/>
      <c r="G11595" s="20"/>
    </row>
    <row r="11596" spans="1:7">
      <c r="A11596" s="211" t="s">
        <v>502</v>
      </c>
      <c r="B11596" s="216" t="str">
        <f ca="1">_xlfn.CONCAT(B11576,A11596)</f>
        <v>12FECAD2-S</v>
      </c>
      <c r="C11596" s="17"/>
      <c r="D11596" s="184"/>
      <c r="E11596" s="197"/>
      <c r="F11596" s="19"/>
      <c r="G11596" s="20"/>
    </row>
    <row r="11597" spans="1:7">
      <c r="A11597" s="211" t="s">
        <v>503</v>
      </c>
      <c r="B11597" s="216" t="str">
        <f ca="1">_xlfn.CONCAT(B11576,A11597)</f>
        <v>12FECAD2-T</v>
      </c>
      <c r="C11597" s="17"/>
      <c r="D11597" s="184"/>
      <c r="E11597" s="197"/>
      <c r="F11597" s="19"/>
      <c r="G11597" s="20"/>
    </row>
    <row r="11598" spans="1:7" ht="14.25" thickBot="1">
      <c r="A11598" s="211" t="s">
        <v>504</v>
      </c>
      <c r="B11598" s="216" t="str">
        <f ca="1">_xlfn.CONCAT(B11576,A11598)</f>
        <v>12FECAD2-U</v>
      </c>
      <c r="C11598" s="17"/>
      <c r="D11598" s="184"/>
      <c r="E11598" s="197"/>
      <c r="F11598" s="19"/>
      <c r="G11598" s="20"/>
    </row>
    <row r="11599" spans="1:7" ht="14.25" thickBot="1">
      <c r="A11599" s="211" t="s">
        <v>505</v>
      </c>
      <c r="B11599" s="216" t="str">
        <f ca="1">_xlfn.CONCAT(B11576,A11599)</f>
        <v>12FECAD2-V</v>
      </c>
      <c r="C11599" s="17" t="s">
        <v>17</v>
      </c>
      <c r="D11599" s="192" t="s">
        <v>17</v>
      </c>
      <c r="E11599" s="18"/>
      <c r="F11599" s="22" t="s">
        <v>18</v>
      </c>
      <c r="G11599" s="23">
        <f>SUM(G11578:G11598)</f>
        <v>7620</v>
      </c>
    </row>
    <row r="11600" spans="1:7" ht="15.75" thickBot="1">
      <c r="A11600" s="211" t="s">
        <v>506</v>
      </c>
      <c r="B11600" s="216" t="str">
        <f ca="1">_xlfn.CONCAT(B11576,A11600)</f>
        <v>12FECAD2-W</v>
      </c>
      <c r="C11600" s="10" t="s">
        <v>19</v>
      </c>
      <c r="D11600" s="190"/>
      <c r="E11600" s="11"/>
      <c r="F11600" s="12"/>
      <c r="G11600" s="13"/>
    </row>
    <row r="11601" spans="1:8" ht="14.25" thickBot="1">
      <c r="A11601" s="211" t="s">
        <v>507</v>
      </c>
      <c r="B11601" s="216" t="str">
        <f ca="1">_xlfn.CONCAT(B11576,A11601)</f>
        <v>12FECAD2-X</v>
      </c>
      <c r="C11601" s="14" t="s">
        <v>1</v>
      </c>
      <c r="D11601" s="15"/>
      <c r="E11601" s="15" t="s">
        <v>20</v>
      </c>
      <c r="F11601" s="16" t="s">
        <v>21</v>
      </c>
      <c r="G11601" s="15" t="s">
        <v>5</v>
      </c>
      <c r="H11601" s="215"/>
    </row>
    <row r="11602" spans="1:8">
      <c r="A11602" s="211" t="s">
        <v>508</v>
      </c>
      <c r="B11602" s="216" t="str">
        <f ca="1">_xlfn.CONCAT(B11576,A11602)</f>
        <v>12FECAD2-Y</v>
      </c>
      <c r="C11602" s="24" t="s">
        <v>22</v>
      </c>
      <c r="D11602" s="184"/>
      <c r="E11602" s="25">
        <f>_xlfn.XLOOKUP(C11602,'H-MO'!B$7:B$30,'H-MO'!D$7:D$30,,0,1)</f>
        <v>2436.5624999999995</v>
      </c>
      <c r="F11602" s="19">
        <v>0.05</v>
      </c>
      <c r="G11602" s="33">
        <f t="shared" ref="G11602:G11607" si="338">+E11602*F11602</f>
        <v>121.82812499999999</v>
      </c>
    </row>
    <row r="11603" spans="1:8">
      <c r="A11603" s="211" t="s">
        <v>509</v>
      </c>
      <c r="B11603" s="216" t="str">
        <f ca="1">_xlfn.CONCAT(B11576,A11603)</f>
        <v>12FECAD2-Z</v>
      </c>
      <c r="C11603" s="24" t="s">
        <v>23</v>
      </c>
      <c r="D11603" s="184"/>
      <c r="E11603" s="25">
        <f>_xlfn.XLOOKUP(C11603,'H-MO'!B$7:B$30,'H-MO'!D$7:D$30,,0,1)</f>
        <v>1461.9374999999998</v>
      </c>
      <c r="F11603" s="19">
        <v>0.01</v>
      </c>
      <c r="G11603" s="33">
        <f t="shared" si="338"/>
        <v>14.619374999999998</v>
      </c>
    </row>
    <row r="11604" spans="1:8">
      <c r="A11604" s="211" t="s">
        <v>510</v>
      </c>
      <c r="B11604" s="216" t="str">
        <f ca="1">_xlfn.CONCAT(B11576,A11604)</f>
        <v>12FECAD2-aa</v>
      </c>
      <c r="C11604" s="24" t="s">
        <v>24</v>
      </c>
      <c r="D11604" s="185"/>
      <c r="E11604" s="25">
        <f>_xlfn.XLOOKUP(C11604,'H-MO'!B$7:B$30,'H-MO'!D$7:D$30,,0,1)</f>
        <v>29238.749999999996</v>
      </c>
      <c r="F11604" s="28">
        <v>0.02</v>
      </c>
      <c r="G11604" s="33">
        <f t="shared" si="338"/>
        <v>584.77499999999998</v>
      </c>
    </row>
    <row r="11605" spans="1:8">
      <c r="A11605" s="211" t="s">
        <v>511</v>
      </c>
      <c r="B11605" s="216" t="str">
        <f ca="1">_xlfn.CONCAT(B11576,A11605)</f>
        <v>12FECAD2-ab</v>
      </c>
      <c r="C11605" s="24" t="s">
        <v>25</v>
      </c>
      <c r="D11605" s="185"/>
      <c r="E11605" s="25">
        <f>_xlfn.XLOOKUP(C11605,'H-MO'!B$7:B$30,'H-MO'!D$7:D$30,,0,1)</f>
        <v>2761.4374999999995</v>
      </c>
      <c r="F11605" s="28">
        <v>5.0000000000000001E-3</v>
      </c>
      <c r="G11605" s="33">
        <f t="shared" si="338"/>
        <v>13.807187499999998</v>
      </c>
    </row>
    <row r="11606" spans="1:8">
      <c r="A11606" s="211" t="s">
        <v>512</v>
      </c>
      <c r="B11606" s="216" t="str">
        <f ca="1">_xlfn.CONCAT(B11576,A11606)</f>
        <v>12FECAD2-ac</v>
      </c>
      <c r="C11606" s="24"/>
      <c r="D11606" s="185"/>
      <c r="E11606" s="29"/>
      <c r="F11606" s="28"/>
      <c r="G11606" s="33">
        <f t="shared" si="338"/>
        <v>0</v>
      </c>
    </row>
    <row r="11607" spans="1:8" ht="14.25" thickBot="1">
      <c r="A11607" s="211" t="s">
        <v>513</v>
      </c>
      <c r="B11607" s="216" t="str">
        <f ca="1">_xlfn.CONCAT(B11576,A11607)</f>
        <v>12FECAD2-ad</v>
      </c>
      <c r="C11607" s="24"/>
      <c r="D11607" s="185"/>
      <c r="E11607" s="29"/>
      <c r="F11607" s="28"/>
      <c r="G11607" s="33">
        <f t="shared" si="338"/>
        <v>0</v>
      </c>
    </row>
    <row r="11608" spans="1:8" ht="14.25" thickBot="1">
      <c r="A11608" s="211" t="s">
        <v>514</v>
      </c>
      <c r="B11608" s="216" t="str">
        <f ca="1">_xlfn.CONCAT(B11576,A11608)</f>
        <v>12FECAD2-ae</v>
      </c>
      <c r="C11608" s="17"/>
      <c r="D11608" s="192"/>
      <c r="E11608" s="18"/>
      <c r="F11608" s="22" t="s">
        <v>26</v>
      </c>
      <c r="G11608" s="23">
        <f>SUM(G11602:G11607)</f>
        <v>735.02968749999991</v>
      </c>
    </row>
    <row r="11609" spans="1:8" ht="15.75" thickBot="1">
      <c r="A11609" s="211" t="s">
        <v>515</v>
      </c>
      <c r="B11609" s="216" t="str">
        <f ca="1">_xlfn.CONCAT(B11576,A11609)</f>
        <v>12FECAD2-af</v>
      </c>
      <c r="C11609" s="10" t="s">
        <v>27</v>
      </c>
      <c r="D11609" s="190"/>
      <c r="E11609" s="11"/>
      <c r="F11609" s="12"/>
      <c r="G11609" s="13"/>
    </row>
    <row r="11610" spans="1:8" ht="14.25" thickBot="1">
      <c r="A11610" s="211" t="s">
        <v>516</v>
      </c>
      <c r="B11610" s="216" t="str">
        <f ca="1">_xlfn.CONCAT(B11576,A11610)</f>
        <v>12FECAD2-ag</v>
      </c>
      <c r="C11610" s="14" t="s">
        <v>1</v>
      </c>
      <c r="D11610" s="15" t="s">
        <v>28</v>
      </c>
      <c r="E11610" s="15" t="s">
        <v>20</v>
      </c>
      <c r="F11610" s="16" t="s">
        <v>21</v>
      </c>
      <c r="G11610" s="15" t="s">
        <v>5</v>
      </c>
      <c r="H11610" s="215"/>
    </row>
    <row r="11611" spans="1:8">
      <c r="A11611" s="211" t="s">
        <v>517</v>
      </c>
      <c r="B11611" s="216" t="str">
        <f ca="1">_xlfn.CONCAT(B11576,A11611)</f>
        <v>12FECAD2-ah</v>
      </c>
      <c r="C11611" s="30" t="s">
        <v>29</v>
      </c>
      <c r="D11611" s="186">
        <f>'H-MO'!$N$77</f>
        <v>725918.52892505517</v>
      </c>
      <c r="E11611" s="31">
        <f>+D11611/8</f>
        <v>90739.816115631897</v>
      </c>
      <c r="F11611" s="32">
        <v>0.05</v>
      </c>
      <c r="G11611" s="33">
        <f>+E11611*F11611</f>
        <v>4536.9908057815946</v>
      </c>
    </row>
    <row r="11612" spans="1:8">
      <c r="A11612" s="211" t="s">
        <v>518</v>
      </c>
      <c r="B11612" s="216" t="str">
        <f ca="1">_xlfn.CONCAT(B11576,A11612)</f>
        <v>12FECAD2-ai</v>
      </c>
      <c r="C11612" s="34" t="s">
        <v>30</v>
      </c>
      <c r="D11612" s="187">
        <f>'H-MO'!$N$86</f>
        <v>685561.39085756091</v>
      </c>
      <c r="E11612" s="29">
        <f>+D11612/8</f>
        <v>85695.173857195114</v>
      </c>
      <c r="F11612" s="28">
        <v>0</v>
      </c>
      <c r="G11612" s="33">
        <f>+E11612*F11612</f>
        <v>0</v>
      </c>
    </row>
    <row r="11613" spans="1:8" ht="14.25" thickBot="1">
      <c r="A11613" s="211" t="s">
        <v>519</v>
      </c>
      <c r="B11613" s="216" t="str">
        <f ca="1">_xlfn.CONCAT(B11576,A11613)</f>
        <v>12FECAD2-aj</v>
      </c>
      <c r="C11613" s="34"/>
      <c r="D11613" s="187"/>
      <c r="E11613" s="29"/>
      <c r="F11613" s="28"/>
      <c r="G11613" s="33">
        <f>+E11613*F11613</f>
        <v>0</v>
      </c>
    </row>
    <row r="11614" spans="1:8" ht="14.25" thickBot="1">
      <c r="A11614" s="211" t="s">
        <v>520</v>
      </c>
      <c r="B11614" s="216" t="str">
        <f ca="1">_xlfn.CONCAT(B11576,A11614)</f>
        <v>12FECAD2-ak</v>
      </c>
      <c r="C11614" s="34"/>
      <c r="D11614" s="185"/>
      <c r="E11614" s="26"/>
      <c r="F11614" s="36" t="s">
        <v>31</v>
      </c>
      <c r="G11614" s="23">
        <f>SUM(G11611:G11613)</f>
        <v>4536.9908057815946</v>
      </c>
    </row>
    <row r="11615" spans="1:8" ht="14.25" thickBot="1">
      <c r="A11615" s="211" t="s">
        <v>521</v>
      </c>
      <c r="B11615" s="216" t="str">
        <f ca="1">_xlfn.CONCAT(B11576,A11615)</f>
        <v>12FECAD2-al</v>
      </c>
      <c r="C11615" s="37"/>
      <c r="E11615" s="38"/>
      <c r="F11615" s="22"/>
      <c r="G11615" s="39"/>
    </row>
    <row r="11616" spans="1:8" ht="16.5" thickBot="1">
      <c r="A11616" s="211" t="s">
        <v>522</v>
      </c>
      <c r="B11616" s="216" t="str">
        <f ca="1">_xlfn.CONCAT(B11576,A11616)</f>
        <v>12FECAD2-am</v>
      </c>
      <c r="C11616" s="40"/>
      <c r="D11616" s="193"/>
      <c r="E11616" s="41"/>
      <c r="F11616" s="42"/>
      <c r="G11616" s="43">
        <f>+G11599+G11608+G11614</f>
        <v>12892.020493281594</v>
      </c>
    </row>
    <row r="11617" spans="1:8" ht="21.75" thickBot="1">
      <c r="B11617" s="212" t="s">
        <v>550</v>
      </c>
      <c r="C11617" s="2"/>
      <c r="D11617" s="183"/>
      <c r="F11617" s="4"/>
      <c r="G11617" s="5"/>
    </row>
    <row r="11618" spans="1:8" ht="18.75">
      <c r="A11618" s="213"/>
      <c r="B11618" s="214">
        <v>264</v>
      </c>
      <c r="C11618" s="242" t="str">
        <f ca="1">_xlfn.XLOOKUP(B11618,Cantidades!$A$10:$A$314,Cantidades!$C$10:$C$314,,0,1)</f>
        <v>Suministro e instalacion de Borna de compresion 350 mcm estañada</v>
      </c>
      <c r="D11618" s="243"/>
      <c r="E11618" s="243"/>
      <c r="F11618" s="243"/>
      <c r="G11618" s="244"/>
      <c r="H11618" s="213"/>
    </row>
    <row r="11619" spans="1:8" ht="19.5" thickBot="1">
      <c r="A11619" s="215"/>
      <c r="B11619" s="216" t="s">
        <v>550</v>
      </c>
      <c r="C11619" s="177"/>
      <c r="D11619" s="189"/>
      <c r="E11619" s="178"/>
      <c r="F11619" s="179" t="s">
        <v>636</v>
      </c>
      <c r="G11619" s="209" t="str">
        <f ca="1">B11620</f>
        <v>12FEC350-</v>
      </c>
      <c r="H11619" s="215"/>
    </row>
    <row r="11620" spans="1:8" ht="15.75" thickBot="1">
      <c r="B11620" s="212" t="str">
        <f ca="1">_xlfn.XLOOKUP(C11618,Cantidades!$C$1:$C$314,Cantidades!$B$1:$B$314,"",0,1)</f>
        <v>12FEC350-</v>
      </c>
      <c r="C11620" s="10" t="s">
        <v>0</v>
      </c>
      <c r="D11620" s="190"/>
      <c r="E11620" s="11"/>
      <c r="F11620" s="12"/>
      <c r="G11620" s="13"/>
    </row>
    <row r="11621" spans="1:8" ht="14.25" thickBot="1">
      <c r="A11621" s="215"/>
      <c r="B11621" s="216" t="s">
        <v>550</v>
      </c>
      <c r="C11621" s="14" t="s">
        <v>1</v>
      </c>
      <c r="D11621" s="15" t="s">
        <v>2</v>
      </c>
      <c r="E11621" s="15" t="s">
        <v>3</v>
      </c>
      <c r="F11621" s="16" t="s">
        <v>4</v>
      </c>
      <c r="G11621" s="15" t="s">
        <v>5</v>
      </c>
      <c r="H11621" s="215"/>
    </row>
    <row r="11622" spans="1:8">
      <c r="A11622" s="211" t="s">
        <v>484</v>
      </c>
      <c r="B11622" s="216" t="str">
        <f ca="1">_xlfn.CONCAT(B11620,A11622)</f>
        <v>12FEC350-A</v>
      </c>
      <c r="C11622" s="17" t="str">
        <f>_xlfn.XLOOKUP(H11622,'Materiales unitario'!$A$1:$A$2500,'Materiales unitario'!B$1:B$2500,,0,1)</f>
        <v>Borna terminal estañada  de ojo tipo pala #350 MCM</v>
      </c>
      <c r="D11622" s="184" t="str">
        <f>_xlfn.XLOOKUP(H11622,'Materiales unitario'!A$1:A$2500,'Materiales unitario'!C$1:C$2500,,0,1)</f>
        <v>un</v>
      </c>
      <c r="E11622" s="197">
        <f>_xlfn.XLOOKUP(H11622,'Materiales unitario'!$A$1:$A$2500,'Materiales unitario'!D$1:D$2500,,0,1)</f>
        <v>22100</v>
      </c>
      <c r="F11622" s="19">
        <v>1</v>
      </c>
      <c r="G11622" s="20">
        <f t="shared" ref="G11622:G11623" si="339">+E11622*F11622</f>
        <v>22100</v>
      </c>
      <c r="H11622" s="211" t="s">
        <v>560</v>
      </c>
    </row>
    <row r="11623" spans="1:8">
      <c r="A11623" s="211" t="s">
        <v>485</v>
      </c>
      <c r="B11623" s="216" t="str">
        <f ca="1">_xlfn.CONCAT(B11620,A11623)</f>
        <v>12FEC350-B</v>
      </c>
      <c r="C11623" s="17" t="str">
        <f>_xlfn.XLOOKUP(H11623,'Materiales unitario'!$A$1:$A$2500,'Materiales unitario'!B$1:B$2500,,0,1)</f>
        <v>Termoencogible</v>
      </c>
      <c r="D11623" s="184" t="str">
        <f>_xlfn.XLOOKUP(H11623,'Materiales unitario'!A$1:A$2500,'Materiales unitario'!C$1:C$2500,,0,1)</f>
        <v>un</v>
      </c>
      <c r="E11623" s="197">
        <f>_xlfn.XLOOKUP(H11623,'Materiales unitario'!$A$1:$A$2500,'Materiales unitario'!D$1:D$2500,,0,1)</f>
        <v>5000</v>
      </c>
      <c r="F11623" s="19">
        <v>0.1</v>
      </c>
      <c r="G11623" s="20">
        <f t="shared" si="339"/>
        <v>500</v>
      </c>
      <c r="H11623" s="211" t="s">
        <v>373</v>
      </c>
    </row>
    <row r="11624" spans="1:8">
      <c r="A11624" s="211" t="s">
        <v>486</v>
      </c>
      <c r="B11624" s="216" t="str">
        <f ca="1">_xlfn.CONCAT(B11620,A11624)</f>
        <v>12FEC350-C</v>
      </c>
      <c r="C11624" s="17"/>
      <c r="D11624" s="184"/>
      <c r="E11624" s="197"/>
      <c r="F11624" s="19"/>
      <c r="G11624" s="20"/>
    </row>
    <row r="11625" spans="1:8">
      <c r="A11625" s="211" t="s">
        <v>487</v>
      </c>
      <c r="B11625" s="216" t="str">
        <f ca="1">_xlfn.CONCAT(B11620,A11625)</f>
        <v>12FEC350-D</v>
      </c>
      <c r="C11625" s="17"/>
      <c r="D11625" s="184"/>
      <c r="E11625" s="197"/>
      <c r="F11625" s="19"/>
      <c r="G11625" s="20"/>
    </row>
    <row r="11626" spans="1:8">
      <c r="A11626" s="211" t="s">
        <v>488</v>
      </c>
      <c r="B11626" s="216" t="str">
        <f ca="1">_xlfn.CONCAT(B11620,A11626)</f>
        <v>12FEC350-E</v>
      </c>
      <c r="C11626" s="17"/>
      <c r="D11626" s="184"/>
      <c r="E11626" s="197"/>
      <c r="F11626" s="19"/>
      <c r="G11626" s="20"/>
    </row>
    <row r="11627" spans="1:8">
      <c r="A11627" s="211" t="s">
        <v>489</v>
      </c>
      <c r="B11627" s="216" t="str">
        <f ca="1">_xlfn.CONCAT(B11620,A11627)</f>
        <v>12FEC350-F</v>
      </c>
      <c r="C11627" s="17"/>
      <c r="D11627" s="184"/>
      <c r="E11627" s="197"/>
      <c r="F11627" s="19"/>
      <c r="G11627" s="20"/>
    </row>
    <row r="11628" spans="1:8">
      <c r="A11628" s="211" t="s">
        <v>490</v>
      </c>
      <c r="B11628" s="216" t="str">
        <f ca="1">_xlfn.CONCAT(B11620,A11628)</f>
        <v>12FEC350-G</v>
      </c>
      <c r="C11628" s="17"/>
      <c r="D11628" s="184"/>
      <c r="E11628" s="197"/>
      <c r="F11628" s="19"/>
      <c r="G11628" s="20"/>
    </row>
    <row r="11629" spans="1:8">
      <c r="A11629" s="211" t="s">
        <v>491</v>
      </c>
      <c r="B11629" s="216" t="str">
        <f ca="1">_xlfn.CONCAT(B11620,A11629)</f>
        <v>12FEC350-H</v>
      </c>
      <c r="C11629" s="17"/>
      <c r="D11629" s="184"/>
      <c r="E11629" s="197"/>
      <c r="F11629" s="19"/>
      <c r="G11629" s="20"/>
    </row>
    <row r="11630" spans="1:8">
      <c r="A11630" s="211" t="s">
        <v>492</v>
      </c>
      <c r="B11630" s="216" t="str">
        <f ca="1">_xlfn.CONCAT(B11620,A11630)</f>
        <v>12FEC350-I</v>
      </c>
      <c r="C11630" s="17"/>
      <c r="D11630" s="184"/>
      <c r="E11630" s="197"/>
      <c r="F11630" s="19"/>
      <c r="G11630" s="20"/>
    </row>
    <row r="11631" spans="1:8">
      <c r="A11631" s="211" t="s">
        <v>493</v>
      </c>
      <c r="B11631" s="216" t="str">
        <f ca="1">_xlfn.CONCAT(B11620,A11631)</f>
        <v>12FEC350-J</v>
      </c>
      <c r="C11631" s="17"/>
      <c r="D11631" s="184"/>
      <c r="E11631" s="197"/>
      <c r="F11631" s="19"/>
      <c r="G11631" s="20"/>
    </row>
    <row r="11632" spans="1:8">
      <c r="A11632" s="211" t="s">
        <v>494</v>
      </c>
      <c r="B11632" s="216" t="str">
        <f ca="1">_xlfn.CONCAT(B11620,A11632)</f>
        <v>12FEC350-K</v>
      </c>
      <c r="C11632" s="17"/>
      <c r="D11632" s="184"/>
      <c r="E11632" s="197"/>
      <c r="F11632" s="19"/>
      <c r="G11632" s="20"/>
    </row>
    <row r="11633" spans="1:8">
      <c r="A11633" s="211" t="s">
        <v>495</v>
      </c>
      <c r="B11633" s="216" t="str">
        <f ca="1">_xlfn.CONCAT(B11620,A11633)</f>
        <v>12FEC350-L</v>
      </c>
      <c r="C11633" s="17"/>
      <c r="D11633" s="184"/>
      <c r="E11633" s="197"/>
      <c r="F11633" s="19"/>
      <c r="G11633" s="20"/>
    </row>
    <row r="11634" spans="1:8">
      <c r="A11634" s="211" t="s">
        <v>496</v>
      </c>
      <c r="B11634" s="216" t="str">
        <f ca="1">_xlfn.CONCAT(B11620,A11634)</f>
        <v>12FEC350-M</v>
      </c>
      <c r="C11634" s="17"/>
      <c r="D11634" s="184"/>
      <c r="E11634" s="197"/>
      <c r="F11634" s="19"/>
      <c r="G11634" s="20"/>
    </row>
    <row r="11635" spans="1:8">
      <c r="A11635" s="211" t="s">
        <v>497</v>
      </c>
      <c r="B11635" s="216" t="str">
        <f ca="1">_xlfn.CONCAT(B11620,A11635)</f>
        <v>12FEC350-N</v>
      </c>
      <c r="C11635" s="17"/>
      <c r="D11635" s="184"/>
      <c r="E11635" s="197"/>
      <c r="F11635" s="19"/>
      <c r="G11635" s="20"/>
    </row>
    <row r="11636" spans="1:8">
      <c r="A11636" s="211" t="s">
        <v>498</v>
      </c>
      <c r="B11636" s="216" t="str">
        <f ca="1">_xlfn.CONCAT(B11620,A11636)</f>
        <v>12FEC350-O</v>
      </c>
      <c r="C11636" s="17"/>
      <c r="D11636" s="184"/>
      <c r="E11636" s="197"/>
      <c r="F11636" s="19"/>
      <c r="G11636" s="20"/>
    </row>
    <row r="11637" spans="1:8">
      <c r="A11637" s="211" t="s">
        <v>499</v>
      </c>
      <c r="B11637" s="216" t="str">
        <f ca="1">_xlfn.CONCAT(B11620,A11637)</f>
        <v>12FEC350-P</v>
      </c>
      <c r="C11637" s="17"/>
      <c r="D11637" s="184"/>
      <c r="E11637" s="197"/>
      <c r="F11637" s="19"/>
      <c r="G11637" s="20"/>
    </row>
    <row r="11638" spans="1:8">
      <c r="A11638" s="211" t="s">
        <v>500</v>
      </c>
      <c r="B11638" s="216" t="str">
        <f ca="1">_xlfn.CONCAT(B11620,A11638)</f>
        <v>12FEC350-Q</v>
      </c>
      <c r="C11638" s="17"/>
      <c r="D11638" s="184"/>
      <c r="E11638" s="197"/>
      <c r="F11638" s="19"/>
      <c r="G11638" s="20"/>
    </row>
    <row r="11639" spans="1:8">
      <c r="A11639" s="211" t="s">
        <v>501</v>
      </c>
      <c r="B11639" s="216" t="str">
        <f ca="1">_xlfn.CONCAT(B11620,A11639)</f>
        <v>12FEC350-R</v>
      </c>
      <c r="C11639" s="17"/>
      <c r="D11639" s="184"/>
      <c r="E11639" s="197"/>
      <c r="F11639" s="19"/>
      <c r="G11639" s="20"/>
    </row>
    <row r="11640" spans="1:8">
      <c r="A11640" s="211" t="s">
        <v>502</v>
      </c>
      <c r="B11640" s="216" t="str">
        <f ca="1">_xlfn.CONCAT(B11620,A11640)</f>
        <v>12FEC350-S</v>
      </c>
      <c r="C11640" s="17"/>
      <c r="D11640" s="184"/>
      <c r="E11640" s="197"/>
      <c r="F11640" s="19"/>
      <c r="G11640" s="20"/>
    </row>
    <row r="11641" spans="1:8">
      <c r="A11641" s="211" t="s">
        <v>503</v>
      </c>
      <c r="B11641" s="216" t="str">
        <f ca="1">_xlfn.CONCAT(B11620,A11641)</f>
        <v>12FEC350-T</v>
      </c>
      <c r="C11641" s="17"/>
      <c r="D11641" s="184"/>
      <c r="E11641" s="197"/>
      <c r="F11641" s="19"/>
      <c r="G11641" s="20"/>
    </row>
    <row r="11642" spans="1:8" ht="14.25" thickBot="1">
      <c r="A11642" s="211" t="s">
        <v>504</v>
      </c>
      <c r="B11642" s="216" t="str">
        <f ca="1">_xlfn.CONCAT(B11620,A11642)</f>
        <v>12FEC350-U</v>
      </c>
      <c r="C11642" s="17"/>
      <c r="D11642" s="184"/>
      <c r="E11642" s="197"/>
      <c r="F11642" s="19"/>
      <c r="G11642" s="20"/>
    </row>
    <row r="11643" spans="1:8" ht="14.25" thickBot="1">
      <c r="A11643" s="211" t="s">
        <v>505</v>
      </c>
      <c r="B11643" s="216" t="str">
        <f ca="1">_xlfn.CONCAT(B11620,A11643)</f>
        <v>12FEC350-V</v>
      </c>
      <c r="C11643" s="17" t="s">
        <v>17</v>
      </c>
      <c r="D11643" s="192" t="s">
        <v>17</v>
      </c>
      <c r="E11643" s="18"/>
      <c r="F11643" s="22" t="s">
        <v>18</v>
      </c>
      <c r="G11643" s="23">
        <f>SUM(G11622:G11642)</f>
        <v>22600</v>
      </c>
    </row>
    <row r="11644" spans="1:8" ht="15.75" thickBot="1">
      <c r="A11644" s="211" t="s">
        <v>506</v>
      </c>
      <c r="B11644" s="216" t="str">
        <f ca="1">_xlfn.CONCAT(B11620,A11644)</f>
        <v>12FEC350-W</v>
      </c>
      <c r="C11644" s="10" t="s">
        <v>19</v>
      </c>
      <c r="D11644" s="190"/>
      <c r="E11644" s="11"/>
      <c r="F11644" s="12"/>
      <c r="G11644" s="13"/>
    </row>
    <row r="11645" spans="1:8" ht="14.25" thickBot="1">
      <c r="A11645" s="211" t="s">
        <v>507</v>
      </c>
      <c r="B11645" s="216" t="str">
        <f ca="1">_xlfn.CONCAT(B11620,A11645)</f>
        <v>12FEC350-X</v>
      </c>
      <c r="C11645" s="14" t="s">
        <v>1</v>
      </c>
      <c r="D11645" s="15"/>
      <c r="E11645" s="15" t="s">
        <v>20</v>
      </c>
      <c r="F11645" s="16" t="s">
        <v>21</v>
      </c>
      <c r="G11645" s="15" t="s">
        <v>5</v>
      </c>
      <c r="H11645" s="215"/>
    </row>
    <row r="11646" spans="1:8">
      <c r="A11646" s="211" t="s">
        <v>508</v>
      </c>
      <c r="B11646" s="216" t="str">
        <f ca="1">_xlfn.CONCAT(B11620,A11646)</f>
        <v>12FEC350-Y</v>
      </c>
      <c r="C11646" s="24" t="s">
        <v>22</v>
      </c>
      <c r="D11646" s="184"/>
      <c r="E11646" s="25">
        <f>_xlfn.XLOOKUP(C11646,'H-MO'!B$7:B$30,'H-MO'!D$7:D$30,,0,1)</f>
        <v>2436.5624999999995</v>
      </c>
      <c r="F11646" s="19">
        <v>0.05</v>
      </c>
      <c r="G11646" s="33">
        <f t="shared" ref="G11646:G11651" si="340">+E11646*F11646</f>
        <v>121.82812499999999</v>
      </c>
    </row>
    <row r="11647" spans="1:8">
      <c r="A11647" s="211" t="s">
        <v>509</v>
      </c>
      <c r="B11647" s="216" t="str">
        <f ca="1">_xlfn.CONCAT(B11620,A11647)</f>
        <v>12FEC350-Z</v>
      </c>
      <c r="C11647" s="24" t="s">
        <v>23</v>
      </c>
      <c r="D11647" s="184"/>
      <c r="E11647" s="25">
        <f>_xlfn.XLOOKUP(C11647,'H-MO'!B$7:B$30,'H-MO'!D$7:D$30,,0,1)</f>
        <v>1461.9374999999998</v>
      </c>
      <c r="F11647" s="19">
        <v>0.01</v>
      </c>
      <c r="G11647" s="33">
        <f t="shared" si="340"/>
        <v>14.619374999999998</v>
      </c>
    </row>
    <row r="11648" spans="1:8">
      <c r="A11648" s="211" t="s">
        <v>510</v>
      </c>
      <c r="B11648" s="216" t="str">
        <f ca="1">_xlfn.CONCAT(B11620,A11648)</f>
        <v>12FEC350-aa</v>
      </c>
      <c r="C11648" s="24" t="s">
        <v>24</v>
      </c>
      <c r="D11648" s="185"/>
      <c r="E11648" s="25">
        <f>_xlfn.XLOOKUP(C11648,'H-MO'!B$7:B$30,'H-MO'!D$7:D$30,,0,1)</f>
        <v>29238.749999999996</v>
      </c>
      <c r="F11648" s="28">
        <v>0.02</v>
      </c>
      <c r="G11648" s="33">
        <f t="shared" si="340"/>
        <v>584.77499999999998</v>
      </c>
    </row>
    <row r="11649" spans="1:8">
      <c r="A11649" s="211" t="s">
        <v>511</v>
      </c>
      <c r="B11649" s="216" t="str">
        <f ca="1">_xlfn.CONCAT(B11620,A11649)</f>
        <v>12FEC350-ab</v>
      </c>
      <c r="C11649" s="24" t="s">
        <v>25</v>
      </c>
      <c r="D11649" s="185"/>
      <c r="E11649" s="25">
        <f>_xlfn.XLOOKUP(C11649,'H-MO'!B$7:B$30,'H-MO'!D$7:D$30,,0,1)</f>
        <v>2761.4374999999995</v>
      </c>
      <c r="F11649" s="28">
        <v>5.0000000000000001E-3</v>
      </c>
      <c r="G11649" s="33">
        <f t="shared" si="340"/>
        <v>13.807187499999998</v>
      </c>
    </row>
    <row r="11650" spans="1:8">
      <c r="A11650" s="211" t="s">
        <v>512</v>
      </c>
      <c r="B11650" s="216" t="str">
        <f ca="1">_xlfn.CONCAT(B11620,A11650)</f>
        <v>12FEC350-ac</v>
      </c>
      <c r="C11650" s="24"/>
      <c r="D11650" s="185"/>
      <c r="E11650" s="29"/>
      <c r="F11650" s="28"/>
      <c r="G11650" s="33">
        <f t="shared" si="340"/>
        <v>0</v>
      </c>
    </row>
    <row r="11651" spans="1:8" ht="14.25" thickBot="1">
      <c r="A11651" s="211" t="s">
        <v>513</v>
      </c>
      <c r="B11651" s="216" t="str">
        <f ca="1">_xlfn.CONCAT(B11620,A11651)</f>
        <v>12FEC350-ad</v>
      </c>
      <c r="C11651" s="24"/>
      <c r="D11651" s="185"/>
      <c r="E11651" s="29"/>
      <c r="F11651" s="28"/>
      <c r="G11651" s="33">
        <f t="shared" si="340"/>
        <v>0</v>
      </c>
    </row>
    <row r="11652" spans="1:8" ht="14.25" thickBot="1">
      <c r="A11652" s="211" t="s">
        <v>514</v>
      </c>
      <c r="B11652" s="216" t="str">
        <f ca="1">_xlfn.CONCAT(B11620,A11652)</f>
        <v>12FEC350-ae</v>
      </c>
      <c r="C11652" s="17"/>
      <c r="D11652" s="192"/>
      <c r="E11652" s="18"/>
      <c r="F11652" s="22" t="s">
        <v>26</v>
      </c>
      <c r="G11652" s="23">
        <f>SUM(G11646:G11651)</f>
        <v>735.02968749999991</v>
      </c>
    </row>
    <row r="11653" spans="1:8" ht="15.75" thickBot="1">
      <c r="A11653" s="211" t="s">
        <v>515</v>
      </c>
      <c r="B11653" s="216" t="str">
        <f ca="1">_xlfn.CONCAT(B11620,A11653)</f>
        <v>12FEC350-af</v>
      </c>
      <c r="C11653" s="10" t="s">
        <v>27</v>
      </c>
      <c r="D11653" s="190"/>
      <c r="E11653" s="11"/>
      <c r="F11653" s="12"/>
      <c r="G11653" s="13"/>
    </row>
    <row r="11654" spans="1:8" ht="14.25" thickBot="1">
      <c r="A11654" s="211" t="s">
        <v>516</v>
      </c>
      <c r="B11654" s="216" t="str">
        <f ca="1">_xlfn.CONCAT(B11620,A11654)</f>
        <v>12FEC350-ag</v>
      </c>
      <c r="C11654" s="14" t="s">
        <v>1</v>
      </c>
      <c r="D11654" s="15" t="s">
        <v>28</v>
      </c>
      <c r="E11654" s="15" t="s">
        <v>20</v>
      </c>
      <c r="F11654" s="16" t="s">
        <v>21</v>
      </c>
      <c r="G11654" s="15" t="s">
        <v>5</v>
      </c>
      <c r="H11654" s="215"/>
    </row>
    <row r="11655" spans="1:8">
      <c r="A11655" s="211" t="s">
        <v>517</v>
      </c>
      <c r="B11655" s="216" t="str">
        <f ca="1">_xlfn.CONCAT(B11620,A11655)</f>
        <v>12FEC350-ah</v>
      </c>
      <c r="C11655" s="30" t="s">
        <v>29</v>
      </c>
      <c r="D11655" s="186">
        <f>'H-MO'!$N$77</f>
        <v>725918.52892505517</v>
      </c>
      <c r="E11655" s="31">
        <f>+D11655/8</f>
        <v>90739.816115631897</v>
      </c>
      <c r="F11655" s="32">
        <v>0.05</v>
      </c>
      <c r="G11655" s="33">
        <f>+E11655*F11655</f>
        <v>4536.9908057815946</v>
      </c>
    </row>
    <row r="11656" spans="1:8">
      <c r="A11656" s="211" t="s">
        <v>518</v>
      </c>
      <c r="B11656" s="216" t="str">
        <f ca="1">_xlfn.CONCAT(B11620,A11656)</f>
        <v>12FEC350-ai</v>
      </c>
      <c r="C11656" s="34" t="s">
        <v>30</v>
      </c>
      <c r="D11656" s="187">
        <f>'H-MO'!$N$86</f>
        <v>685561.39085756091</v>
      </c>
      <c r="E11656" s="29">
        <f>+D11656/8</f>
        <v>85695.173857195114</v>
      </c>
      <c r="F11656" s="28">
        <v>0</v>
      </c>
      <c r="G11656" s="33">
        <f>+E11656*F11656</f>
        <v>0</v>
      </c>
    </row>
    <row r="11657" spans="1:8" ht="14.25" thickBot="1">
      <c r="A11657" s="211" t="s">
        <v>519</v>
      </c>
      <c r="B11657" s="216" t="str">
        <f ca="1">_xlfn.CONCAT(B11620,A11657)</f>
        <v>12FEC350-aj</v>
      </c>
      <c r="C11657" s="34"/>
      <c r="D11657" s="187"/>
      <c r="E11657" s="29"/>
      <c r="F11657" s="28"/>
      <c r="G11657" s="33">
        <f>+E11657*F11657</f>
        <v>0</v>
      </c>
    </row>
    <row r="11658" spans="1:8" ht="14.25" thickBot="1">
      <c r="A11658" s="211" t="s">
        <v>520</v>
      </c>
      <c r="B11658" s="216" t="str">
        <f ca="1">_xlfn.CONCAT(B11620,A11658)</f>
        <v>12FEC350-ak</v>
      </c>
      <c r="C11658" s="34"/>
      <c r="D11658" s="185"/>
      <c r="E11658" s="26"/>
      <c r="F11658" s="36" t="s">
        <v>31</v>
      </c>
      <c r="G11658" s="23">
        <f>SUM(G11655:G11657)</f>
        <v>4536.9908057815946</v>
      </c>
    </row>
    <row r="11659" spans="1:8" ht="14.25" thickBot="1">
      <c r="A11659" s="211" t="s">
        <v>521</v>
      </c>
      <c r="B11659" s="216" t="str">
        <f ca="1">_xlfn.CONCAT(B11620,A11659)</f>
        <v>12FEC350-al</v>
      </c>
      <c r="C11659" s="37"/>
      <c r="E11659" s="38"/>
      <c r="F11659" s="22"/>
      <c r="G11659" s="39"/>
    </row>
    <row r="11660" spans="1:8" ht="16.5" thickBot="1">
      <c r="A11660" s="211" t="s">
        <v>522</v>
      </c>
      <c r="B11660" s="216" t="str">
        <f ca="1">_xlfn.CONCAT(B11620,A11660)</f>
        <v>12FEC350-am</v>
      </c>
      <c r="C11660" s="40"/>
      <c r="D11660" s="193"/>
      <c r="E11660" s="41"/>
      <c r="F11660" s="42"/>
      <c r="G11660" s="43">
        <f>+G11643+G11652+G11658</f>
        <v>27872.020493281594</v>
      </c>
    </row>
    <row r="11661" spans="1:8" ht="21.75" thickBot="1">
      <c r="B11661" s="212" t="s">
        <v>550</v>
      </c>
      <c r="C11661" s="2"/>
      <c r="D11661" s="183"/>
      <c r="F11661" s="4"/>
      <c r="G11661" s="5"/>
    </row>
    <row r="11662" spans="1:8" ht="18.75">
      <c r="A11662" s="213"/>
      <c r="B11662" s="214">
        <v>265</v>
      </c>
      <c r="C11662" s="242" t="str">
        <f ca="1">_xlfn.XLOOKUP(B11662,Cantidades!$A$10:$A$314,Cantidades!$C$10:$C$314,,0,1)</f>
        <v>Salida interruptor sencillo en tuberia EMT 3/4, promedio 5m.</v>
      </c>
      <c r="D11662" s="243"/>
      <c r="E11662" s="243"/>
      <c r="F11662" s="243"/>
      <c r="G11662" s="244"/>
      <c r="H11662" s="213"/>
    </row>
    <row r="11663" spans="1:8" ht="19.5" thickBot="1">
      <c r="A11663" s="215"/>
      <c r="B11663" s="216" t="s">
        <v>550</v>
      </c>
      <c r="C11663" s="177"/>
      <c r="D11663" s="189"/>
      <c r="E11663" s="178"/>
      <c r="F11663" s="179" t="s">
        <v>636</v>
      </c>
      <c r="G11663" s="209" t="str">
        <f ca="1">B11664</f>
        <v>128CB82-</v>
      </c>
      <c r="H11663" s="215"/>
    </row>
    <row r="11664" spans="1:8" ht="15.75" thickBot="1">
      <c r="B11664" s="212" t="str">
        <f ca="1">_xlfn.XLOOKUP(C11662,Cantidades!$C$1:$C$314,Cantidades!$B$1:$B$314,"",0,1)</f>
        <v>128CB82-</v>
      </c>
      <c r="C11664" s="10" t="s">
        <v>0</v>
      </c>
      <c r="D11664" s="190"/>
      <c r="E11664" s="11"/>
      <c r="F11664" s="12"/>
      <c r="G11664" s="13"/>
    </row>
    <row r="11665" spans="1:8" ht="14.25" thickBot="1">
      <c r="A11665" s="215"/>
      <c r="B11665" s="216" t="s">
        <v>550</v>
      </c>
      <c r="C11665" s="14" t="s">
        <v>1</v>
      </c>
      <c r="D11665" s="15" t="s">
        <v>2</v>
      </c>
      <c r="E11665" s="15" t="s">
        <v>3</v>
      </c>
      <c r="F11665" s="16" t="s">
        <v>4</v>
      </c>
      <c r="G11665" s="15" t="s">
        <v>5</v>
      </c>
      <c r="H11665" s="215"/>
    </row>
    <row r="11666" spans="1:8">
      <c r="A11666" s="211" t="s">
        <v>484</v>
      </c>
      <c r="B11666" s="216" t="str">
        <f ca="1">_xlfn.CONCAT(B11664,A11666)</f>
        <v>128CB82-A</v>
      </c>
      <c r="C11666" s="17" t="str">
        <f>_xlfn.XLOOKUP(H11666,'Materiales unitario'!$A$1:$A$2500,'Materiales unitario'!B$1:B$2500,,0,1)</f>
        <v>Tubo metálico ø3/4" EMT</v>
      </c>
      <c r="D11666" s="184" t="str">
        <f>_xlfn.XLOOKUP(H11666,'Materiales unitario'!A$1:A$2500,'Materiales unitario'!C$1:C$2500,,0,1)</f>
        <v>ml</v>
      </c>
      <c r="E11666" s="197">
        <f>_xlfn.XLOOKUP(H11666,'Materiales unitario'!$A$1:$A$2500,'Materiales unitario'!D$1:D$2500,,0,1)</f>
        <v>11733</v>
      </c>
      <c r="F11666" s="19">
        <v>5.5</v>
      </c>
      <c r="G11666" s="20">
        <f t="shared" ref="G11666:G11675" si="341">+E11666*F11666</f>
        <v>64531.5</v>
      </c>
      <c r="H11666" s="211" t="s">
        <v>388</v>
      </c>
    </row>
    <row r="11667" spans="1:8">
      <c r="A11667" s="211" t="s">
        <v>485</v>
      </c>
      <c r="B11667" s="216" t="str">
        <f ca="1">_xlfn.CONCAT(B11664,A11667)</f>
        <v>128CB82-B</v>
      </c>
      <c r="C11667" s="17" t="str">
        <f>_xlfn.XLOOKUP(H11667,'Materiales unitario'!$A$1:$A$2500,'Materiales unitario'!B$1:B$2500,,0,1)</f>
        <v>Unión metálica ø3/4" EMT</v>
      </c>
      <c r="D11667" s="184" t="str">
        <f>_xlfn.XLOOKUP(H11667,'Materiales unitario'!A$1:A$2500,'Materiales unitario'!C$1:C$2500,,0,1)</f>
        <v>un</v>
      </c>
      <c r="E11667" s="197">
        <f>_xlfn.XLOOKUP(H11667,'Materiales unitario'!$A$1:$A$2500,'Materiales unitario'!D$1:D$2500,,0,1)</f>
        <v>1800</v>
      </c>
      <c r="F11667" s="19">
        <v>2</v>
      </c>
      <c r="G11667" s="20">
        <f t="shared" si="341"/>
        <v>3600</v>
      </c>
      <c r="H11667" s="211" t="s">
        <v>392</v>
      </c>
    </row>
    <row r="11668" spans="1:8">
      <c r="A11668" s="211" t="s">
        <v>486</v>
      </c>
      <c r="B11668" s="216" t="str">
        <f ca="1">_xlfn.CONCAT(B11664,A11668)</f>
        <v>128CB82-C</v>
      </c>
      <c r="C11668" s="17" t="str">
        <f>_xlfn.XLOOKUP(H11668,'Materiales unitario'!$A$1:$A$2500,'Materiales unitario'!B$1:B$2500,,0,1)</f>
        <v xml:space="preserve">Terminal metálico ø3/4" EMT </v>
      </c>
      <c r="D11668" s="184" t="str">
        <f>_xlfn.XLOOKUP(H11668,'Materiales unitario'!A$1:A$2500,'Materiales unitario'!C$1:C$2500,,0,1)</f>
        <v>un</v>
      </c>
      <c r="E11668" s="197">
        <f>_xlfn.XLOOKUP(H11668,'Materiales unitario'!$A$1:$A$2500,'Materiales unitario'!D$1:D$2500,,0,1)</f>
        <v>2200</v>
      </c>
      <c r="F11668" s="19">
        <v>2</v>
      </c>
      <c r="G11668" s="20">
        <f t="shared" si="341"/>
        <v>4400</v>
      </c>
      <c r="H11668" s="211" t="s">
        <v>371</v>
      </c>
    </row>
    <row r="11669" spans="1:8">
      <c r="A11669" s="211" t="s">
        <v>487</v>
      </c>
      <c r="B11669" s="216" t="str">
        <f ca="1">_xlfn.CONCAT(B11664,A11669)</f>
        <v>128CB82-D</v>
      </c>
      <c r="C11669" s="17" t="str">
        <f>_xlfn.XLOOKUP(H11669,'Materiales unitario'!$A$1:$A$2500,'Materiales unitario'!B$1:B$2500,,0,1)</f>
        <v xml:space="preserve">Soporte Metálico Uniestruc Tubería ø3/4" </v>
      </c>
      <c r="D11669" s="184" t="str">
        <f>_xlfn.XLOOKUP(H11669,'Materiales unitario'!A$1:A$2500,'Materiales unitario'!C$1:C$2500,,0,1)</f>
        <v>un</v>
      </c>
      <c r="E11669" s="197">
        <f>_xlfn.XLOOKUP(H11669,'Materiales unitario'!$A$1:$A$2500,'Materiales unitario'!D$1:D$2500,,0,1)</f>
        <v>630</v>
      </c>
      <c r="F11669" s="19">
        <v>4</v>
      </c>
      <c r="G11669" s="20">
        <f t="shared" si="341"/>
        <v>2520</v>
      </c>
      <c r="H11669" s="211" t="s">
        <v>356</v>
      </c>
    </row>
    <row r="11670" spans="1:8">
      <c r="A11670" s="211" t="s">
        <v>488</v>
      </c>
      <c r="B11670" s="216" t="str">
        <f ca="1">_xlfn.CONCAT(B11664,A11670)</f>
        <v>128CB82-E</v>
      </c>
      <c r="C11670" s="17" t="str">
        <f>_xlfn.XLOOKUP(H11670,'Materiales unitario'!$A$1:$A$2500,'Materiales unitario'!B$1:B$2500,,0,1)</f>
        <v>Alambre de cobre desnudo #12 AWG-ED</v>
      </c>
      <c r="D11670" s="184" t="str">
        <f>_xlfn.XLOOKUP(H11670,'Materiales unitario'!A$1:A$2500,'Materiales unitario'!C$1:C$2500,,0,1)</f>
        <v>ml</v>
      </c>
      <c r="E11670" s="197">
        <f>_xlfn.XLOOKUP(H11670,'Materiales unitario'!$A$1:$A$2500,'Materiales unitario'!D$1:D$2500,,0,1)</f>
        <v>2558.5</v>
      </c>
      <c r="F11670" s="19">
        <v>6.2</v>
      </c>
      <c r="G11670" s="20">
        <f t="shared" si="341"/>
        <v>15862.7</v>
      </c>
      <c r="H11670" s="211" t="s">
        <v>227</v>
      </c>
    </row>
    <row r="11671" spans="1:8">
      <c r="A11671" s="211" t="s">
        <v>489</v>
      </c>
      <c r="B11671" s="216" t="str">
        <f ca="1">_xlfn.CONCAT(B11664,A11671)</f>
        <v>128CB82-F</v>
      </c>
      <c r="C11671" s="17" t="str">
        <f>_xlfn.XLOOKUP(H11671,'Materiales unitario'!$A$1:$A$2500,'Materiales unitario'!B$1:B$2500,,0,1)</f>
        <v>Alambre de cobre aislado #12 AWG-THHN/THWN Color negro</v>
      </c>
      <c r="D11671" s="184" t="str">
        <f>_xlfn.XLOOKUP(H11671,'Materiales unitario'!A$1:A$2500,'Materiales unitario'!C$1:C$2500,,0,1)</f>
        <v>ml</v>
      </c>
      <c r="E11671" s="197">
        <f>_xlfn.XLOOKUP(H11671,'Materiales unitario'!$A$1:$A$2500,'Materiales unitario'!D$1:D$2500,,0,1)</f>
        <v>2975</v>
      </c>
      <c r="F11671" s="19">
        <v>11</v>
      </c>
      <c r="G11671" s="20">
        <f t="shared" si="341"/>
        <v>32725</v>
      </c>
      <c r="H11671" s="211" t="s">
        <v>524</v>
      </c>
    </row>
    <row r="11672" spans="1:8">
      <c r="A11672" s="211" t="s">
        <v>490</v>
      </c>
      <c r="B11672" s="216" t="str">
        <f ca="1">_xlfn.CONCAT(B11664,A11672)</f>
        <v>128CB82-G</v>
      </c>
      <c r="C11672" s="17" t="str">
        <f>_xlfn.XLOOKUP(H11672,'Materiales unitario'!$A$1:$A$2500,'Materiales unitario'!B$1:B$2500,,0,1)</f>
        <v>Conector de resorte rojo "R" 18-10 AWG</v>
      </c>
      <c r="D11672" s="184" t="str">
        <f>_xlfn.XLOOKUP(H11672,'Materiales unitario'!A$1:A$2500,'Materiales unitario'!C$1:C$2500,,0,1)</f>
        <v>un</v>
      </c>
      <c r="E11672" s="197">
        <f>_xlfn.XLOOKUP(H11672,'Materiales unitario'!$A$1:$A$2500,'Materiales unitario'!D$1:D$2500,,0,1)</f>
        <v>280</v>
      </c>
      <c r="F11672" s="19">
        <v>3</v>
      </c>
      <c r="G11672" s="20">
        <f t="shared" si="341"/>
        <v>840</v>
      </c>
      <c r="H11672" s="211" t="s">
        <v>302</v>
      </c>
    </row>
    <row r="11673" spans="1:8">
      <c r="A11673" s="211" t="s">
        <v>491</v>
      </c>
      <c r="B11673" s="216" t="str">
        <f ca="1">_xlfn.CONCAT(B11664,A11673)</f>
        <v>128CB82-H</v>
      </c>
      <c r="C11673" s="17" t="str">
        <f>_xlfn.XLOOKUP(H11673,'Materiales unitario'!$A$1:$A$2500,'Materiales unitario'!B$1:B$2500,,0,1)</f>
        <v xml:space="preserve">Caja galvanizada ref. 2400 + suplemento (Cal. 20) </v>
      </c>
      <c r="D11673" s="184" t="str">
        <f>_xlfn.XLOOKUP(H11673,'Materiales unitario'!A$1:A$2500,'Materiales unitario'!C$1:C$2500,,0,1)</f>
        <v>un</v>
      </c>
      <c r="E11673" s="197">
        <f>_xlfn.XLOOKUP(H11673,'Materiales unitario'!$A$1:$A$2500,'Materiales unitario'!D$1:D$2500,,0,1)</f>
        <v>4522</v>
      </c>
      <c r="F11673" s="19">
        <v>1.05</v>
      </c>
      <c r="G11673" s="20">
        <f t="shared" si="341"/>
        <v>4748.1000000000004</v>
      </c>
      <c r="H11673" s="211" t="s">
        <v>283</v>
      </c>
    </row>
    <row r="11674" spans="1:8">
      <c r="A11674" s="211" t="s">
        <v>492</v>
      </c>
      <c r="B11674" s="216" t="str">
        <f ca="1">_xlfn.CONCAT(B11664,A11674)</f>
        <v>128CB82-I</v>
      </c>
      <c r="C11674" s="17" t="str">
        <f>_xlfn.XLOOKUP(H11674,'Materiales unitario'!$A$1:$A$2500,'Materiales unitario'!B$1:B$2500,,0,1)</f>
        <v>Marquillas para circuito</v>
      </c>
      <c r="D11674" s="184" t="str">
        <f>_xlfn.XLOOKUP(H11674,'Materiales unitario'!A$1:A$2500,'Materiales unitario'!C$1:C$2500,,0,1)</f>
        <v>un</v>
      </c>
      <c r="E11674" s="197">
        <f>_xlfn.XLOOKUP(H11674,'Materiales unitario'!$A$1:$A$2500,'Materiales unitario'!D$1:D$2500,,0,1)</f>
        <v>1000</v>
      </c>
      <c r="F11674" s="19">
        <v>1</v>
      </c>
      <c r="G11674" s="20">
        <f t="shared" si="341"/>
        <v>1000</v>
      </c>
      <c r="H11674" s="211" t="s">
        <v>339</v>
      </c>
    </row>
    <row r="11675" spans="1:8">
      <c r="A11675" s="211" t="s">
        <v>493</v>
      </c>
      <c r="B11675" s="216" t="str">
        <f ca="1">_xlfn.CONCAT(B11664,A11675)</f>
        <v>128CB82-J</v>
      </c>
      <c r="C11675" s="17" t="str">
        <f>_xlfn.XLOOKUP(H11675,'Materiales unitario'!$A$1:$A$2500,'Materiales unitario'!B$1:B$2500,,0,1)</f>
        <v>Interruptor sencillo Genesis</v>
      </c>
      <c r="D11675" s="184" t="str">
        <f>_xlfn.XLOOKUP(H11675,'Materiales unitario'!A$1:A$2500,'Materiales unitario'!C$1:C$2500,,0,1)</f>
        <v>un</v>
      </c>
      <c r="E11675" s="197">
        <f>_xlfn.XLOOKUP(H11675,'Materiales unitario'!$A$1:$A$2500,'Materiales unitario'!D$1:D$2500,,0,1)</f>
        <v>6820</v>
      </c>
      <c r="F11675" s="19">
        <v>1</v>
      </c>
      <c r="G11675" s="20">
        <f t="shared" si="341"/>
        <v>6820</v>
      </c>
      <c r="H11675" s="211" t="s">
        <v>670</v>
      </c>
    </row>
    <row r="11676" spans="1:8">
      <c r="A11676" s="211" t="s">
        <v>494</v>
      </c>
      <c r="B11676" s="216" t="str">
        <f ca="1">_xlfn.CONCAT(B11664,A11676)</f>
        <v>128CB82-K</v>
      </c>
      <c r="C11676" s="17"/>
      <c r="D11676" s="184"/>
      <c r="E11676" s="197"/>
      <c r="F11676" s="19"/>
      <c r="G11676" s="20"/>
    </row>
    <row r="11677" spans="1:8">
      <c r="A11677" s="211" t="s">
        <v>495</v>
      </c>
      <c r="B11677" s="216" t="str">
        <f ca="1">_xlfn.CONCAT(B11664,A11677)</f>
        <v>128CB82-L</v>
      </c>
      <c r="C11677" s="17"/>
      <c r="D11677" s="184"/>
      <c r="E11677" s="197"/>
      <c r="F11677" s="19"/>
      <c r="G11677" s="20"/>
    </row>
    <row r="11678" spans="1:8">
      <c r="A11678" s="211" t="s">
        <v>496</v>
      </c>
      <c r="B11678" s="216" t="str">
        <f ca="1">_xlfn.CONCAT(B11664,A11678)</f>
        <v>128CB82-M</v>
      </c>
      <c r="C11678" s="17"/>
      <c r="D11678" s="184"/>
      <c r="E11678" s="197"/>
      <c r="F11678" s="19"/>
      <c r="G11678" s="20"/>
    </row>
    <row r="11679" spans="1:8">
      <c r="A11679" s="211" t="s">
        <v>497</v>
      </c>
      <c r="B11679" s="216" t="str">
        <f ca="1">_xlfn.CONCAT(B11664,A11679)</f>
        <v>128CB82-N</v>
      </c>
      <c r="C11679" s="17"/>
      <c r="D11679" s="184"/>
      <c r="E11679" s="197"/>
      <c r="F11679" s="19"/>
      <c r="G11679" s="20"/>
    </row>
    <row r="11680" spans="1:8">
      <c r="A11680" s="211" t="s">
        <v>498</v>
      </c>
      <c r="B11680" s="216" t="str">
        <f ca="1">_xlfn.CONCAT(B11664,A11680)</f>
        <v>128CB82-O</v>
      </c>
      <c r="C11680" s="17"/>
      <c r="D11680" s="184"/>
      <c r="E11680" s="197"/>
      <c r="F11680" s="19"/>
      <c r="G11680" s="20"/>
    </row>
    <row r="11681" spans="1:8">
      <c r="A11681" s="211" t="s">
        <v>499</v>
      </c>
      <c r="B11681" s="216" t="str">
        <f ca="1">_xlfn.CONCAT(B11664,A11681)</f>
        <v>128CB82-P</v>
      </c>
      <c r="C11681" s="17"/>
      <c r="D11681" s="184"/>
      <c r="E11681" s="197"/>
      <c r="F11681" s="19"/>
      <c r="G11681" s="20"/>
    </row>
    <row r="11682" spans="1:8">
      <c r="A11682" s="211" t="s">
        <v>500</v>
      </c>
      <c r="B11682" s="216" t="str">
        <f ca="1">_xlfn.CONCAT(B11664,A11682)</f>
        <v>128CB82-Q</v>
      </c>
      <c r="C11682" s="17"/>
      <c r="D11682" s="184"/>
      <c r="E11682" s="197"/>
      <c r="F11682" s="19"/>
      <c r="G11682" s="20"/>
    </row>
    <row r="11683" spans="1:8">
      <c r="A11683" s="211" t="s">
        <v>501</v>
      </c>
      <c r="B11683" s="216" t="str">
        <f ca="1">_xlfn.CONCAT(B11664,A11683)</f>
        <v>128CB82-R</v>
      </c>
      <c r="C11683" s="17"/>
      <c r="D11683" s="184"/>
      <c r="E11683" s="197"/>
      <c r="F11683" s="19"/>
      <c r="G11683" s="20"/>
    </row>
    <row r="11684" spans="1:8">
      <c r="A11684" s="211" t="s">
        <v>502</v>
      </c>
      <c r="B11684" s="216" t="str">
        <f ca="1">_xlfn.CONCAT(B11664,A11684)</f>
        <v>128CB82-S</v>
      </c>
      <c r="C11684" s="17"/>
      <c r="D11684" s="184"/>
      <c r="E11684" s="197"/>
      <c r="F11684" s="19"/>
      <c r="G11684" s="20"/>
    </row>
    <row r="11685" spans="1:8">
      <c r="A11685" s="211" t="s">
        <v>503</v>
      </c>
      <c r="B11685" s="216" t="str">
        <f ca="1">_xlfn.CONCAT(B11664,A11685)</f>
        <v>128CB82-T</v>
      </c>
      <c r="C11685" s="17"/>
      <c r="D11685" s="184"/>
      <c r="E11685" s="197"/>
      <c r="F11685" s="19"/>
      <c r="G11685" s="20"/>
    </row>
    <row r="11686" spans="1:8" ht="14.25" thickBot="1">
      <c r="A11686" s="211" t="s">
        <v>504</v>
      </c>
      <c r="B11686" s="216" t="str">
        <f ca="1">_xlfn.CONCAT(B11664,A11686)</f>
        <v>128CB82-U</v>
      </c>
      <c r="C11686" s="17"/>
      <c r="D11686" s="184"/>
      <c r="E11686" s="197"/>
      <c r="F11686" s="19"/>
      <c r="G11686" s="20"/>
    </row>
    <row r="11687" spans="1:8" ht="14.25" thickBot="1">
      <c r="A11687" s="211" t="s">
        <v>505</v>
      </c>
      <c r="B11687" s="216" t="str">
        <f ca="1">_xlfn.CONCAT(B11664,A11687)</f>
        <v>128CB82-V</v>
      </c>
      <c r="C11687" s="17" t="s">
        <v>17</v>
      </c>
      <c r="D11687" s="192" t="s">
        <v>17</v>
      </c>
      <c r="E11687" s="18"/>
      <c r="F11687" s="22" t="s">
        <v>18</v>
      </c>
      <c r="G11687" s="23">
        <f>SUM(G11666:G11686)</f>
        <v>137047.29999999999</v>
      </c>
    </row>
    <row r="11688" spans="1:8" ht="15.75" thickBot="1">
      <c r="A11688" s="211" t="s">
        <v>506</v>
      </c>
      <c r="B11688" s="216" t="str">
        <f ca="1">_xlfn.CONCAT(B11664,A11688)</f>
        <v>128CB82-W</v>
      </c>
      <c r="C11688" s="10" t="s">
        <v>19</v>
      </c>
      <c r="D11688" s="190"/>
      <c r="E11688" s="11"/>
      <c r="F11688" s="12"/>
      <c r="G11688" s="13"/>
    </row>
    <row r="11689" spans="1:8" ht="14.25" thickBot="1">
      <c r="A11689" s="211" t="s">
        <v>507</v>
      </c>
      <c r="B11689" s="216" t="str">
        <f ca="1">_xlfn.CONCAT(B11664,A11689)</f>
        <v>128CB82-X</v>
      </c>
      <c r="C11689" s="14" t="s">
        <v>1</v>
      </c>
      <c r="D11689" s="15"/>
      <c r="E11689" s="15" t="s">
        <v>20</v>
      </c>
      <c r="F11689" s="16" t="s">
        <v>21</v>
      </c>
      <c r="G11689" s="15" t="s">
        <v>5</v>
      </c>
      <c r="H11689" s="215"/>
    </row>
    <row r="11690" spans="1:8">
      <c r="A11690" s="211" t="s">
        <v>508</v>
      </c>
      <c r="B11690" s="216" t="str">
        <f ca="1">_xlfn.CONCAT(B11664,A11690)</f>
        <v>128CB82-Y</v>
      </c>
      <c r="C11690" s="24" t="s">
        <v>22</v>
      </c>
      <c r="D11690" s="184"/>
      <c r="E11690" s="25">
        <f>_xlfn.XLOOKUP(C11690,'H-MO'!B$7:B$30,'H-MO'!D$7:D$30,,0,1)</f>
        <v>2436.5624999999995</v>
      </c>
      <c r="F11690" s="19">
        <v>0.45</v>
      </c>
      <c r="G11690" s="33">
        <f t="shared" ref="G11690:G11695" si="342">+E11690*F11690</f>
        <v>1096.4531249999998</v>
      </c>
    </row>
    <row r="11691" spans="1:8">
      <c r="A11691" s="211" t="s">
        <v>509</v>
      </c>
      <c r="B11691" s="216" t="str">
        <f ca="1">_xlfn.CONCAT(B11664,A11691)</f>
        <v>128CB82-Z</v>
      </c>
      <c r="C11691" s="24" t="s">
        <v>23</v>
      </c>
      <c r="D11691" s="184"/>
      <c r="E11691" s="25">
        <f>_xlfn.XLOOKUP(C11691,'H-MO'!B$7:B$30,'H-MO'!D$7:D$30,,0,1)</f>
        <v>1461.9374999999998</v>
      </c>
      <c r="F11691" s="19">
        <v>0.1</v>
      </c>
      <c r="G11691" s="33">
        <f t="shared" si="342"/>
        <v>146.19374999999999</v>
      </c>
    </row>
    <row r="11692" spans="1:8">
      <c r="A11692" s="211" t="s">
        <v>510</v>
      </c>
      <c r="B11692" s="216" t="str">
        <f ca="1">_xlfn.CONCAT(B11664,A11692)</f>
        <v>128CB82-aa</v>
      </c>
      <c r="C11692" s="24" t="s">
        <v>24</v>
      </c>
      <c r="D11692" s="185"/>
      <c r="E11692" s="25">
        <f>_xlfn.XLOOKUP(C11692,'H-MO'!B$7:B$30,'H-MO'!D$7:D$30,,0,1)</f>
        <v>29238.749999999996</v>
      </c>
      <c r="F11692" s="28">
        <v>2E-3</v>
      </c>
      <c r="G11692" s="33">
        <f t="shared" si="342"/>
        <v>58.477499999999992</v>
      </c>
    </row>
    <row r="11693" spans="1:8">
      <c r="A11693" s="211" t="s">
        <v>511</v>
      </c>
      <c r="B11693" s="216" t="str">
        <f ca="1">_xlfn.CONCAT(B11664,A11693)</f>
        <v>128CB82-ab</v>
      </c>
      <c r="C11693" s="24" t="s">
        <v>25</v>
      </c>
      <c r="D11693" s="185"/>
      <c r="E11693" s="25">
        <f>_xlfn.XLOOKUP(C11693,'H-MO'!B$7:B$30,'H-MO'!D$7:D$30,,0,1)</f>
        <v>2761.4374999999995</v>
      </c>
      <c r="F11693" s="28">
        <v>0.5</v>
      </c>
      <c r="G11693" s="33">
        <f t="shared" si="342"/>
        <v>1380.7187499999998</v>
      </c>
    </row>
    <row r="11694" spans="1:8">
      <c r="A11694" s="211" t="s">
        <v>512</v>
      </c>
      <c r="B11694" s="216" t="str">
        <f ca="1">_xlfn.CONCAT(B11664,A11694)</f>
        <v>128CB82-ac</v>
      </c>
      <c r="C11694" s="24"/>
      <c r="D11694" s="185"/>
      <c r="E11694" s="29"/>
      <c r="F11694" s="28"/>
      <c r="G11694" s="33">
        <f t="shared" si="342"/>
        <v>0</v>
      </c>
    </row>
    <row r="11695" spans="1:8" ht="14.25" thickBot="1">
      <c r="A11695" s="211" t="s">
        <v>513</v>
      </c>
      <c r="B11695" s="216" t="str">
        <f ca="1">_xlfn.CONCAT(B11664,A11695)</f>
        <v>128CB82-ad</v>
      </c>
      <c r="C11695" s="24"/>
      <c r="D11695" s="185"/>
      <c r="E11695" s="29"/>
      <c r="F11695" s="28"/>
      <c r="G11695" s="33">
        <f t="shared" si="342"/>
        <v>0</v>
      </c>
    </row>
    <row r="11696" spans="1:8" ht="14.25" thickBot="1">
      <c r="A11696" s="211" t="s">
        <v>514</v>
      </c>
      <c r="B11696" s="216" t="str">
        <f ca="1">_xlfn.CONCAT(B11664,A11696)</f>
        <v>128CB82-ae</v>
      </c>
      <c r="C11696" s="17"/>
      <c r="D11696" s="192"/>
      <c r="E11696" s="18"/>
      <c r="F11696" s="22" t="s">
        <v>26</v>
      </c>
      <c r="G11696" s="23">
        <f>SUM(G11690:G11695)</f>
        <v>2681.8431249999994</v>
      </c>
    </row>
    <row r="11697" spans="1:8" ht="15.75" thickBot="1">
      <c r="A11697" s="211" t="s">
        <v>515</v>
      </c>
      <c r="B11697" s="216" t="str">
        <f ca="1">_xlfn.CONCAT(B11664,A11697)</f>
        <v>128CB82-af</v>
      </c>
      <c r="C11697" s="10" t="s">
        <v>27</v>
      </c>
      <c r="D11697" s="190"/>
      <c r="E11697" s="11"/>
      <c r="F11697" s="12"/>
      <c r="G11697" s="13"/>
    </row>
    <row r="11698" spans="1:8" ht="14.25" thickBot="1">
      <c r="A11698" s="211" t="s">
        <v>516</v>
      </c>
      <c r="B11698" s="216" t="str">
        <f ca="1">_xlfn.CONCAT(B11664,A11698)</f>
        <v>128CB82-ag</v>
      </c>
      <c r="C11698" s="14" t="s">
        <v>1</v>
      </c>
      <c r="D11698" s="15" t="s">
        <v>28</v>
      </c>
      <c r="E11698" s="15" t="s">
        <v>20</v>
      </c>
      <c r="F11698" s="16" t="s">
        <v>21</v>
      </c>
      <c r="G11698" s="15" t="s">
        <v>5</v>
      </c>
      <c r="H11698" s="215"/>
    </row>
    <row r="11699" spans="1:8">
      <c r="A11699" s="211" t="s">
        <v>517</v>
      </c>
      <c r="B11699" s="216" t="str">
        <f ca="1">_xlfn.CONCAT(B11664,A11699)</f>
        <v>128CB82-ah</v>
      </c>
      <c r="C11699" s="30" t="s">
        <v>29</v>
      </c>
      <c r="D11699" s="186">
        <f>'H-MO'!$N$77</f>
        <v>725918.52892505517</v>
      </c>
      <c r="E11699" s="31">
        <f>+D11699/8</f>
        <v>90739.816115631897</v>
      </c>
      <c r="F11699" s="32">
        <v>0.45</v>
      </c>
      <c r="G11699" s="33">
        <f>+E11699*F11699</f>
        <v>40832.917252034356</v>
      </c>
    </row>
    <row r="11700" spans="1:8">
      <c r="A11700" s="211" t="s">
        <v>518</v>
      </c>
      <c r="B11700" s="216" t="str">
        <f ca="1">_xlfn.CONCAT(B11664,A11700)</f>
        <v>128CB82-ai</v>
      </c>
      <c r="C11700" s="34" t="s">
        <v>30</v>
      </c>
      <c r="D11700" s="187">
        <f>'H-MO'!$N$86</f>
        <v>685561.39085756091</v>
      </c>
      <c r="E11700" s="29">
        <f>+D11700/8</f>
        <v>85695.173857195114</v>
      </c>
      <c r="F11700" s="28">
        <v>0</v>
      </c>
      <c r="G11700" s="33">
        <f>+E11700*F11700</f>
        <v>0</v>
      </c>
    </row>
    <row r="11701" spans="1:8" ht="14.25" thickBot="1">
      <c r="A11701" s="211" t="s">
        <v>519</v>
      </c>
      <c r="B11701" s="216" t="str">
        <f ca="1">_xlfn.CONCAT(B11664,A11701)</f>
        <v>128CB82-aj</v>
      </c>
      <c r="C11701" s="34"/>
      <c r="D11701" s="187"/>
      <c r="E11701" s="29"/>
      <c r="F11701" s="28"/>
      <c r="G11701" s="33">
        <f>+E11701*F11701</f>
        <v>0</v>
      </c>
    </row>
    <row r="11702" spans="1:8" ht="14.25" thickBot="1">
      <c r="A11702" s="211" t="s">
        <v>520</v>
      </c>
      <c r="B11702" s="216" t="str">
        <f ca="1">_xlfn.CONCAT(B11664,A11702)</f>
        <v>128CB82-ak</v>
      </c>
      <c r="C11702" s="34"/>
      <c r="D11702" s="185"/>
      <c r="E11702" s="26"/>
      <c r="F11702" s="36" t="s">
        <v>31</v>
      </c>
      <c r="G11702" s="23">
        <f>SUM(G11699:G11701)</f>
        <v>40832.917252034356</v>
      </c>
    </row>
    <row r="11703" spans="1:8" ht="14.25" thickBot="1">
      <c r="A11703" s="211" t="s">
        <v>521</v>
      </c>
      <c r="B11703" s="216" t="str">
        <f ca="1">_xlfn.CONCAT(B11664,A11703)</f>
        <v>128CB82-al</v>
      </c>
      <c r="C11703" s="37"/>
      <c r="E11703" s="38"/>
      <c r="F11703" s="22"/>
      <c r="G11703" s="39"/>
    </row>
    <row r="11704" spans="1:8" ht="16.5" thickBot="1">
      <c r="A11704" s="211" t="s">
        <v>522</v>
      </c>
      <c r="B11704" s="216" t="str">
        <f ca="1">_xlfn.CONCAT(B11664,A11704)</f>
        <v>128CB82-am</v>
      </c>
      <c r="C11704" s="40"/>
      <c r="D11704" s="193"/>
      <c r="E11704" s="41"/>
      <c r="F11704" s="42"/>
      <c r="G11704" s="43">
        <f>+G11687+G11696+G11702</f>
        <v>180562.06037703436</v>
      </c>
    </row>
    <row r="11705" spans="1:8" ht="21.75" thickBot="1">
      <c r="B11705" s="212" t="s">
        <v>550</v>
      </c>
      <c r="C11705" s="2"/>
      <c r="D11705" s="183"/>
      <c r="F11705" s="4"/>
      <c r="G11705" s="5"/>
    </row>
    <row r="11706" spans="1:8" ht="18.75">
      <c r="A11706" s="213"/>
      <c r="B11706" s="214">
        <v>266</v>
      </c>
      <c r="C11706" s="242" t="str">
        <f ca="1">_xlfn.XLOOKUP(B11706,Cantidades!$A$10:$A$314,Cantidades!$C$10:$C$314,,0,1)</f>
        <v>Suministro e instalación de barraje equipontencial de 40x5 mm</v>
      </c>
      <c r="D11706" s="243"/>
      <c r="E11706" s="243"/>
      <c r="F11706" s="243"/>
      <c r="G11706" s="244"/>
    </row>
    <row r="11707" spans="1:8" ht="19.5" thickBot="1">
      <c r="A11707" s="215"/>
      <c r="B11707" s="216" t="s">
        <v>550</v>
      </c>
      <c r="C11707" s="177"/>
      <c r="D11707" s="189"/>
      <c r="E11707" s="178"/>
      <c r="F11707" s="179" t="s">
        <v>636</v>
      </c>
      <c r="G11707" s="209" t="str">
        <f ca="1">B11708</f>
        <v>1CA8922B-</v>
      </c>
    </row>
    <row r="11708" spans="1:8" ht="15.75" thickBot="1">
      <c r="B11708" s="212" t="str">
        <f ca="1">_xlfn.XLOOKUP(C11706,Cantidades!$C$1:$C$314,Cantidades!$B$1:$B$314,"",0,1)</f>
        <v>1CA8922B-</v>
      </c>
      <c r="C11708" s="10" t="s">
        <v>0</v>
      </c>
      <c r="D11708" s="190"/>
      <c r="E11708" s="11"/>
      <c r="F11708" s="12"/>
      <c r="G11708" s="13"/>
    </row>
    <row r="11709" spans="1:8" ht="14.25" thickBot="1">
      <c r="A11709" s="215"/>
      <c r="B11709" s="216" t="s">
        <v>550</v>
      </c>
      <c r="C11709" s="14" t="s">
        <v>1</v>
      </c>
      <c r="D11709" s="15" t="s">
        <v>2</v>
      </c>
      <c r="E11709" s="15" t="s">
        <v>3</v>
      </c>
      <c r="F11709" s="16" t="s">
        <v>4</v>
      </c>
      <c r="G11709" s="15" t="s">
        <v>5</v>
      </c>
    </row>
    <row r="11710" spans="1:8">
      <c r="A11710" s="211" t="s">
        <v>484</v>
      </c>
      <c r="B11710" s="216" t="str">
        <f ca="1">_xlfn.CONCAT(B11708,A11710)</f>
        <v>1CA8922B-A</v>
      </c>
      <c r="C11710" s="17" t="str">
        <f>_xlfn.XLOOKUP(H11710,'Materiales unitario'!$A$1:$A$2500,'Materiales unitario'!B$1:B$2500,,0,1)</f>
        <v>barraje equipontencial de 40x5 mm</v>
      </c>
      <c r="D11710" s="184" t="str">
        <f>_xlfn.XLOOKUP(H11710,'Materiales unitario'!A$1:A$2500,'Materiales unitario'!C$1:C$2500,,0,1)</f>
        <v>un</v>
      </c>
      <c r="E11710" s="197">
        <f>_xlfn.XLOOKUP(H11710,'Materiales unitario'!$A$1:$A$2500,'Materiales unitario'!D$1:D$2500,,0,1)</f>
        <v>89200</v>
      </c>
      <c r="F11710" s="19">
        <v>1.05</v>
      </c>
      <c r="G11710" s="20">
        <f>+E11710*F11710</f>
        <v>93660</v>
      </c>
      <c r="H11710" s="211" t="s">
        <v>1780</v>
      </c>
    </row>
    <row r="11711" spans="1:8">
      <c r="A11711" s="211" t="s">
        <v>485</v>
      </c>
      <c r="B11711" s="216" t="str">
        <f ca="1">_xlfn.CONCAT(B11708,A11711)</f>
        <v>1CA8922B-B</v>
      </c>
      <c r="C11711" s="17"/>
      <c r="D11711" s="184"/>
      <c r="E11711" s="197"/>
      <c r="F11711" s="19"/>
      <c r="G11711" s="20"/>
    </row>
    <row r="11712" spans="1:8">
      <c r="A11712" s="211" t="s">
        <v>486</v>
      </c>
      <c r="B11712" s="216" t="str">
        <f ca="1">_xlfn.CONCAT(B11708,A11712)</f>
        <v>1CA8922B-C</v>
      </c>
      <c r="C11712" s="17"/>
      <c r="D11712" s="184"/>
      <c r="E11712" s="197"/>
      <c r="F11712" s="19"/>
      <c r="G11712" s="20"/>
    </row>
    <row r="11713" spans="1:7">
      <c r="A11713" s="211" t="s">
        <v>487</v>
      </c>
      <c r="B11713" s="216" t="str">
        <f ca="1">_xlfn.CONCAT(B11708,A11713)</f>
        <v>1CA8922B-D</v>
      </c>
      <c r="C11713" s="17"/>
      <c r="D11713" s="184"/>
      <c r="E11713" s="197"/>
      <c r="F11713" s="19"/>
      <c r="G11713" s="20"/>
    </row>
    <row r="11714" spans="1:7">
      <c r="A11714" s="211" t="s">
        <v>488</v>
      </c>
      <c r="B11714" s="216" t="str">
        <f ca="1">_xlfn.CONCAT(B11708,A11714)</f>
        <v>1CA8922B-E</v>
      </c>
      <c r="C11714" s="17"/>
      <c r="D11714" s="184"/>
      <c r="E11714" s="197"/>
      <c r="F11714" s="19"/>
      <c r="G11714" s="20"/>
    </row>
    <row r="11715" spans="1:7">
      <c r="A11715" s="211" t="s">
        <v>489</v>
      </c>
      <c r="B11715" s="216" t="str">
        <f ca="1">_xlfn.CONCAT(B11708,A11715)</f>
        <v>1CA8922B-F</v>
      </c>
      <c r="C11715" s="17"/>
      <c r="D11715" s="184"/>
      <c r="E11715" s="197"/>
      <c r="F11715" s="19"/>
      <c r="G11715" s="20"/>
    </row>
    <row r="11716" spans="1:7">
      <c r="A11716" s="211" t="s">
        <v>490</v>
      </c>
      <c r="B11716" s="216" t="str">
        <f ca="1">_xlfn.CONCAT(B11708,A11716)</f>
        <v>1CA8922B-G</v>
      </c>
      <c r="C11716" s="17"/>
      <c r="D11716" s="184"/>
      <c r="E11716" s="197"/>
      <c r="F11716" s="19"/>
      <c r="G11716" s="20"/>
    </row>
    <row r="11717" spans="1:7">
      <c r="A11717" s="211" t="s">
        <v>491</v>
      </c>
      <c r="B11717" s="216" t="str">
        <f ca="1">_xlfn.CONCAT(B11708,A11717)</f>
        <v>1CA8922B-H</v>
      </c>
      <c r="C11717" s="17"/>
      <c r="D11717" s="184"/>
      <c r="E11717" s="197"/>
      <c r="F11717" s="19"/>
      <c r="G11717" s="20"/>
    </row>
    <row r="11718" spans="1:7">
      <c r="A11718" s="211" t="s">
        <v>492</v>
      </c>
      <c r="B11718" s="216" t="str">
        <f ca="1">_xlfn.CONCAT(B11708,A11718)</f>
        <v>1CA8922B-I</v>
      </c>
      <c r="C11718" s="17"/>
      <c r="D11718" s="184"/>
      <c r="E11718" s="197"/>
      <c r="F11718" s="19"/>
      <c r="G11718" s="20"/>
    </row>
    <row r="11719" spans="1:7">
      <c r="A11719" s="211" t="s">
        <v>493</v>
      </c>
      <c r="B11719" s="216" t="str">
        <f ca="1">_xlfn.CONCAT(B11708,A11719)</f>
        <v>1CA8922B-J</v>
      </c>
      <c r="C11719" s="17"/>
      <c r="D11719" s="184"/>
      <c r="E11719" s="197"/>
      <c r="F11719" s="19"/>
      <c r="G11719" s="20"/>
    </row>
    <row r="11720" spans="1:7">
      <c r="A11720" s="211" t="s">
        <v>494</v>
      </c>
      <c r="B11720" s="216" t="str">
        <f ca="1">_xlfn.CONCAT(B11708,A11720)</f>
        <v>1CA8922B-K</v>
      </c>
      <c r="C11720" s="17"/>
      <c r="D11720" s="184"/>
      <c r="E11720" s="197"/>
      <c r="F11720" s="19"/>
      <c r="G11720" s="20"/>
    </row>
    <row r="11721" spans="1:7">
      <c r="A11721" s="211" t="s">
        <v>495</v>
      </c>
      <c r="B11721" s="216" t="str">
        <f ca="1">_xlfn.CONCAT(B11708,A11721)</f>
        <v>1CA8922B-L</v>
      </c>
      <c r="C11721" s="17"/>
      <c r="D11721" s="184"/>
      <c r="E11721" s="197"/>
      <c r="F11721" s="19"/>
      <c r="G11721" s="20"/>
    </row>
    <row r="11722" spans="1:7">
      <c r="A11722" s="211" t="s">
        <v>496</v>
      </c>
      <c r="B11722" s="216" t="str">
        <f ca="1">_xlfn.CONCAT(B11708,A11722)</f>
        <v>1CA8922B-M</v>
      </c>
      <c r="C11722" s="17"/>
      <c r="D11722" s="184"/>
      <c r="E11722" s="197"/>
      <c r="F11722" s="19"/>
      <c r="G11722" s="20"/>
    </row>
    <row r="11723" spans="1:7">
      <c r="A11723" s="211" t="s">
        <v>497</v>
      </c>
      <c r="B11723" s="216" t="str">
        <f ca="1">_xlfn.CONCAT(B11708,A11723)</f>
        <v>1CA8922B-N</v>
      </c>
      <c r="C11723" s="17"/>
      <c r="D11723" s="184"/>
      <c r="E11723" s="197"/>
      <c r="F11723" s="19"/>
      <c r="G11723" s="20"/>
    </row>
    <row r="11724" spans="1:7">
      <c r="A11724" s="211" t="s">
        <v>498</v>
      </c>
      <c r="B11724" s="216" t="str">
        <f ca="1">_xlfn.CONCAT(B11708,A11724)</f>
        <v>1CA8922B-O</v>
      </c>
      <c r="C11724" s="17"/>
      <c r="D11724" s="184"/>
      <c r="E11724" s="197"/>
      <c r="F11724" s="19"/>
      <c r="G11724" s="20"/>
    </row>
    <row r="11725" spans="1:7">
      <c r="A11725" s="211" t="s">
        <v>499</v>
      </c>
      <c r="B11725" s="216" t="str">
        <f ca="1">_xlfn.CONCAT(B11708,A11725)</f>
        <v>1CA8922B-P</v>
      </c>
      <c r="C11725" s="17"/>
      <c r="D11725" s="184"/>
      <c r="E11725" s="197"/>
      <c r="F11725" s="19"/>
      <c r="G11725" s="20"/>
    </row>
    <row r="11726" spans="1:7">
      <c r="A11726" s="211" t="s">
        <v>500</v>
      </c>
      <c r="B11726" s="216" t="str">
        <f ca="1">_xlfn.CONCAT(B11708,A11726)</f>
        <v>1CA8922B-Q</v>
      </c>
      <c r="C11726" s="17"/>
      <c r="D11726" s="184"/>
      <c r="E11726" s="197"/>
      <c r="F11726" s="19"/>
      <c r="G11726" s="20"/>
    </row>
    <row r="11727" spans="1:7">
      <c r="A11727" s="211" t="s">
        <v>501</v>
      </c>
      <c r="B11727" s="216" t="str">
        <f ca="1">_xlfn.CONCAT(B11708,A11727)</f>
        <v>1CA8922B-R</v>
      </c>
      <c r="C11727" s="17"/>
      <c r="D11727" s="184"/>
      <c r="E11727" s="197"/>
      <c r="F11727" s="19"/>
      <c r="G11727" s="20"/>
    </row>
    <row r="11728" spans="1:7">
      <c r="A11728" s="211" t="s">
        <v>502</v>
      </c>
      <c r="B11728" s="216" t="str">
        <f ca="1">_xlfn.CONCAT(B11708,A11728)</f>
        <v>1CA8922B-S</v>
      </c>
      <c r="C11728" s="17"/>
      <c r="D11728" s="184"/>
      <c r="E11728" s="197"/>
      <c r="F11728" s="19"/>
      <c r="G11728" s="20"/>
    </row>
    <row r="11729" spans="1:7">
      <c r="A11729" s="211" t="s">
        <v>503</v>
      </c>
      <c r="B11729" s="216" t="str">
        <f ca="1">_xlfn.CONCAT(B11708,A11729)</f>
        <v>1CA8922B-T</v>
      </c>
      <c r="C11729" s="17"/>
      <c r="D11729" s="184"/>
      <c r="E11729" s="197"/>
      <c r="F11729" s="19"/>
      <c r="G11729" s="20"/>
    </row>
    <row r="11730" spans="1:7" ht="14.25" thickBot="1">
      <c r="A11730" s="211" t="s">
        <v>504</v>
      </c>
      <c r="B11730" s="216" t="str">
        <f ca="1">_xlfn.CONCAT(B11708,A11730)</f>
        <v>1CA8922B-U</v>
      </c>
      <c r="C11730" s="17"/>
      <c r="D11730" s="184"/>
      <c r="E11730" s="197"/>
      <c r="F11730" s="19"/>
      <c r="G11730" s="20"/>
    </row>
    <row r="11731" spans="1:7" ht="14.25" thickBot="1">
      <c r="A11731" s="211" t="s">
        <v>505</v>
      </c>
      <c r="B11731" s="216" t="str">
        <f ca="1">_xlfn.CONCAT(B11708,A11731)</f>
        <v>1CA8922B-V</v>
      </c>
      <c r="C11731" s="17" t="s">
        <v>17</v>
      </c>
      <c r="D11731" s="192" t="s">
        <v>17</v>
      </c>
      <c r="E11731" s="18"/>
      <c r="F11731" s="22" t="s">
        <v>18</v>
      </c>
      <c r="G11731" s="23">
        <f>SUM(G11710:G11730)</f>
        <v>93660</v>
      </c>
    </row>
    <row r="11732" spans="1:7" ht="15.75" thickBot="1">
      <c r="A11732" s="211" t="s">
        <v>506</v>
      </c>
      <c r="B11732" s="216" t="str">
        <f ca="1">_xlfn.CONCAT(B11708,A11732)</f>
        <v>1CA8922B-W</v>
      </c>
      <c r="C11732" s="10" t="s">
        <v>19</v>
      </c>
      <c r="D11732" s="190"/>
      <c r="E11732" s="11"/>
      <c r="F11732" s="12"/>
      <c r="G11732" s="13"/>
    </row>
    <row r="11733" spans="1:7" ht="14.25" thickBot="1">
      <c r="A11733" s="211" t="s">
        <v>507</v>
      </c>
      <c r="B11733" s="216" t="str">
        <f ca="1">_xlfn.CONCAT(B11708,A11733)</f>
        <v>1CA8922B-X</v>
      </c>
      <c r="C11733" s="14" t="s">
        <v>1</v>
      </c>
      <c r="D11733" s="15"/>
      <c r="E11733" s="15" t="s">
        <v>20</v>
      </c>
      <c r="F11733" s="16" t="s">
        <v>21</v>
      </c>
      <c r="G11733" s="15" t="s">
        <v>5</v>
      </c>
    </row>
    <row r="11734" spans="1:7">
      <c r="A11734" s="211" t="s">
        <v>508</v>
      </c>
      <c r="B11734" s="216" t="str">
        <f ca="1">_xlfn.CONCAT(B11708,A11734)</f>
        <v>1CA8922B-Y</v>
      </c>
      <c r="C11734" s="24" t="s">
        <v>22</v>
      </c>
      <c r="D11734" s="184"/>
      <c r="E11734" s="25">
        <f>_xlfn.XLOOKUP(C11734,'H-MO'!B$7:B$30,'H-MO'!D$7:D$30,,0,1)</f>
        <v>2436.5624999999995</v>
      </c>
      <c r="F11734" s="19">
        <v>0.3</v>
      </c>
      <c r="G11734" s="33">
        <f t="shared" ref="G11734:G11739" si="343">+E11734*F11734</f>
        <v>730.96874999999989</v>
      </c>
    </row>
    <row r="11735" spans="1:7">
      <c r="A11735" s="211" t="s">
        <v>509</v>
      </c>
      <c r="B11735" s="216" t="str">
        <f ca="1">_xlfn.CONCAT(B11708,A11735)</f>
        <v>1CA8922B-Z</v>
      </c>
      <c r="C11735" s="24" t="s">
        <v>23</v>
      </c>
      <c r="D11735" s="184"/>
      <c r="E11735" s="25">
        <f>_xlfn.XLOOKUP(C11735,'H-MO'!B$7:B$30,'H-MO'!D$7:D$30,,0,1)</f>
        <v>1461.9374999999998</v>
      </c>
      <c r="F11735" s="19">
        <v>9.7711304347826086E-2</v>
      </c>
      <c r="G11735" s="33">
        <f t="shared" si="343"/>
        <v>142.84781999999998</v>
      </c>
    </row>
    <row r="11736" spans="1:7">
      <c r="A11736" s="211" t="s">
        <v>510</v>
      </c>
      <c r="B11736" s="216" t="str">
        <f ca="1">_xlfn.CONCAT(B11708,A11736)</f>
        <v>1CA8922B-aa</v>
      </c>
      <c r="C11736" s="24" t="s">
        <v>24</v>
      </c>
      <c r="D11736" s="185"/>
      <c r="E11736" s="25">
        <f>_xlfn.XLOOKUP(C11736,'H-MO'!B$7:B$30,'H-MO'!D$7:D$30,,0,1)</f>
        <v>29238.749999999996</v>
      </c>
      <c r="F11736" s="28">
        <v>1.6285217391304348E-3</v>
      </c>
      <c r="G11736" s="33">
        <f t="shared" si="343"/>
        <v>47.615939999999995</v>
      </c>
    </row>
    <row r="11737" spans="1:7">
      <c r="A11737" s="211" t="s">
        <v>511</v>
      </c>
      <c r="B11737" s="216" t="str">
        <f ca="1">_xlfn.CONCAT(B11708,A11737)</f>
        <v>1CA8922B-ab</v>
      </c>
      <c r="C11737" s="24" t="s">
        <v>25</v>
      </c>
      <c r="D11737" s="185"/>
      <c r="E11737" s="25">
        <f>_xlfn.XLOOKUP(C11737,'H-MO'!B$7:B$30,'H-MO'!D$7:D$30,,0,1)</f>
        <v>2761.4374999999995</v>
      </c>
      <c r="F11737" s="28">
        <v>0.4</v>
      </c>
      <c r="G11737" s="33">
        <f t="shared" si="343"/>
        <v>1104.5749999999998</v>
      </c>
    </row>
    <row r="11738" spans="1:7">
      <c r="A11738" s="211" t="s">
        <v>512</v>
      </c>
      <c r="B11738" s="216" t="str">
        <f ca="1">_xlfn.CONCAT(B11708,A11738)</f>
        <v>1CA8922B-ac</v>
      </c>
      <c r="C11738" s="24"/>
      <c r="D11738" s="185"/>
      <c r="E11738" s="29"/>
      <c r="F11738" s="28"/>
      <c r="G11738" s="33">
        <f t="shared" si="343"/>
        <v>0</v>
      </c>
    </row>
    <row r="11739" spans="1:7" ht="14.25" thickBot="1">
      <c r="A11739" s="211" t="s">
        <v>513</v>
      </c>
      <c r="B11739" s="216" t="str">
        <f ca="1">_xlfn.CONCAT(B11708,A11739)</f>
        <v>1CA8922B-ad</v>
      </c>
      <c r="C11739" s="24"/>
      <c r="D11739" s="185"/>
      <c r="E11739" s="29"/>
      <c r="F11739" s="28"/>
      <c r="G11739" s="33">
        <f t="shared" si="343"/>
        <v>0</v>
      </c>
    </row>
    <row r="11740" spans="1:7" ht="14.25" thickBot="1">
      <c r="A11740" s="211" t="s">
        <v>514</v>
      </c>
      <c r="B11740" s="216" t="str">
        <f ca="1">_xlfn.CONCAT(B11708,A11740)</f>
        <v>1CA8922B-ae</v>
      </c>
      <c r="C11740" s="17"/>
      <c r="D11740" s="192"/>
      <c r="E11740" s="18"/>
      <c r="F11740" s="22" t="s">
        <v>26</v>
      </c>
      <c r="G11740" s="23">
        <f>SUM(G11734:G11739)</f>
        <v>2026.0075099999997</v>
      </c>
    </row>
    <row r="11741" spans="1:7" ht="15.75" thickBot="1">
      <c r="A11741" s="211" t="s">
        <v>515</v>
      </c>
      <c r="B11741" s="216" t="str">
        <f ca="1">_xlfn.CONCAT(B11708,A11741)</f>
        <v>1CA8922B-af</v>
      </c>
      <c r="C11741" s="10" t="s">
        <v>27</v>
      </c>
      <c r="D11741" s="190"/>
      <c r="E11741" s="11"/>
      <c r="F11741" s="12"/>
      <c r="G11741" s="13"/>
    </row>
    <row r="11742" spans="1:7" ht="14.25" thickBot="1">
      <c r="A11742" s="211" t="s">
        <v>516</v>
      </c>
      <c r="B11742" s="216" t="str">
        <f ca="1">_xlfn.CONCAT(B11708,A11742)</f>
        <v>1CA8922B-ag</v>
      </c>
      <c r="C11742" s="14" t="s">
        <v>1</v>
      </c>
      <c r="D11742" s="15" t="s">
        <v>28</v>
      </c>
      <c r="E11742" s="15" t="s">
        <v>20</v>
      </c>
      <c r="F11742" s="16" t="s">
        <v>21</v>
      </c>
      <c r="G11742" s="15" t="s">
        <v>5</v>
      </c>
    </row>
    <row r="11743" spans="1:7">
      <c r="A11743" s="211" t="s">
        <v>517</v>
      </c>
      <c r="B11743" s="216" t="str">
        <f ca="1">_xlfn.CONCAT(B11708,A11743)</f>
        <v>1CA8922B-ah</v>
      </c>
      <c r="C11743" s="30" t="s">
        <v>29</v>
      </c>
      <c r="D11743" s="186">
        <f>'H-MO'!$N$77</f>
        <v>725918.52892505517</v>
      </c>
      <c r="E11743" s="31">
        <f>+D11743/8</f>
        <v>90739.816115631897</v>
      </c>
      <c r="F11743" s="32">
        <v>0.25</v>
      </c>
      <c r="G11743" s="33">
        <f>+E11743*F11743</f>
        <v>22684.954028907974</v>
      </c>
    </row>
    <row r="11744" spans="1:7">
      <c r="A11744" s="211" t="s">
        <v>518</v>
      </c>
      <c r="B11744" s="216" t="str">
        <f ca="1">_xlfn.CONCAT(B11708,A11744)</f>
        <v>1CA8922B-ai</v>
      </c>
      <c r="C11744" s="34" t="s">
        <v>30</v>
      </c>
      <c r="D11744" s="187">
        <f>'H-MO'!$N$86</f>
        <v>685561.39085756091</v>
      </c>
      <c r="E11744" s="29">
        <f>+D11744/8</f>
        <v>85695.173857195114</v>
      </c>
      <c r="F11744" s="28">
        <v>0</v>
      </c>
      <c r="G11744" s="33">
        <f>+E11744*F11744</f>
        <v>0</v>
      </c>
    </row>
    <row r="11745" spans="1:8" ht="14.25" thickBot="1">
      <c r="A11745" s="211" t="s">
        <v>519</v>
      </c>
      <c r="B11745" s="216" t="str">
        <f ca="1">_xlfn.CONCAT(B11708,A11745)</f>
        <v>1CA8922B-aj</v>
      </c>
      <c r="C11745" s="34"/>
      <c r="D11745" s="187"/>
      <c r="E11745" s="29"/>
      <c r="F11745" s="28"/>
      <c r="G11745" s="33">
        <f>+E11745*F11745</f>
        <v>0</v>
      </c>
    </row>
    <row r="11746" spans="1:8" ht="14.25" thickBot="1">
      <c r="A11746" s="211" t="s">
        <v>520</v>
      </c>
      <c r="B11746" s="216" t="str">
        <f ca="1">_xlfn.CONCAT(B11708,A11746)</f>
        <v>1CA8922B-ak</v>
      </c>
      <c r="C11746" s="34"/>
      <c r="D11746" s="185"/>
      <c r="E11746" s="26"/>
      <c r="F11746" s="36" t="s">
        <v>31</v>
      </c>
      <c r="G11746" s="23">
        <f>SUM(G11743:G11745)</f>
        <v>22684.954028907974</v>
      </c>
    </row>
    <row r="11747" spans="1:8" ht="14.25" thickBot="1">
      <c r="A11747" s="211" t="s">
        <v>521</v>
      </c>
      <c r="B11747" s="216" t="str">
        <f ca="1">_xlfn.CONCAT(B11708,A11747)</f>
        <v>1CA8922B-al</v>
      </c>
      <c r="C11747" s="37"/>
      <c r="E11747" s="38"/>
      <c r="F11747" s="22"/>
      <c r="G11747" s="39"/>
    </row>
    <row r="11748" spans="1:8" ht="16.5" thickBot="1">
      <c r="A11748" s="211" t="s">
        <v>522</v>
      </c>
      <c r="B11748" s="216" t="str">
        <f ca="1">_xlfn.CONCAT(B11708,A11748)</f>
        <v>1CA8922B-am</v>
      </c>
      <c r="C11748" s="40"/>
      <c r="D11748" s="193"/>
      <c r="E11748" s="41"/>
      <c r="F11748" s="42"/>
      <c r="G11748" s="43">
        <f>+G11731+G11740+G11746</f>
        <v>118370.96153890797</v>
      </c>
    </row>
    <row r="11749" spans="1:8" ht="21.75" thickBot="1">
      <c r="B11749" s="212" t="s">
        <v>550</v>
      </c>
      <c r="C11749" s="2"/>
      <c r="D11749" s="183"/>
      <c r="F11749" s="4"/>
      <c r="G11749" s="5"/>
    </row>
    <row r="11750" spans="1:8" ht="18.75">
      <c r="A11750" s="213"/>
      <c r="B11750" s="214">
        <v>267</v>
      </c>
      <c r="C11750" s="242" t="str">
        <f ca="1">_xlfn.XLOOKUP(B11750,Cantidades!$A$10:$A$314,Cantidades!$C$10:$C$314,,0,1)</f>
        <v>Suministro e instalación de alimentador 1#10(F)+1#10(N) de cobre</v>
      </c>
      <c r="D11750" s="243"/>
      <c r="E11750" s="243"/>
      <c r="F11750" s="243"/>
      <c r="G11750" s="244"/>
      <c r="H11750" s="213"/>
    </row>
    <row r="11751" spans="1:8" ht="19.5" thickBot="1">
      <c r="A11751" s="215"/>
      <c r="B11751" s="216" t="s">
        <v>550</v>
      </c>
      <c r="C11751" s="177"/>
      <c r="D11751" s="189"/>
      <c r="E11751" s="178"/>
      <c r="F11751" s="179" t="s">
        <v>636</v>
      </c>
      <c r="G11751" s="209" t="str">
        <f ca="1">B11752</f>
        <v>33FD7B64-</v>
      </c>
      <c r="H11751" s="215"/>
    </row>
    <row r="11752" spans="1:8" ht="15.75" thickBot="1">
      <c r="B11752" s="212" t="str">
        <f ca="1">_xlfn.XLOOKUP(C11750,Cantidades!$C$1:$C$314,Cantidades!$B$1:$B$314,"",0,1)</f>
        <v>33FD7B64-</v>
      </c>
      <c r="C11752" s="10" t="s">
        <v>0</v>
      </c>
      <c r="D11752" s="190"/>
      <c r="E11752" s="11"/>
      <c r="F11752" s="12"/>
      <c r="G11752" s="13"/>
    </row>
    <row r="11753" spans="1:8" ht="14.25" thickBot="1">
      <c r="A11753" s="215"/>
      <c r="B11753" s="216" t="s">
        <v>550</v>
      </c>
      <c r="C11753" s="14" t="s">
        <v>1</v>
      </c>
      <c r="D11753" s="15" t="s">
        <v>2</v>
      </c>
      <c r="E11753" s="15" t="s">
        <v>3</v>
      </c>
      <c r="F11753" s="16" t="s">
        <v>4</v>
      </c>
      <c r="G11753" s="15" t="s">
        <v>5</v>
      </c>
      <c r="H11753" s="215"/>
    </row>
    <row r="11754" spans="1:8" ht="15">
      <c r="A11754" s="211" t="s">
        <v>484</v>
      </c>
      <c r="B11754" s="216" t="str">
        <f ca="1">_xlfn.CONCAT(B11752,A11754)</f>
        <v>33FD7B64-A</v>
      </c>
      <c r="C11754" s="17" t="str">
        <f>_xlfn.XLOOKUP(H11754,'Materiales unitario'!$A$1:$A$2500,'Materiales unitario'!B$1:B$2500,,0,1)</f>
        <v>Cable de cobre aislado #10 AWG-THHN/THWN Color negro</v>
      </c>
      <c r="D11754" s="184" t="str">
        <f>_xlfn.XLOOKUP(H11754,'Materiales unitario'!A$1:A$2500,'Materiales unitario'!C$1:C$2500,,0,1)</f>
        <v>ml</v>
      </c>
      <c r="E11754" s="197">
        <f>_xlfn.XLOOKUP(H11754,'Materiales unitario'!$A$1:$A$2500,'Materiales unitario'!D$1:D$2500,,0,1)</f>
        <v>5215</v>
      </c>
      <c r="F11754" s="19">
        <v>2.1</v>
      </c>
      <c r="G11754" s="20">
        <f>+E11754*F11754</f>
        <v>10951.5</v>
      </c>
      <c r="H11754" s="217" t="s">
        <v>265</v>
      </c>
    </row>
    <row r="11755" spans="1:8" ht="15">
      <c r="A11755" s="211" t="s">
        <v>485</v>
      </c>
      <c r="B11755" s="216" t="str">
        <f ca="1">_xlfn.CONCAT(B11752,A11755)</f>
        <v>33FD7B64-B</v>
      </c>
      <c r="C11755" s="17"/>
      <c r="D11755" s="184"/>
      <c r="E11755" s="197"/>
      <c r="F11755" s="19"/>
      <c r="G11755" s="20"/>
      <c r="H11755" s="217"/>
    </row>
    <row r="11756" spans="1:8" ht="15">
      <c r="A11756" s="211" t="s">
        <v>486</v>
      </c>
      <c r="B11756" s="216" t="str">
        <f ca="1">_xlfn.CONCAT(B11752,A11756)</f>
        <v>33FD7B64-C</v>
      </c>
      <c r="C11756" s="17"/>
      <c r="D11756" s="184"/>
      <c r="E11756" s="197"/>
      <c r="F11756" s="19"/>
      <c r="G11756" s="20"/>
      <c r="H11756" s="217"/>
    </row>
    <row r="11757" spans="1:8" ht="15">
      <c r="A11757" s="211" t="s">
        <v>487</v>
      </c>
      <c r="B11757" s="216" t="str">
        <f ca="1">_xlfn.CONCAT(B11752,A11757)</f>
        <v>33FD7B64-D</v>
      </c>
      <c r="C11757" s="17"/>
      <c r="D11757" s="184"/>
      <c r="E11757" s="197"/>
      <c r="F11757" s="19"/>
      <c r="G11757" s="20"/>
      <c r="H11757" s="217"/>
    </row>
    <row r="11758" spans="1:8" ht="15">
      <c r="A11758" s="211" t="s">
        <v>488</v>
      </c>
      <c r="B11758" s="216" t="str">
        <f ca="1">_xlfn.CONCAT(B11752,A11758)</f>
        <v>33FD7B64-E</v>
      </c>
      <c r="C11758" s="17"/>
      <c r="D11758" s="184"/>
      <c r="E11758" s="197"/>
      <c r="F11758" s="19"/>
      <c r="G11758" s="20"/>
      <c r="H11758" s="217"/>
    </row>
    <row r="11759" spans="1:8" ht="15">
      <c r="A11759" s="211" t="s">
        <v>489</v>
      </c>
      <c r="B11759" s="216" t="str">
        <f ca="1">_xlfn.CONCAT(B11752,A11759)</f>
        <v>33FD7B64-F</v>
      </c>
      <c r="C11759" s="17"/>
      <c r="D11759" s="184"/>
      <c r="E11759" s="197"/>
      <c r="F11759" s="19"/>
      <c r="G11759" s="20"/>
      <c r="H11759" s="217"/>
    </row>
    <row r="11760" spans="1:8" ht="15">
      <c r="A11760" s="211" t="s">
        <v>490</v>
      </c>
      <c r="B11760" s="216" t="str">
        <f ca="1">_xlfn.CONCAT(B11752,A11760)</f>
        <v>33FD7B64-G</v>
      </c>
      <c r="C11760" s="17"/>
      <c r="D11760" s="184"/>
      <c r="E11760" s="197"/>
      <c r="F11760" s="19"/>
      <c r="G11760" s="20"/>
      <c r="H11760" s="217"/>
    </row>
    <row r="11761" spans="1:7">
      <c r="A11761" s="211" t="s">
        <v>491</v>
      </c>
      <c r="B11761" s="216" t="str">
        <f ca="1">_xlfn.CONCAT(B11752,A11761)</f>
        <v>33FD7B64-H</v>
      </c>
      <c r="C11761" s="17"/>
      <c r="D11761" s="184"/>
      <c r="E11761" s="197"/>
      <c r="F11761" s="19"/>
      <c r="G11761" s="20"/>
    </row>
    <row r="11762" spans="1:7">
      <c r="A11762" s="211" t="s">
        <v>492</v>
      </c>
      <c r="B11762" s="216" t="str">
        <f ca="1">_xlfn.CONCAT(B11752,A11762)</f>
        <v>33FD7B64-I</v>
      </c>
      <c r="C11762" s="17"/>
      <c r="D11762" s="184"/>
      <c r="E11762" s="197"/>
      <c r="F11762" s="19"/>
      <c r="G11762" s="20"/>
    </row>
    <row r="11763" spans="1:7">
      <c r="A11763" s="211" t="s">
        <v>493</v>
      </c>
      <c r="B11763" s="216" t="str">
        <f ca="1">_xlfn.CONCAT(B11752,A11763)</f>
        <v>33FD7B64-J</v>
      </c>
      <c r="C11763" s="17"/>
      <c r="D11763" s="184"/>
      <c r="E11763" s="197"/>
      <c r="F11763" s="19"/>
      <c r="G11763" s="20"/>
    </row>
    <row r="11764" spans="1:7">
      <c r="A11764" s="211" t="s">
        <v>494</v>
      </c>
      <c r="B11764" s="216" t="str">
        <f ca="1">_xlfn.CONCAT(B11752,A11764)</f>
        <v>33FD7B64-K</v>
      </c>
      <c r="C11764" s="17"/>
      <c r="D11764" s="184"/>
      <c r="E11764" s="197"/>
      <c r="F11764" s="19"/>
      <c r="G11764" s="20"/>
    </row>
    <row r="11765" spans="1:7">
      <c r="A11765" s="211" t="s">
        <v>495</v>
      </c>
      <c r="B11765" s="216" t="str">
        <f ca="1">_xlfn.CONCAT(B11752,A11765)</f>
        <v>33FD7B64-L</v>
      </c>
      <c r="C11765" s="17"/>
      <c r="D11765" s="184"/>
      <c r="E11765" s="197"/>
      <c r="F11765" s="19"/>
      <c r="G11765" s="20"/>
    </row>
    <row r="11766" spans="1:7">
      <c r="A11766" s="211" t="s">
        <v>496</v>
      </c>
      <c r="B11766" s="216" t="str">
        <f ca="1">_xlfn.CONCAT(B11752,A11766)</f>
        <v>33FD7B64-M</v>
      </c>
      <c r="C11766" s="17"/>
      <c r="D11766" s="184"/>
      <c r="E11766" s="197"/>
      <c r="F11766" s="19"/>
      <c r="G11766" s="20"/>
    </row>
    <row r="11767" spans="1:7">
      <c r="A11767" s="211" t="s">
        <v>497</v>
      </c>
      <c r="B11767" s="216" t="str">
        <f ca="1">_xlfn.CONCAT(B11752,A11767)</f>
        <v>33FD7B64-N</v>
      </c>
      <c r="C11767" s="17"/>
      <c r="D11767" s="184"/>
      <c r="E11767" s="197"/>
      <c r="F11767" s="19"/>
      <c r="G11767" s="20"/>
    </row>
    <row r="11768" spans="1:7">
      <c r="A11768" s="211" t="s">
        <v>498</v>
      </c>
      <c r="B11768" s="216" t="str">
        <f ca="1">_xlfn.CONCAT(B11752,A11768)</f>
        <v>33FD7B64-O</v>
      </c>
      <c r="C11768" s="17"/>
      <c r="D11768" s="184"/>
      <c r="E11768" s="197"/>
      <c r="F11768" s="19"/>
      <c r="G11768" s="20"/>
    </row>
    <row r="11769" spans="1:7">
      <c r="A11769" s="211" t="s">
        <v>499</v>
      </c>
      <c r="B11769" s="216" t="str">
        <f ca="1">_xlfn.CONCAT(B11752,A11769)</f>
        <v>33FD7B64-P</v>
      </c>
      <c r="C11769" s="17"/>
      <c r="D11769" s="184"/>
      <c r="E11769" s="197"/>
      <c r="F11769" s="19"/>
      <c r="G11769" s="20"/>
    </row>
    <row r="11770" spans="1:7">
      <c r="A11770" s="211" t="s">
        <v>500</v>
      </c>
      <c r="B11770" s="216" t="str">
        <f ca="1">_xlfn.CONCAT(B11752,A11770)</f>
        <v>33FD7B64-Q</v>
      </c>
      <c r="C11770" s="17"/>
      <c r="D11770" s="184"/>
      <c r="E11770" s="197"/>
      <c r="F11770" s="19"/>
      <c r="G11770" s="20"/>
    </row>
    <row r="11771" spans="1:7">
      <c r="A11771" s="211" t="s">
        <v>501</v>
      </c>
      <c r="B11771" s="216" t="str">
        <f ca="1">_xlfn.CONCAT(B11752,A11771)</f>
        <v>33FD7B64-R</v>
      </c>
      <c r="C11771" s="17"/>
      <c r="D11771" s="184"/>
      <c r="E11771" s="197"/>
      <c r="F11771" s="19"/>
      <c r="G11771" s="20"/>
    </row>
    <row r="11772" spans="1:7">
      <c r="A11772" s="211" t="s">
        <v>502</v>
      </c>
      <c r="B11772" s="216" t="str">
        <f ca="1">_xlfn.CONCAT(B11752,A11772)</f>
        <v>33FD7B64-S</v>
      </c>
      <c r="C11772" s="17"/>
      <c r="D11772" s="184"/>
      <c r="E11772" s="197"/>
      <c r="F11772" s="19"/>
      <c r="G11772" s="20"/>
    </row>
    <row r="11773" spans="1:7">
      <c r="A11773" s="211" t="s">
        <v>503</v>
      </c>
      <c r="B11773" s="216" t="str">
        <f ca="1">_xlfn.CONCAT(B11752,A11773)</f>
        <v>33FD7B64-T</v>
      </c>
      <c r="C11773" s="17"/>
      <c r="D11773" s="184"/>
      <c r="E11773" s="197"/>
      <c r="F11773" s="19"/>
      <c r="G11773" s="20"/>
    </row>
    <row r="11774" spans="1:7" ht="14.25" thickBot="1">
      <c r="A11774" s="211" t="s">
        <v>504</v>
      </c>
      <c r="B11774" s="216" t="str">
        <f ca="1">_xlfn.CONCAT(B11752,A11774)</f>
        <v>33FD7B64-U</v>
      </c>
      <c r="C11774" s="17"/>
      <c r="D11774" s="184"/>
      <c r="E11774" s="197"/>
      <c r="F11774" s="19"/>
      <c r="G11774" s="20"/>
    </row>
    <row r="11775" spans="1:7" ht="14.25" thickBot="1">
      <c r="A11775" s="211" t="s">
        <v>505</v>
      </c>
      <c r="B11775" s="216" t="str">
        <f ca="1">_xlfn.CONCAT(B11752,A11775)</f>
        <v>33FD7B64-V</v>
      </c>
      <c r="C11775" s="17" t="s">
        <v>17</v>
      </c>
      <c r="D11775" s="192" t="s">
        <v>17</v>
      </c>
      <c r="E11775" s="18"/>
      <c r="F11775" s="22" t="s">
        <v>18</v>
      </c>
      <c r="G11775" s="23">
        <f>SUM(G11754:G11774)</f>
        <v>10951.5</v>
      </c>
    </row>
    <row r="11776" spans="1:7" ht="15.75" thickBot="1">
      <c r="A11776" s="211" t="s">
        <v>506</v>
      </c>
      <c r="B11776" s="216" t="str">
        <f ca="1">_xlfn.CONCAT(B11752,A11776)</f>
        <v>33FD7B64-W</v>
      </c>
      <c r="C11776" s="10" t="s">
        <v>19</v>
      </c>
      <c r="D11776" s="190"/>
      <c r="E11776" s="11"/>
      <c r="F11776" s="12"/>
      <c r="G11776" s="13"/>
    </row>
    <row r="11777" spans="1:8" ht="14.25" thickBot="1">
      <c r="A11777" s="211" t="s">
        <v>507</v>
      </c>
      <c r="B11777" s="216" t="str">
        <f ca="1">_xlfn.CONCAT(B11752,A11777)</f>
        <v>33FD7B64-X</v>
      </c>
      <c r="C11777" s="14" t="s">
        <v>1</v>
      </c>
      <c r="D11777" s="15"/>
      <c r="E11777" s="15" t="s">
        <v>20</v>
      </c>
      <c r="F11777" s="16" t="s">
        <v>21</v>
      </c>
      <c r="G11777" s="15" t="s">
        <v>5</v>
      </c>
      <c r="H11777" s="215"/>
    </row>
    <row r="11778" spans="1:8">
      <c r="A11778" s="211" t="s">
        <v>508</v>
      </c>
      <c r="B11778" s="216" t="str">
        <f ca="1">_xlfn.CONCAT(B11752,A11778)</f>
        <v>33FD7B64-Y</v>
      </c>
      <c r="C11778" s="24" t="s">
        <v>22</v>
      </c>
      <c r="D11778" s="184"/>
      <c r="E11778" s="25">
        <f>_xlfn.XLOOKUP(C11778,'H-MO'!B$7:B$30,'H-MO'!D$7:D$30,,0,1)</f>
        <v>2436.5624999999995</v>
      </c>
      <c r="F11778" s="19">
        <v>0.4</v>
      </c>
      <c r="G11778" s="33">
        <f t="shared" ref="G11778:G11783" si="344">+E11778*F11778</f>
        <v>974.62499999999989</v>
      </c>
    </row>
    <row r="11779" spans="1:8">
      <c r="A11779" s="211" t="s">
        <v>509</v>
      </c>
      <c r="B11779" s="216" t="str">
        <f ca="1">_xlfn.CONCAT(B11752,A11779)</f>
        <v>33FD7B64-Z</v>
      </c>
      <c r="C11779" s="24" t="s">
        <v>23</v>
      </c>
      <c r="D11779" s="184"/>
      <c r="E11779" s="25">
        <f>_xlfn.XLOOKUP(C11779,'H-MO'!B$7:B$30,'H-MO'!D$7:D$30,,0,1)</f>
        <v>1461.9374999999998</v>
      </c>
      <c r="F11779" s="19">
        <v>0.1</v>
      </c>
      <c r="G11779" s="33">
        <f t="shared" si="344"/>
        <v>146.19374999999999</v>
      </c>
    </row>
    <row r="11780" spans="1:8">
      <c r="A11780" s="211" t="s">
        <v>510</v>
      </c>
      <c r="B11780" s="216" t="str">
        <f ca="1">_xlfn.CONCAT(B11752,A11780)</f>
        <v>33FD7B64-aa</v>
      </c>
      <c r="C11780" s="24" t="s">
        <v>24</v>
      </c>
      <c r="D11780" s="185"/>
      <c r="E11780" s="25">
        <f>_xlfn.XLOOKUP(C11780,'H-MO'!B$7:B$30,'H-MO'!D$7:D$30,,0,1)</f>
        <v>29238.749999999996</v>
      </c>
      <c r="F11780" s="28">
        <v>0.01</v>
      </c>
      <c r="G11780" s="33">
        <f t="shared" si="344"/>
        <v>292.38749999999999</v>
      </c>
    </row>
    <row r="11781" spans="1:8">
      <c r="A11781" s="211" t="s">
        <v>511</v>
      </c>
      <c r="B11781" s="216" t="str">
        <f ca="1">_xlfn.CONCAT(B11752,A11781)</f>
        <v>33FD7B64-ab</v>
      </c>
      <c r="C11781" s="24" t="s">
        <v>25</v>
      </c>
      <c r="D11781" s="185"/>
      <c r="E11781" s="25">
        <f>_xlfn.XLOOKUP(C11781,'H-MO'!B$7:B$30,'H-MO'!D$7:D$30,,0,1)</f>
        <v>2761.4374999999995</v>
      </c>
      <c r="F11781" s="28">
        <v>0.1</v>
      </c>
      <c r="G11781" s="33">
        <f t="shared" si="344"/>
        <v>276.14374999999995</v>
      </c>
    </row>
    <row r="11782" spans="1:8">
      <c r="A11782" s="211" t="s">
        <v>512</v>
      </c>
      <c r="B11782" s="216" t="str">
        <f ca="1">_xlfn.CONCAT(B11752,A11782)</f>
        <v>33FD7B64-ac</v>
      </c>
      <c r="C11782" s="24"/>
      <c r="D11782" s="185"/>
      <c r="E11782" s="29"/>
      <c r="F11782" s="28"/>
      <c r="G11782" s="33">
        <f t="shared" si="344"/>
        <v>0</v>
      </c>
    </row>
    <row r="11783" spans="1:8" ht="14.25" thickBot="1">
      <c r="A11783" s="211" t="s">
        <v>513</v>
      </c>
      <c r="B11783" s="216" t="str">
        <f ca="1">_xlfn.CONCAT(B11752,A11783)</f>
        <v>33FD7B64-ad</v>
      </c>
      <c r="C11783" s="24"/>
      <c r="D11783" s="185"/>
      <c r="E11783" s="29"/>
      <c r="F11783" s="28"/>
      <c r="G11783" s="33">
        <f t="shared" si="344"/>
        <v>0</v>
      </c>
    </row>
    <row r="11784" spans="1:8" ht="14.25" thickBot="1">
      <c r="A11784" s="211" t="s">
        <v>514</v>
      </c>
      <c r="B11784" s="216" t="str">
        <f ca="1">_xlfn.CONCAT(B11752,A11784)</f>
        <v>33FD7B64-ae</v>
      </c>
      <c r="C11784" s="17"/>
      <c r="D11784" s="192"/>
      <c r="E11784" s="18"/>
      <c r="F11784" s="22" t="s">
        <v>26</v>
      </c>
      <c r="G11784" s="23">
        <f>SUM(G11778:G11783)</f>
        <v>1689.35</v>
      </c>
    </row>
    <row r="11785" spans="1:8" ht="15.75" thickBot="1">
      <c r="A11785" s="211" t="s">
        <v>515</v>
      </c>
      <c r="B11785" s="216" t="str">
        <f ca="1">_xlfn.CONCAT(B11752,A11785)</f>
        <v>33FD7B64-af</v>
      </c>
      <c r="C11785" s="10" t="s">
        <v>27</v>
      </c>
      <c r="D11785" s="190"/>
      <c r="E11785" s="11"/>
      <c r="F11785" s="12"/>
      <c r="G11785" s="13"/>
    </row>
    <row r="11786" spans="1:8" ht="14.25" thickBot="1">
      <c r="A11786" s="211" t="s">
        <v>516</v>
      </c>
      <c r="B11786" s="216" t="str">
        <f ca="1">_xlfn.CONCAT(B11752,A11786)</f>
        <v>33FD7B64-ag</v>
      </c>
      <c r="C11786" s="14" t="s">
        <v>1</v>
      </c>
      <c r="D11786" s="15" t="s">
        <v>28</v>
      </c>
      <c r="E11786" s="15" t="s">
        <v>20</v>
      </c>
      <c r="F11786" s="16" t="s">
        <v>21</v>
      </c>
      <c r="G11786" s="15" t="s">
        <v>5</v>
      </c>
      <c r="H11786" s="215"/>
    </row>
    <row r="11787" spans="1:8">
      <c r="A11787" s="211" t="s">
        <v>517</v>
      </c>
      <c r="B11787" s="216" t="str">
        <f ca="1">_xlfn.CONCAT(B11752,A11787)</f>
        <v>33FD7B64-ah</v>
      </c>
      <c r="C11787" s="30" t="s">
        <v>29</v>
      </c>
      <c r="D11787" s="186">
        <f>'H-MO'!$N$77</f>
        <v>725918.52892505517</v>
      </c>
      <c r="E11787" s="31">
        <f>+D11787/8</f>
        <v>90739.816115631897</v>
      </c>
      <c r="F11787" s="32">
        <v>4.4999999999999998E-2</v>
      </c>
      <c r="G11787" s="33">
        <f>+E11787*F11787</f>
        <v>4083.2917252034354</v>
      </c>
    </row>
    <row r="11788" spans="1:8">
      <c r="A11788" s="211" t="s">
        <v>518</v>
      </c>
      <c r="B11788" s="216" t="str">
        <f ca="1">_xlfn.CONCAT(B11752,A11788)</f>
        <v>33FD7B64-ai</v>
      </c>
      <c r="C11788" s="34" t="s">
        <v>30</v>
      </c>
      <c r="D11788" s="187">
        <f>'H-MO'!$N$86</f>
        <v>685561.39085756091</v>
      </c>
      <c r="E11788" s="29">
        <f>+D11788/8</f>
        <v>85695.173857195114</v>
      </c>
      <c r="F11788" s="28">
        <v>0</v>
      </c>
      <c r="G11788" s="33">
        <f>+E11788*F11788</f>
        <v>0</v>
      </c>
    </row>
    <row r="11789" spans="1:8" ht="14.25" thickBot="1">
      <c r="A11789" s="211" t="s">
        <v>519</v>
      </c>
      <c r="B11789" s="216" t="str">
        <f ca="1">_xlfn.CONCAT(B11752,A11789)</f>
        <v>33FD7B64-aj</v>
      </c>
      <c r="C11789" s="34"/>
      <c r="D11789" s="187"/>
      <c r="E11789" s="29"/>
      <c r="F11789" s="28"/>
      <c r="G11789" s="33">
        <f>+E11789*F11789</f>
        <v>0</v>
      </c>
    </row>
    <row r="11790" spans="1:8" ht="14.25" thickBot="1">
      <c r="A11790" s="211" t="s">
        <v>520</v>
      </c>
      <c r="B11790" s="216" t="str">
        <f ca="1">_xlfn.CONCAT(B11752,A11790)</f>
        <v>33FD7B64-ak</v>
      </c>
      <c r="C11790" s="34"/>
      <c r="D11790" s="185"/>
      <c r="E11790" s="26"/>
      <c r="F11790" s="36" t="s">
        <v>31</v>
      </c>
      <c r="G11790" s="23">
        <f>SUM(G11787:G11789)</f>
        <v>4083.2917252034354</v>
      </c>
    </row>
    <row r="11791" spans="1:8" ht="14.25" thickBot="1">
      <c r="A11791" s="211" t="s">
        <v>521</v>
      </c>
      <c r="B11791" s="216" t="str">
        <f ca="1">_xlfn.CONCAT(B11752,A11791)</f>
        <v>33FD7B64-al</v>
      </c>
      <c r="C11791" s="37"/>
      <c r="E11791" s="38"/>
      <c r="F11791" s="22"/>
      <c r="G11791" s="39"/>
    </row>
    <row r="11792" spans="1:8" ht="16.5" thickBot="1">
      <c r="A11792" s="211" t="s">
        <v>522</v>
      </c>
      <c r="B11792" s="216" t="str">
        <f ca="1">_xlfn.CONCAT(B11752,A11792)</f>
        <v>33FD7B64-am</v>
      </c>
      <c r="C11792" s="40"/>
      <c r="D11792" s="193"/>
      <c r="E11792" s="41"/>
      <c r="F11792" s="42"/>
      <c r="G11792" s="43">
        <f>+G11775+G11784+G11790</f>
        <v>16724.141725203437</v>
      </c>
    </row>
    <row r="11793" spans="1:8" ht="21.75" thickBot="1">
      <c r="B11793" s="212" t="s">
        <v>550</v>
      </c>
      <c r="C11793" s="2"/>
      <c r="D11793" s="183"/>
      <c r="F11793" s="4"/>
      <c r="G11793" s="5"/>
    </row>
    <row r="11794" spans="1:8" ht="18.75">
      <c r="A11794" s="213"/>
      <c r="B11794" s="214">
        <v>268</v>
      </c>
      <c r="C11794" s="242" t="str">
        <f ca="1">_xlfn.XLOOKUP(B11794,Cantidades!$A$10:$A$314,Cantidades!$C$10:$C$314,,0,1)</f>
        <v>Descargadores de sobretensión de línea 12 kV - 10 kA Polimérico de Oxido de Zinc. INCLUYE ACCESORIOS DE FIJACIÓN</v>
      </c>
      <c r="D11794" s="243"/>
      <c r="E11794" s="243"/>
      <c r="F11794" s="243"/>
      <c r="G11794" s="244"/>
      <c r="H11794" s="213"/>
    </row>
    <row r="11795" spans="1:8" ht="19.5" thickBot="1">
      <c r="A11795" s="215"/>
      <c r="B11795" s="216" t="s">
        <v>550</v>
      </c>
      <c r="C11795" s="177"/>
      <c r="D11795" s="189"/>
      <c r="E11795" s="178"/>
      <c r="F11795" s="179" t="s">
        <v>636</v>
      </c>
      <c r="G11795" s="209" t="str">
        <f ca="1">B11796</f>
        <v>BFA14CA-</v>
      </c>
      <c r="H11795" s="215"/>
    </row>
    <row r="11796" spans="1:8" ht="15.75" thickBot="1">
      <c r="B11796" s="212" t="str">
        <f ca="1">_xlfn.XLOOKUP(C11794,Cantidades!$C$1:$C$314,Cantidades!$B$1:$B$314,"",0,1)</f>
        <v>BFA14CA-</v>
      </c>
      <c r="C11796" s="10" t="s">
        <v>0</v>
      </c>
      <c r="D11796" s="190"/>
      <c r="E11796" s="11"/>
      <c r="F11796" s="12"/>
      <c r="G11796" s="13"/>
    </row>
    <row r="11797" spans="1:8" ht="14.25" thickBot="1">
      <c r="A11797" s="215"/>
      <c r="B11797" s="216" t="s">
        <v>550</v>
      </c>
      <c r="C11797" s="14" t="s">
        <v>1</v>
      </c>
      <c r="D11797" s="15" t="s">
        <v>2</v>
      </c>
      <c r="E11797" s="15" t="s">
        <v>3</v>
      </c>
      <c r="F11797" s="16" t="s">
        <v>4</v>
      </c>
      <c r="G11797" s="15" t="s">
        <v>5</v>
      </c>
      <c r="H11797" s="215"/>
    </row>
    <row r="11798" spans="1:8" ht="15">
      <c r="A11798" s="211" t="s">
        <v>484</v>
      </c>
      <c r="B11798" s="216" t="str">
        <f ca="1">_xlfn.CONCAT(B11796,A11798)</f>
        <v>BFA14CA-A</v>
      </c>
      <c r="C11798" s="17" t="str">
        <f>_xlfn.XLOOKUP(H11798,'Materiales unitario'!$A$1:$A$2500,'Materiales unitario'!B$1:B$2500,,0,1)</f>
        <v>Pararrayos 12KV-10KA. ZnO</v>
      </c>
      <c r="D11798" s="184" t="str">
        <f>_xlfn.XLOOKUP(H11798,'Materiales unitario'!A$1:A$2500,'Materiales unitario'!C$1:C$2500,,0,1)</f>
        <v>un</v>
      </c>
      <c r="E11798" s="197">
        <f>_xlfn.XLOOKUP(H11798,'Materiales unitario'!$A$1:$A$2500,'Materiales unitario'!D$1:D$2500,,0,1)</f>
        <v>116322.5</v>
      </c>
      <c r="F11798" s="19">
        <v>3.3</v>
      </c>
      <c r="G11798" s="20">
        <f>+E11798*F11798</f>
        <v>383864.25</v>
      </c>
      <c r="H11798" s="217" t="s">
        <v>344</v>
      </c>
    </row>
    <row r="11799" spans="1:8" ht="15">
      <c r="A11799" s="211" t="s">
        <v>485</v>
      </c>
      <c r="B11799" s="216" t="str">
        <f ca="1">_xlfn.CONCAT(B11796,A11799)</f>
        <v>BFA14CA-B</v>
      </c>
      <c r="C11799" s="17" t="str">
        <f>_xlfn.XLOOKUP(H11799,'Materiales unitario'!$A$1:$A$2500,'Materiales unitario'!B$1:B$2500,,0,1)</f>
        <v>Accesorios de anclaje y fijacion.</v>
      </c>
      <c r="D11799" s="184" t="str">
        <f>_xlfn.XLOOKUP(H11799,'Materiales unitario'!A$1:A$2500,'Materiales unitario'!C$1:C$2500,,0,1)</f>
        <v>un</v>
      </c>
      <c r="E11799" s="197">
        <f>_xlfn.XLOOKUP(H11799,'Materiales unitario'!$A$1:$A$2500,'Materiales unitario'!D$1:D$2500,,0,1)</f>
        <v>10000</v>
      </c>
      <c r="F11799" s="19">
        <v>1.2</v>
      </c>
      <c r="G11799" s="20">
        <f>+E11799*F11799</f>
        <v>12000</v>
      </c>
      <c r="H11799" s="217" t="s">
        <v>222</v>
      </c>
    </row>
    <row r="11800" spans="1:8" ht="15">
      <c r="A11800" s="211" t="s">
        <v>486</v>
      </c>
      <c r="B11800" s="216" t="str">
        <f ca="1">_xlfn.CONCAT(B11796,A11800)</f>
        <v>BFA14CA-C</v>
      </c>
      <c r="C11800" s="17"/>
      <c r="D11800" s="184"/>
      <c r="E11800" s="197"/>
      <c r="F11800" s="19"/>
      <c r="G11800" s="20"/>
      <c r="H11800" s="217"/>
    </row>
    <row r="11801" spans="1:8" ht="15">
      <c r="A11801" s="211" t="s">
        <v>487</v>
      </c>
      <c r="B11801" s="216" t="str">
        <f ca="1">_xlfn.CONCAT(B11796,A11801)</f>
        <v>BFA14CA-D</v>
      </c>
      <c r="C11801" s="17"/>
      <c r="D11801" s="184"/>
      <c r="E11801" s="197"/>
      <c r="F11801" s="19"/>
      <c r="G11801" s="20"/>
      <c r="H11801" s="217"/>
    </row>
    <row r="11802" spans="1:8" ht="15">
      <c r="A11802" s="211" t="s">
        <v>488</v>
      </c>
      <c r="B11802" s="216" t="str">
        <f ca="1">_xlfn.CONCAT(B11796,A11802)</f>
        <v>BFA14CA-E</v>
      </c>
      <c r="C11802" s="17"/>
      <c r="D11802" s="184"/>
      <c r="E11802" s="197"/>
      <c r="F11802" s="19"/>
      <c r="G11802" s="20"/>
      <c r="H11802" s="217"/>
    </row>
    <row r="11803" spans="1:8" ht="15">
      <c r="A11803" s="211" t="s">
        <v>489</v>
      </c>
      <c r="B11803" s="216" t="str">
        <f ca="1">_xlfn.CONCAT(B11796,A11803)</f>
        <v>BFA14CA-F</v>
      </c>
      <c r="C11803" s="17"/>
      <c r="D11803" s="184"/>
      <c r="E11803" s="197"/>
      <c r="F11803" s="19"/>
      <c r="G11803" s="20"/>
      <c r="H11803" s="217"/>
    </row>
    <row r="11804" spans="1:8" ht="15">
      <c r="A11804" s="211" t="s">
        <v>490</v>
      </c>
      <c r="B11804" s="216" t="str">
        <f ca="1">_xlfn.CONCAT(B11796,A11804)</f>
        <v>BFA14CA-G</v>
      </c>
      <c r="C11804" s="17"/>
      <c r="D11804" s="184"/>
      <c r="E11804" s="197"/>
      <c r="F11804" s="19"/>
      <c r="G11804" s="20"/>
      <c r="H11804" s="217"/>
    </row>
    <row r="11805" spans="1:8">
      <c r="A11805" s="211" t="s">
        <v>491</v>
      </c>
      <c r="B11805" s="216" t="str">
        <f ca="1">_xlfn.CONCAT(B11796,A11805)</f>
        <v>BFA14CA-H</v>
      </c>
      <c r="C11805" s="17"/>
      <c r="D11805" s="184"/>
      <c r="E11805" s="197"/>
      <c r="F11805" s="19"/>
      <c r="G11805" s="20"/>
    </row>
    <row r="11806" spans="1:8">
      <c r="A11806" s="211" t="s">
        <v>492</v>
      </c>
      <c r="B11806" s="216" t="str">
        <f ca="1">_xlfn.CONCAT(B11796,A11806)</f>
        <v>BFA14CA-I</v>
      </c>
      <c r="C11806" s="17"/>
      <c r="D11806" s="184"/>
      <c r="E11806" s="197"/>
      <c r="F11806" s="19"/>
      <c r="G11806" s="20"/>
    </row>
    <row r="11807" spans="1:8">
      <c r="A11807" s="211" t="s">
        <v>493</v>
      </c>
      <c r="B11807" s="216" t="str">
        <f ca="1">_xlfn.CONCAT(B11796,A11807)</f>
        <v>BFA14CA-J</v>
      </c>
      <c r="C11807" s="17"/>
      <c r="D11807" s="184"/>
      <c r="E11807" s="197"/>
      <c r="F11807" s="19"/>
      <c r="G11807" s="20"/>
    </row>
    <row r="11808" spans="1:8">
      <c r="A11808" s="211" t="s">
        <v>494</v>
      </c>
      <c r="B11808" s="216" t="str">
        <f ca="1">_xlfn.CONCAT(B11796,A11808)</f>
        <v>BFA14CA-K</v>
      </c>
      <c r="C11808" s="17"/>
      <c r="D11808" s="184"/>
      <c r="E11808" s="197"/>
      <c r="F11808" s="19"/>
      <c r="G11808" s="20"/>
    </row>
    <row r="11809" spans="1:8">
      <c r="A11809" s="211" t="s">
        <v>495</v>
      </c>
      <c r="B11809" s="216" t="str">
        <f ca="1">_xlfn.CONCAT(B11796,A11809)</f>
        <v>BFA14CA-L</v>
      </c>
      <c r="C11809" s="17"/>
      <c r="D11809" s="184"/>
      <c r="E11809" s="197"/>
      <c r="F11809" s="19"/>
      <c r="G11809" s="20"/>
    </row>
    <row r="11810" spans="1:8">
      <c r="A11810" s="211" t="s">
        <v>496</v>
      </c>
      <c r="B11810" s="216" t="str">
        <f ca="1">_xlfn.CONCAT(B11796,A11810)</f>
        <v>BFA14CA-M</v>
      </c>
      <c r="C11810" s="17"/>
      <c r="D11810" s="184"/>
      <c r="E11810" s="197"/>
      <c r="F11810" s="19"/>
      <c r="G11810" s="20"/>
    </row>
    <row r="11811" spans="1:8">
      <c r="A11811" s="211" t="s">
        <v>497</v>
      </c>
      <c r="B11811" s="216" t="str">
        <f ca="1">_xlfn.CONCAT(B11796,A11811)</f>
        <v>BFA14CA-N</v>
      </c>
      <c r="C11811" s="17"/>
      <c r="D11811" s="184"/>
      <c r="E11811" s="197"/>
      <c r="F11811" s="19"/>
      <c r="G11811" s="20"/>
    </row>
    <row r="11812" spans="1:8">
      <c r="A11812" s="211" t="s">
        <v>498</v>
      </c>
      <c r="B11812" s="216" t="str">
        <f ca="1">_xlfn.CONCAT(B11796,A11812)</f>
        <v>BFA14CA-O</v>
      </c>
      <c r="C11812" s="17"/>
      <c r="D11812" s="184"/>
      <c r="E11812" s="197"/>
      <c r="F11812" s="19"/>
      <c r="G11812" s="20"/>
    </row>
    <row r="11813" spans="1:8">
      <c r="A11813" s="211" t="s">
        <v>499</v>
      </c>
      <c r="B11813" s="216" t="str">
        <f ca="1">_xlfn.CONCAT(B11796,A11813)</f>
        <v>BFA14CA-P</v>
      </c>
      <c r="C11813" s="17"/>
      <c r="D11813" s="184"/>
      <c r="E11813" s="197"/>
      <c r="F11813" s="19"/>
      <c r="G11813" s="20"/>
    </row>
    <row r="11814" spans="1:8">
      <c r="A11814" s="211" t="s">
        <v>500</v>
      </c>
      <c r="B11814" s="216" t="str">
        <f ca="1">_xlfn.CONCAT(B11796,A11814)</f>
        <v>BFA14CA-Q</v>
      </c>
      <c r="C11814" s="17"/>
      <c r="D11814" s="184"/>
      <c r="E11814" s="197"/>
      <c r="F11814" s="19"/>
      <c r="G11814" s="20"/>
    </row>
    <row r="11815" spans="1:8">
      <c r="A11815" s="211" t="s">
        <v>501</v>
      </c>
      <c r="B11815" s="216" t="str">
        <f ca="1">_xlfn.CONCAT(B11796,A11815)</f>
        <v>BFA14CA-R</v>
      </c>
      <c r="C11815" s="17"/>
      <c r="D11815" s="184"/>
      <c r="E11815" s="197"/>
      <c r="F11815" s="19"/>
      <c r="G11815" s="20"/>
    </row>
    <row r="11816" spans="1:8">
      <c r="A11816" s="211" t="s">
        <v>502</v>
      </c>
      <c r="B11816" s="216" t="str">
        <f ca="1">_xlfn.CONCAT(B11796,A11816)</f>
        <v>BFA14CA-S</v>
      </c>
      <c r="C11816" s="17"/>
      <c r="D11816" s="184"/>
      <c r="E11816" s="197"/>
      <c r="F11816" s="19"/>
      <c r="G11816" s="20"/>
    </row>
    <row r="11817" spans="1:8">
      <c r="A11817" s="211" t="s">
        <v>503</v>
      </c>
      <c r="B11817" s="216" t="str">
        <f ca="1">_xlfn.CONCAT(B11796,A11817)</f>
        <v>BFA14CA-T</v>
      </c>
      <c r="C11817" s="17"/>
      <c r="D11817" s="184"/>
      <c r="E11817" s="197"/>
      <c r="F11817" s="19"/>
      <c r="G11817" s="20"/>
    </row>
    <row r="11818" spans="1:8" ht="14.25" thickBot="1">
      <c r="A11818" s="211" t="s">
        <v>504</v>
      </c>
      <c r="B11818" s="216" t="str">
        <f ca="1">_xlfn.CONCAT(B11796,A11818)</f>
        <v>BFA14CA-U</v>
      </c>
      <c r="C11818" s="17"/>
      <c r="D11818" s="184"/>
      <c r="E11818" s="197"/>
      <c r="F11818" s="19"/>
      <c r="G11818" s="20"/>
    </row>
    <row r="11819" spans="1:8" ht="14.25" thickBot="1">
      <c r="A11819" s="211" t="s">
        <v>505</v>
      </c>
      <c r="B11819" s="216" t="str">
        <f ca="1">_xlfn.CONCAT(B11796,A11819)</f>
        <v>BFA14CA-V</v>
      </c>
      <c r="C11819" s="17" t="s">
        <v>17</v>
      </c>
      <c r="D11819" s="192" t="s">
        <v>17</v>
      </c>
      <c r="E11819" s="18"/>
      <c r="F11819" s="22" t="s">
        <v>18</v>
      </c>
      <c r="G11819" s="23">
        <f>SUM(G11798:G11818)</f>
        <v>395864.25</v>
      </c>
    </row>
    <row r="11820" spans="1:8" ht="15.75" thickBot="1">
      <c r="A11820" s="211" t="s">
        <v>506</v>
      </c>
      <c r="B11820" s="216" t="str">
        <f ca="1">_xlfn.CONCAT(B11796,A11820)</f>
        <v>BFA14CA-W</v>
      </c>
      <c r="C11820" s="10" t="s">
        <v>19</v>
      </c>
      <c r="D11820" s="190"/>
      <c r="E11820" s="11"/>
      <c r="F11820" s="12"/>
      <c r="G11820" s="13"/>
    </row>
    <row r="11821" spans="1:8" ht="14.25" thickBot="1">
      <c r="A11821" s="211" t="s">
        <v>507</v>
      </c>
      <c r="B11821" s="216" t="str">
        <f ca="1">_xlfn.CONCAT(B11796,A11821)</f>
        <v>BFA14CA-X</v>
      </c>
      <c r="C11821" s="14" t="s">
        <v>1</v>
      </c>
      <c r="D11821" s="15"/>
      <c r="E11821" s="15" t="s">
        <v>20</v>
      </c>
      <c r="F11821" s="16" t="s">
        <v>21</v>
      </c>
      <c r="G11821" s="15" t="s">
        <v>5</v>
      </c>
      <c r="H11821" s="215"/>
    </row>
    <row r="11822" spans="1:8">
      <c r="A11822" s="211" t="s">
        <v>508</v>
      </c>
      <c r="B11822" s="216" t="str">
        <f ca="1">_xlfn.CONCAT(B11796,A11822)</f>
        <v>BFA14CA-Y</v>
      </c>
      <c r="C11822" s="24" t="s">
        <v>22</v>
      </c>
      <c r="D11822" s="184"/>
      <c r="E11822" s="25">
        <f>_xlfn.XLOOKUP(C11822,'H-MO'!B$7:B$30,'H-MO'!D$7:D$30,,0,1)</f>
        <v>2436.5624999999995</v>
      </c>
      <c r="F11822" s="19">
        <v>0.55000000000000004</v>
      </c>
      <c r="G11822" s="33">
        <f t="shared" ref="G11822:G11827" si="345">+E11822*F11822</f>
        <v>1340.1093749999998</v>
      </c>
    </row>
    <row r="11823" spans="1:8">
      <c r="A11823" s="211" t="s">
        <v>509</v>
      </c>
      <c r="B11823" s="216" t="str">
        <f ca="1">_xlfn.CONCAT(B11796,A11823)</f>
        <v>BFA14CA-Z</v>
      </c>
      <c r="C11823" s="24" t="s">
        <v>23</v>
      </c>
      <c r="D11823" s="184"/>
      <c r="E11823" s="25">
        <f>_xlfn.XLOOKUP(C11823,'H-MO'!B$7:B$30,'H-MO'!D$7:D$30,,0,1)</f>
        <v>1461.9374999999998</v>
      </c>
      <c r="F11823" s="19">
        <v>0.2</v>
      </c>
      <c r="G11823" s="33">
        <f t="shared" si="345"/>
        <v>292.38749999999999</v>
      </c>
    </row>
    <row r="11824" spans="1:8">
      <c r="A11824" s="211" t="s">
        <v>510</v>
      </c>
      <c r="B11824" s="216" t="str">
        <f ca="1">_xlfn.CONCAT(B11796,A11824)</f>
        <v>BFA14CA-aa</v>
      </c>
      <c r="C11824" s="24" t="s">
        <v>24</v>
      </c>
      <c r="D11824" s="185"/>
      <c r="E11824" s="25">
        <f>_xlfn.XLOOKUP(C11824,'H-MO'!B$7:B$30,'H-MO'!D$7:D$30,,0,1)</f>
        <v>29238.749999999996</v>
      </c>
      <c r="F11824" s="28">
        <v>2.5999999999999999E-2</v>
      </c>
      <c r="G11824" s="33">
        <f t="shared" si="345"/>
        <v>760.20749999999987</v>
      </c>
    </row>
    <row r="11825" spans="1:8">
      <c r="A11825" s="211" t="s">
        <v>511</v>
      </c>
      <c r="B11825" s="216" t="str">
        <f ca="1">_xlfn.CONCAT(B11796,A11825)</f>
        <v>BFA14CA-ab</v>
      </c>
      <c r="C11825" s="24" t="s">
        <v>25</v>
      </c>
      <c r="D11825" s="185"/>
      <c r="E11825" s="25">
        <f>_xlfn.XLOOKUP(C11825,'H-MO'!B$7:B$30,'H-MO'!D$7:D$30,,0,1)</f>
        <v>2761.4374999999995</v>
      </c>
      <c r="F11825" s="28">
        <v>0.1</v>
      </c>
      <c r="G11825" s="33">
        <f t="shared" si="345"/>
        <v>276.14374999999995</v>
      </c>
    </row>
    <row r="11826" spans="1:8">
      <c r="A11826" s="211" t="s">
        <v>512</v>
      </c>
      <c r="B11826" s="216" t="str">
        <f ca="1">_xlfn.CONCAT(B11796,A11826)</f>
        <v>BFA14CA-ac</v>
      </c>
      <c r="C11826" s="24"/>
      <c r="D11826" s="185"/>
      <c r="E11826" s="29"/>
      <c r="F11826" s="28"/>
      <c r="G11826" s="33">
        <f t="shared" si="345"/>
        <v>0</v>
      </c>
    </row>
    <row r="11827" spans="1:8" ht="14.25" thickBot="1">
      <c r="A11827" s="211" t="s">
        <v>513</v>
      </c>
      <c r="B11827" s="216" t="str">
        <f ca="1">_xlfn.CONCAT(B11796,A11827)</f>
        <v>BFA14CA-ad</v>
      </c>
      <c r="C11827" s="24"/>
      <c r="D11827" s="185"/>
      <c r="E11827" s="29"/>
      <c r="F11827" s="28"/>
      <c r="G11827" s="33">
        <f t="shared" si="345"/>
        <v>0</v>
      </c>
    </row>
    <row r="11828" spans="1:8" ht="14.25" thickBot="1">
      <c r="A11828" s="211" t="s">
        <v>514</v>
      </c>
      <c r="B11828" s="216" t="str">
        <f ca="1">_xlfn.CONCAT(B11796,A11828)</f>
        <v>BFA14CA-ae</v>
      </c>
      <c r="C11828" s="17"/>
      <c r="D11828" s="192"/>
      <c r="E11828" s="18"/>
      <c r="F11828" s="22" t="s">
        <v>26</v>
      </c>
      <c r="G11828" s="23">
        <f>SUM(G11822:G11827)</f>
        <v>2668.8481249999995</v>
      </c>
    </row>
    <row r="11829" spans="1:8" ht="15.75" thickBot="1">
      <c r="A11829" s="211" t="s">
        <v>515</v>
      </c>
      <c r="B11829" s="216" t="str">
        <f ca="1">_xlfn.CONCAT(B11796,A11829)</f>
        <v>BFA14CA-af</v>
      </c>
      <c r="C11829" s="10" t="s">
        <v>27</v>
      </c>
      <c r="D11829" s="190"/>
      <c r="E11829" s="11"/>
      <c r="F11829" s="12"/>
      <c r="G11829" s="13"/>
    </row>
    <row r="11830" spans="1:8" ht="14.25" thickBot="1">
      <c r="A11830" s="211" t="s">
        <v>516</v>
      </c>
      <c r="B11830" s="216" t="str">
        <f ca="1">_xlfn.CONCAT(B11796,A11830)</f>
        <v>BFA14CA-ag</v>
      </c>
      <c r="C11830" s="14" t="s">
        <v>1</v>
      </c>
      <c r="D11830" s="15" t="s">
        <v>28</v>
      </c>
      <c r="E11830" s="15" t="s">
        <v>20</v>
      </c>
      <c r="F11830" s="16" t="s">
        <v>21</v>
      </c>
      <c r="G11830" s="15" t="s">
        <v>5</v>
      </c>
      <c r="H11830" s="215"/>
    </row>
    <row r="11831" spans="1:8">
      <c r="A11831" s="211" t="s">
        <v>517</v>
      </c>
      <c r="B11831" s="216" t="str">
        <f ca="1">_xlfn.CONCAT(B11796,A11831)</f>
        <v>BFA14CA-ah</v>
      </c>
      <c r="C11831" s="30" t="s">
        <v>29</v>
      </c>
      <c r="D11831" s="186">
        <f>'H-MO'!$N$77</f>
        <v>725918.52892505517</v>
      </c>
      <c r="E11831" s="31">
        <f>+D11831/8</f>
        <v>90739.816115631897</v>
      </c>
      <c r="F11831" s="32">
        <v>0.55000000000000004</v>
      </c>
      <c r="G11831" s="33">
        <f>+E11831*F11831</f>
        <v>49906.898863597547</v>
      </c>
    </row>
    <row r="11832" spans="1:8">
      <c r="A11832" s="211" t="s">
        <v>518</v>
      </c>
      <c r="B11832" s="216" t="str">
        <f ca="1">_xlfn.CONCAT(B11796,A11832)</f>
        <v>BFA14CA-ai</v>
      </c>
      <c r="C11832" s="34" t="s">
        <v>30</v>
      </c>
      <c r="D11832" s="187">
        <f>'H-MO'!$N$86</f>
        <v>685561.39085756091</v>
      </c>
      <c r="E11832" s="29">
        <f>+D11832/8</f>
        <v>85695.173857195114</v>
      </c>
      <c r="F11832" s="28">
        <v>0</v>
      </c>
      <c r="G11832" s="33">
        <f>+E11832*F11832</f>
        <v>0</v>
      </c>
    </row>
    <row r="11833" spans="1:8" ht="14.25" thickBot="1">
      <c r="A11833" s="211" t="s">
        <v>519</v>
      </c>
      <c r="B11833" s="216" t="str">
        <f ca="1">_xlfn.CONCAT(B11796,A11833)</f>
        <v>BFA14CA-aj</v>
      </c>
      <c r="C11833" s="34"/>
      <c r="D11833" s="187"/>
      <c r="E11833" s="29"/>
      <c r="F11833" s="28"/>
      <c r="G11833" s="33">
        <f>+E11833*F11833</f>
        <v>0</v>
      </c>
    </row>
    <row r="11834" spans="1:8" ht="14.25" thickBot="1">
      <c r="A11834" s="211" t="s">
        <v>520</v>
      </c>
      <c r="B11834" s="216" t="str">
        <f ca="1">_xlfn.CONCAT(B11796,A11834)</f>
        <v>BFA14CA-ak</v>
      </c>
      <c r="C11834" s="34"/>
      <c r="D11834" s="185"/>
      <c r="E11834" s="26"/>
      <c r="F11834" s="36" t="s">
        <v>31</v>
      </c>
      <c r="G11834" s="23">
        <f>SUM(G11831:G11833)</f>
        <v>49906.898863597547</v>
      </c>
    </row>
    <row r="11835" spans="1:8" ht="14.25" thickBot="1">
      <c r="A11835" s="211" t="s">
        <v>521</v>
      </c>
      <c r="B11835" s="216" t="str">
        <f ca="1">_xlfn.CONCAT(B11796,A11835)</f>
        <v>BFA14CA-al</v>
      </c>
      <c r="C11835" s="37"/>
      <c r="E11835" s="38"/>
      <c r="F11835" s="22"/>
      <c r="G11835" s="39"/>
    </row>
    <row r="11836" spans="1:8" ht="16.5" thickBot="1">
      <c r="A11836" s="211" t="s">
        <v>522</v>
      </c>
      <c r="B11836" s="216" t="str">
        <f ca="1">_xlfn.CONCAT(B11796,A11836)</f>
        <v>BFA14CA-am</v>
      </c>
      <c r="C11836" s="40"/>
      <c r="D11836" s="193"/>
      <c r="E11836" s="41"/>
      <c r="F11836" s="42"/>
      <c r="G11836" s="43">
        <f>+G11819+G11828+G11834</f>
        <v>448439.99698859756</v>
      </c>
    </row>
    <row r="11837" spans="1:8" ht="21.75" thickBot="1">
      <c r="B11837" s="212" t="s">
        <v>550</v>
      </c>
      <c r="C11837" s="2"/>
      <c r="D11837" s="183"/>
      <c r="F11837" s="4"/>
      <c r="G11837" s="5"/>
    </row>
    <row r="11838" spans="1:8" ht="18.75">
      <c r="A11838" s="213"/>
      <c r="B11838" s="214">
        <v>269</v>
      </c>
      <c r="C11838" s="242" t="str">
        <f ca="1">_xlfn.XLOOKUP(B11838,Cantidades!$A$10:$A$314,Cantidades!$C$10:$C$314,,0,1)</f>
        <v>Salida iluminacion en tuberia EMT 3/4, promedio 6m.</v>
      </c>
      <c r="D11838" s="243"/>
      <c r="E11838" s="243"/>
      <c r="F11838" s="243"/>
      <c r="G11838" s="244"/>
      <c r="H11838" s="213"/>
    </row>
    <row r="11839" spans="1:8" ht="19.5" thickBot="1">
      <c r="A11839" s="215"/>
      <c r="B11839" s="216" t="s">
        <v>550</v>
      </c>
      <c r="C11839" s="177"/>
      <c r="D11839" s="189"/>
      <c r="E11839" s="178"/>
      <c r="F11839" s="179" t="s">
        <v>636</v>
      </c>
      <c r="G11839" s="209" t="str">
        <f ca="1">B11840</f>
        <v>667086D-</v>
      </c>
      <c r="H11839" s="215"/>
    </row>
    <row r="11840" spans="1:8" ht="15.75" thickBot="1">
      <c r="B11840" s="212" t="str">
        <f ca="1">_xlfn.XLOOKUP(C11838,Cantidades!$C$1:$C$314,Cantidades!$B$1:$B$314,"",0,1)</f>
        <v>667086D-</v>
      </c>
      <c r="C11840" s="10" t="s">
        <v>0</v>
      </c>
      <c r="D11840" s="190"/>
      <c r="E11840" s="11"/>
      <c r="F11840" s="12"/>
      <c r="G11840" s="13"/>
    </row>
    <row r="11841" spans="1:8" ht="14.25" thickBot="1">
      <c r="A11841" s="215"/>
      <c r="B11841" s="216" t="s">
        <v>550</v>
      </c>
      <c r="C11841" s="14" t="s">
        <v>1</v>
      </c>
      <c r="D11841" s="15" t="s">
        <v>2</v>
      </c>
      <c r="E11841" s="15" t="s">
        <v>3</v>
      </c>
      <c r="F11841" s="16" t="s">
        <v>4</v>
      </c>
      <c r="G11841" s="15" t="s">
        <v>5</v>
      </c>
      <c r="H11841" s="215"/>
    </row>
    <row r="11842" spans="1:8">
      <c r="A11842" s="211" t="s">
        <v>484</v>
      </c>
      <c r="B11842" s="216" t="str">
        <f ca="1">_xlfn.CONCAT(B11840,A11842)</f>
        <v>667086D-A</v>
      </c>
      <c r="C11842" s="17" t="str">
        <f>_xlfn.XLOOKUP(H11842,'Materiales unitario'!$A$1:$A$2500,'Materiales unitario'!B$1:B$2500,,0,1)</f>
        <v>Tubo metálico ø3/4" EMT</v>
      </c>
      <c r="D11842" s="184" t="str">
        <f>_xlfn.XLOOKUP(H11842,'Materiales unitario'!A$1:A$2500,'Materiales unitario'!C$1:C$2500,,0,1)</f>
        <v>ml</v>
      </c>
      <c r="E11842" s="197">
        <f>_xlfn.XLOOKUP(H11842,'Materiales unitario'!$A$1:$A$2500,'Materiales unitario'!D$1:D$2500,,0,1)</f>
        <v>11733</v>
      </c>
      <c r="F11842" s="19">
        <v>6.5</v>
      </c>
      <c r="G11842" s="20">
        <f t="shared" ref="G11842:G11850" si="346">+E11842*F11842</f>
        <v>76264.5</v>
      </c>
      <c r="H11842" s="211" t="s">
        <v>388</v>
      </c>
    </row>
    <row r="11843" spans="1:8">
      <c r="A11843" s="211" t="s">
        <v>485</v>
      </c>
      <c r="B11843" s="216" t="str">
        <f ca="1">_xlfn.CONCAT(B11840,A11843)</f>
        <v>667086D-B</v>
      </c>
      <c r="C11843" s="17" t="str">
        <f>_xlfn.XLOOKUP(H11843,'Materiales unitario'!$A$1:$A$2500,'Materiales unitario'!B$1:B$2500,,0,1)</f>
        <v>Unión metálica ø3/4" EMT</v>
      </c>
      <c r="D11843" s="184" t="str">
        <f>_xlfn.XLOOKUP(H11843,'Materiales unitario'!A$1:A$2500,'Materiales unitario'!C$1:C$2500,,0,1)</f>
        <v>un</v>
      </c>
      <c r="E11843" s="197">
        <f>_xlfn.XLOOKUP(H11843,'Materiales unitario'!$A$1:$A$2500,'Materiales unitario'!D$1:D$2500,,0,1)</f>
        <v>1800</v>
      </c>
      <c r="F11843" s="19">
        <v>2</v>
      </c>
      <c r="G11843" s="20">
        <f t="shared" si="346"/>
        <v>3600</v>
      </c>
      <c r="H11843" s="211" t="s">
        <v>392</v>
      </c>
    </row>
    <row r="11844" spans="1:8">
      <c r="A11844" s="211" t="s">
        <v>486</v>
      </c>
      <c r="B11844" s="216" t="str">
        <f ca="1">_xlfn.CONCAT(B11840,A11844)</f>
        <v>667086D-C</v>
      </c>
      <c r="C11844" s="17" t="str">
        <f>_xlfn.XLOOKUP(H11844,'Materiales unitario'!$A$1:$A$2500,'Materiales unitario'!B$1:B$2500,,0,1)</f>
        <v xml:space="preserve">Terminal metálico ø3/4" EMT </v>
      </c>
      <c r="D11844" s="184" t="str">
        <f>_xlfn.XLOOKUP(H11844,'Materiales unitario'!A$1:A$2500,'Materiales unitario'!C$1:C$2500,,0,1)</f>
        <v>un</v>
      </c>
      <c r="E11844" s="197">
        <f>_xlfn.XLOOKUP(H11844,'Materiales unitario'!$A$1:$A$2500,'Materiales unitario'!D$1:D$2500,,0,1)</f>
        <v>2200</v>
      </c>
      <c r="F11844" s="19">
        <v>2</v>
      </c>
      <c r="G11844" s="20">
        <f t="shared" si="346"/>
        <v>4400</v>
      </c>
      <c r="H11844" s="211" t="s">
        <v>371</v>
      </c>
    </row>
    <row r="11845" spans="1:8">
      <c r="A11845" s="211" t="s">
        <v>487</v>
      </c>
      <c r="B11845" s="216" t="str">
        <f ca="1">_xlfn.CONCAT(B11840,A11845)</f>
        <v>667086D-D</v>
      </c>
      <c r="C11845" s="17" t="str">
        <f>_xlfn.XLOOKUP(H11845,'Materiales unitario'!$A$1:$A$2500,'Materiales unitario'!B$1:B$2500,,0,1)</f>
        <v xml:space="preserve">Soporte Metálico Uniestruc Tubería ø3/4" </v>
      </c>
      <c r="D11845" s="184" t="str">
        <f>_xlfn.XLOOKUP(H11845,'Materiales unitario'!A$1:A$2500,'Materiales unitario'!C$1:C$2500,,0,1)</f>
        <v>un</v>
      </c>
      <c r="E11845" s="197">
        <f>_xlfn.XLOOKUP(H11845,'Materiales unitario'!$A$1:$A$2500,'Materiales unitario'!D$1:D$2500,,0,1)</f>
        <v>630</v>
      </c>
      <c r="F11845" s="19">
        <v>3</v>
      </c>
      <c r="G11845" s="20">
        <f t="shared" si="346"/>
        <v>1890</v>
      </c>
      <c r="H11845" s="211" t="s">
        <v>356</v>
      </c>
    </row>
    <row r="11846" spans="1:8">
      <c r="A11846" s="211" t="s">
        <v>488</v>
      </c>
      <c r="B11846" s="216" t="str">
        <f ca="1">_xlfn.CONCAT(B11840,A11846)</f>
        <v>667086D-E</v>
      </c>
      <c r="C11846" s="17" t="str">
        <f>_xlfn.XLOOKUP(H11846,'Materiales unitario'!$A$1:$A$2500,'Materiales unitario'!B$1:B$2500,,0,1)</f>
        <v>Alambre de cobre desnudo #12 AWG-ED</v>
      </c>
      <c r="D11846" s="184" t="str">
        <f>_xlfn.XLOOKUP(H11846,'Materiales unitario'!A$1:A$2500,'Materiales unitario'!C$1:C$2500,,0,1)</f>
        <v>ml</v>
      </c>
      <c r="E11846" s="197">
        <f>_xlfn.XLOOKUP(H11846,'Materiales unitario'!$A$1:$A$2500,'Materiales unitario'!D$1:D$2500,,0,1)</f>
        <v>2558.5</v>
      </c>
      <c r="F11846" s="19">
        <v>7</v>
      </c>
      <c r="G11846" s="20">
        <f t="shared" si="346"/>
        <v>17909.5</v>
      </c>
      <c r="H11846" s="211" t="s">
        <v>227</v>
      </c>
    </row>
    <row r="11847" spans="1:8">
      <c r="A11847" s="211" t="s">
        <v>489</v>
      </c>
      <c r="B11847" s="216" t="str">
        <f ca="1">_xlfn.CONCAT(B11840,A11847)</f>
        <v>667086D-F</v>
      </c>
      <c r="C11847" s="17" t="str">
        <f>_xlfn.XLOOKUP(H11847,'Materiales unitario'!$A$1:$A$2500,'Materiales unitario'!B$1:B$2500,,0,1)</f>
        <v>Alambre de cobre aislado #12 AWG-THHN/THWN Color negro</v>
      </c>
      <c r="D11847" s="184" t="str">
        <f>_xlfn.XLOOKUP(H11847,'Materiales unitario'!A$1:A$2500,'Materiales unitario'!C$1:C$2500,,0,1)</f>
        <v>ml</v>
      </c>
      <c r="E11847" s="197">
        <f>_xlfn.XLOOKUP(H11847,'Materiales unitario'!$A$1:$A$2500,'Materiales unitario'!D$1:D$2500,,0,1)</f>
        <v>2975</v>
      </c>
      <c r="F11847" s="19">
        <v>14</v>
      </c>
      <c r="G11847" s="20">
        <f t="shared" si="346"/>
        <v>41650</v>
      </c>
      <c r="H11847" s="211" t="s">
        <v>524</v>
      </c>
    </row>
    <row r="11848" spans="1:8">
      <c r="A11848" s="211" t="s">
        <v>490</v>
      </c>
      <c r="B11848" s="216" t="str">
        <f ca="1">_xlfn.CONCAT(B11840,A11848)</f>
        <v>667086D-G</v>
      </c>
      <c r="C11848" s="17" t="str">
        <f>_xlfn.XLOOKUP(H11848,'Materiales unitario'!$A$1:$A$2500,'Materiales unitario'!B$1:B$2500,,0,1)</f>
        <v>Conector de resorte rojo "R" 18-10 AWG</v>
      </c>
      <c r="D11848" s="184" t="str">
        <f>_xlfn.XLOOKUP(H11848,'Materiales unitario'!A$1:A$2500,'Materiales unitario'!C$1:C$2500,,0,1)</f>
        <v>un</v>
      </c>
      <c r="E11848" s="197">
        <f>_xlfn.XLOOKUP(H11848,'Materiales unitario'!$A$1:$A$2500,'Materiales unitario'!D$1:D$2500,,0,1)</f>
        <v>280</v>
      </c>
      <c r="F11848" s="19">
        <v>3</v>
      </c>
      <c r="G11848" s="20">
        <f t="shared" si="346"/>
        <v>840</v>
      </c>
      <c r="H11848" s="211" t="s">
        <v>302</v>
      </c>
    </row>
    <row r="11849" spans="1:8">
      <c r="A11849" s="211" t="s">
        <v>491</v>
      </c>
      <c r="B11849" s="216" t="str">
        <f ca="1">_xlfn.CONCAT(B11840,A11849)</f>
        <v>667086D-H</v>
      </c>
      <c r="C11849" s="17" t="str">
        <f>_xlfn.XLOOKUP(H11849,'Materiales unitario'!$A$1:$A$2500,'Materiales unitario'!B$1:B$2500,,0,1)</f>
        <v xml:space="preserve">Caja galvanizada ref. 2400 + suplemento (Cal. 20) </v>
      </c>
      <c r="D11849" s="184" t="str">
        <f>_xlfn.XLOOKUP(H11849,'Materiales unitario'!A$1:A$2500,'Materiales unitario'!C$1:C$2500,,0,1)</f>
        <v>un</v>
      </c>
      <c r="E11849" s="197">
        <f>_xlfn.XLOOKUP(H11849,'Materiales unitario'!$A$1:$A$2500,'Materiales unitario'!D$1:D$2500,,0,1)</f>
        <v>4522</v>
      </c>
      <c r="F11849" s="19">
        <v>1</v>
      </c>
      <c r="G11849" s="20">
        <f t="shared" si="346"/>
        <v>4522</v>
      </c>
      <c r="H11849" s="211" t="s">
        <v>283</v>
      </c>
    </row>
    <row r="11850" spans="1:8">
      <c r="A11850" s="211" t="s">
        <v>492</v>
      </c>
      <c r="B11850" s="216" t="str">
        <f ca="1">_xlfn.CONCAT(B11840,A11850)</f>
        <v>667086D-I</v>
      </c>
      <c r="C11850" s="17" t="str">
        <f>_xlfn.XLOOKUP(H11850,'Materiales unitario'!$A$1:$A$2500,'Materiales unitario'!B$1:B$2500,,0,1)</f>
        <v>Marquillas para circuito</v>
      </c>
      <c r="D11850" s="184" t="str">
        <f>_xlfn.XLOOKUP(H11850,'Materiales unitario'!A$1:A$2500,'Materiales unitario'!C$1:C$2500,,0,1)</f>
        <v>un</v>
      </c>
      <c r="E11850" s="197">
        <f>_xlfn.XLOOKUP(H11850,'Materiales unitario'!$A$1:$A$2500,'Materiales unitario'!D$1:D$2500,,0,1)</f>
        <v>1000</v>
      </c>
      <c r="F11850" s="19">
        <v>3</v>
      </c>
      <c r="G11850" s="20">
        <f t="shared" si="346"/>
        <v>3000</v>
      </c>
      <c r="H11850" s="211" t="s">
        <v>339</v>
      </c>
    </row>
    <row r="11851" spans="1:8">
      <c r="A11851" s="211" t="s">
        <v>493</v>
      </c>
      <c r="B11851" s="216" t="str">
        <f ca="1">_xlfn.CONCAT(B11840,A11851)</f>
        <v>667086D-J</v>
      </c>
      <c r="C11851" s="17"/>
      <c r="D11851" s="184"/>
      <c r="E11851" s="197"/>
      <c r="F11851" s="19"/>
      <c r="G11851" s="20"/>
    </row>
    <row r="11852" spans="1:8">
      <c r="A11852" s="211" t="s">
        <v>494</v>
      </c>
      <c r="B11852" s="216" t="str">
        <f ca="1">_xlfn.CONCAT(B11840,A11852)</f>
        <v>667086D-K</v>
      </c>
      <c r="C11852" s="17"/>
      <c r="D11852" s="184"/>
      <c r="E11852" s="197"/>
      <c r="F11852" s="19"/>
      <c r="G11852" s="20"/>
    </row>
    <row r="11853" spans="1:8">
      <c r="A11853" s="211" t="s">
        <v>495</v>
      </c>
      <c r="B11853" s="216" t="str">
        <f ca="1">_xlfn.CONCAT(B11840,A11853)</f>
        <v>667086D-L</v>
      </c>
      <c r="C11853" s="17"/>
      <c r="D11853" s="184"/>
      <c r="E11853" s="197"/>
      <c r="F11853" s="19"/>
      <c r="G11853" s="20"/>
    </row>
    <row r="11854" spans="1:8">
      <c r="A11854" s="211" t="s">
        <v>496</v>
      </c>
      <c r="B11854" s="216" t="str">
        <f ca="1">_xlfn.CONCAT(B11840,A11854)</f>
        <v>667086D-M</v>
      </c>
      <c r="C11854" s="17"/>
      <c r="D11854" s="184"/>
      <c r="E11854" s="197"/>
      <c r="F11854" s="19"/>
      <c r="G11854" s="20"/>
    </row>
    <row r="11855" spans="1:8">
      <c r="A11855" s="211" t="s">
        <v>497</v>
      </c>
      <c r="B11855" s="216" t="str">
        <f ca="1">_xlfn.CONCAT(B11840,A11855)</f>
        <v>667086D-N</v>
      </c>
      <c r="C11855" s="17"/>
      <c r="D11855" s="184"/>
      <c r="E11855" s="197"/>
      <c r="F11855" s="19"/>
      <c r="G11855" s="20"/>
    </row>
    <row r="11856" spans="1:8">
      <c r="A11856" s="211" t="s">
        <v>498</v>
      </c>
      <c r="B11856" s="216" t="str">
        <f ca="1">_xlfn.CONCAT(B11840,A11856)</f>
        <v>667086D-O</v>
      </c>
      <c r="C11856" s="17"/>
      <c r="D11856" s="184"/>
      <c r="E11856" s="197"/>
      <c r="F11856" s="19"/>
      <c r="G11856" s="20"/>
    </row>
    <row r="11857" spans="1:8">
      <c r="A11857" s="211" t="s">
        <v>499</v>
      </c>
      <c r="B11857" s="216" t="str">
        <f ca="1">_xlfn.CONCAT(B11840,A11857)</f>
        <v>667086D-P</v>
      </c>
      <c r="C11857" s="17"/>
      <c r="D11857" s="184"/>
      <c r="E11857" s="197"/>
      <c r="F11857" s="19"/>
      <c r="G11857" s="20"/>
    </row>
    <row r="11858" spans="1:8">
      <c r="A11858" s="211" t="s">
        <v>500</v>
      </c>
      <c r="B11858" s="216" t="str">
        <f ca="1">_xlfn.CONCAT(B11840,A11858)</f>
        <v>667086D-Q</v>
      </c>
      <c r="C11858" s="17"/>
      <c r="D11858" s="184"/>
      <c r="E11858" s="197"/>
      <c r="F11858" s="19"/>
      <c r="G11858" s="20"/>
    </row>
    <row r="11859" spans="1:8">
      <c r="A11859" s="211" t="s">
        <v>501</v>
      </c>
      <c r="B11859" s="216" t="str">
        <f ca="1">_xlfn.CONCAT(B11840,A11859)</f>
        <v>667086D-R</v>
      </c>
      <c r="C11859" s="17"/>
      <c r="D11859" s="184"/>
      <c r="E11859" s="197"/>
      <c r="F11859" s="19"/>
      <c r="G11859" s="20"/>
    </row>
    <row r="11860" spans="1:8">
      <c r="A11860" s="211" t="s">
        <v>502</v>
      </c>
      <c r="B11860" s="216" t="str">
        <f ca="1">_xlfn.CONCAT(B11840,A11860)</f>
        <v>667086D-S</v>
      </c>
      <c r="C11860" s="17"/>
      <c r="D11860" s="184"/>
      <c r="E11860" s="197"/>
      <c r="F11860" s="19"/>
      <c r="G11860" s="20"/>
    </row>
    <row r="11861" spans="1:8">
      <c r="A11861" s="211" t="s">
        <v>503</v>
      </c>
      <c r="B11861" s="216" t="str">
        <f ca="1">_xlfn.CONCAT(B11840,A11861)</f>
        <v>667086D-T</v>
      </c>
      <c r="C11861" s="17"/>
      <c r="D11861" s="184"/>
      <c r="E11861" s="197"/>
      <c r="F11861" s="19"/>
      <c r="G11861" s="20"/>
    </row>
    <row r="11862" spans="1:8" ht="14.25" thickBot="1">
      <c r="A11862" s="211" t="s">
        <v>504</v>
      </c>
      <c r="B11862" s="216" t="str">
        <f ca="1">_xlfn.CONCAT(B11840,A11862)</f>
        <v>667086D-U</v>
      </c>
      <c r="C11862" s="17"/>
      <c r="D11862" s="184"/>
      <c r="E11862" s="197"/>
      <c r="F11862" s="19"/>
      <c r="G11862" s="20"/>
    </row>
    <row r="11863" spans="1:8" ht="14.25" thickBot="1">
      <c r="A11863" s="211" t="s">
        <v>505</v>
      </c>
      <c r="B11863" s="216" t="str">
        <f ca="1">_xlfn.CONCAT(B11840,A11863)</f>
        <v>667086D-V</v>
      </c>
      <c r="C11863" s="17" t="s">
        <v>17</v>
      </c>
      <c r="D11863" s="192" t="s">
        <v>17</v>
      </c>
      <c r="E11863" s="18"/>
      <c r="F11863" s="22" t="s">
        <v>18</v>
      </c>
      <c r="G11863" s="23">
        <f>SUM(G11842:G11862)</f>
        <v>154076</v>
      </c>
    </row>
    <row r="11864" spans="1:8" ht="15.75" thickBot="1">
      <c r="A11864" s="211" t="s">
        <v>506</v>
      </c>
      <c r="B11864" s="216" t="str">
        <f ca="1">_xlfn.CONCAT(B11840,A11864)</f>
        <v>667086D-W</v>
      </c>
      <c r="C11864" s="10" t="s">
        <v>19</v>
      </c>
      <c r="D11864" s="190"/>
      <c r="E11864" s="11"/>
      <c r="F11864" s="12"/>
      <c r="G11864" s="13"/>
    </row>
    <row r="11865" spans="1:8" ht="14.25" thickBot="1">
      <c r="A11865" s="211" t="s">
        <v>507</v>
      </c>
      <c r="B11865" s="216" t="str">
        <f ca="1">_xlfn.CONCAT(B11840,A11865)</f>
        <v>667086D-X</v>
      </c>
      <c r="C11865" s="14" t="s">
        <v>1</v>
      </c>
      <c r="D11865" s="15"/>
      <c r="E11865" s="15" t="s">
        <v>20</v>
      </c>
      <c r="F11865" s="16" t="s">
        <v>21</v>
      </c>
      <c r="G11865" s="15" t="s">
        <v>5</v>
      </c>
      <c r="H11865" s="215"/>
    </row>
    <row r="11866" spans="1:8">
      <c r="A11866" s="211" t="s">
        <v>508</v>
      </c>
      <c r="B11866" s="216" t="str">
        <f ca="1">_xlfn.CONCAT(B11840,A11866)</f>
        <v>667086D-Y</v>
      </c>
      <c r="C11866" s="24" t="s">
        <v>22</v>
      </c>
      <c r="D11866" s="184"/>
      <c r="E11866" s="25">
        <f>_xlfn.XLOOKUP(C11866,'H-MO'!B$7:B$30,'H-MO'!D$7:D$30,,0,1)</f>
        <v>2436.5624999999995</v>
      </c>
      <c r="F11866" s="19">
        <v>0.5</v>
      </c>
      <c r="G11866" s="33">
        <f t="shared" ref="G11866:G11871" si="347">+E11866*F11866</f>
        <v>1218.2812499999998</v>
      </c>
    </row>
    <row r="11867" spans="1:8">
      <c r="A11867" s="211" t="s">
        <v>509</v>
      </c>
      <c r="B11867" s="216" t="str">
        <f ca="1">_xlfn.CONCAT(B11840,A11867)</f>
        <v>667086D-Z</v>
      </c>
      <c r="C11867" s="24" t="s">
        <v>23</v>
      </c>
      <c r="D11867" s="184"/>
      <c r="E11867" s="25">
        <f>_xlfn.XLOOKUP(C11867,'H-MO'!B$7:B$30,'H-MO'!D$7:D$30,,0,1)</f>
        <v>1461.9374999999998</v>
      </c>
      <c r="F11867" s="19">
        <v>9.8000000000000004E-2</v>
      </c>
      <c r="G11867" s="33">
        <f t="shared" si="347"/>
        <v>143.26987499999998</v>
      </c>
    </row>
    <row r="11868" spans="1:8">
      <c r="A11868" s="211" t="s">
        <v>510</v>
      </c>
      <c r="B11868" s="216" t="str">
        <f ca="1">_xlfn.CONCAT(B11840,A11868)</f>
        <v>667086D-aa</v>
      </c>
      <c r="C11868" s="24" t="s">
        <v>24</v>
      </c>
      <c r="D11868" s="185"/>
      <c r="E11868" s="25">
        <f>_xlfn.XLOOKUP(C11868,'H-MO'!B$7:B$30,'H-MO'!D$7:D$30,,0,1)</f>
        <v>29238.749999999996</v>
      </c>
      <c r="F11868" s="28">
        <v>2E-3</v>
      </c>
      <c r="G11868" s="33">
        <f t="shared" si="347"/>
        <v>58.477499999999992</v>
      </c>
    </row>
    <row r="11869" spans="1:8">
      <c r="A11869" s="211" t="s">
        <v>511</v>
      </c>
      <c r="B11869" s="216" t="str">
        <f ca="1">_xlfn.CONCAT(B11840,A11869)</f>
        <v>667086D-ab</v>
      </c>
      <c r="C11869" s="24" t="s">
        <v>25</v>
      </c>
      <c r="D11869" s="185"/>
      <c r="E11869" s="25">
        <f>_xlfn.XLOOKUP(C11869,'H-MO'!B$7:B$30,'H-MO'!D$7:D$30,,0,1)</f>
        <v>2761.4374999999995</v>
      </c>
      <c r="F11869" s="28">
        <v>0.6</v>
      </c>
      <c r="G11869" s="33">
        <f t="shared" si="347"/>
        <v>1656.8624999999997</v>
      </c>
    </row>
    <row r="11870" spans="1:8">
      <c r="A11870" s="211" t="s">
        <v>512</v>
      </c>
      <c r="B11870" s="216" t="str">
        <f ca="1">_xlfn.CONCAT(B11840,A11870)</f>
        <v>667086D-ac</v>
      </c>
      <c r="C11870" s="24"/>
      <c r="D11870" s="185"/>
      <c r="E11870" s="29"/>
      <c r="F11870" s="28"/>
      <c r="G11870" s="33">
        <f t="shared" si="347"/>
        <v>0</v>
      </c>
    </row>
    <row r="11871" spans="1:8" ht="14.25" thickBot="1">
      <c r="A11871" s="211" t="s">
        <v>513</v>
      </c>
      <c r="B11871" s="216" t="str">
        <f ca="1">_xlfn.CONCAT(B11840,A11871)</f>
        <v>667086D-ad</v>
      </c>
      <c r="C11871" s="24"/>
      <c r="D11871" s="185"/>
      <c r="E11871" s="29"/>
      <c r="F11871" s="28"/>
      <c r="G11871" s="33">
        <f t="shared" si="347"/>
        <v>0</v>
      </c>
    </row>
    <row r="11872" spans="1:8" ht="14.25" thickBot="1">
      <c r="A11872" s="211" t="s">
        <v>514</v>
      </c>
      <c r="B11872" s="216" t="str">
        <f ca="1">_xlfn.CONCAT(B11840,A11872)</f>
        <v>667086D-ae</v>
      </c>
      <c r="C11872" s="17"/>
      <c r="D11872" s="192"/>
      <c r="E11872" s="18"/>
      <c r="F11872" s="22" t="s">
        <v>26</v>
      </c>
      <c r="G11872" s="23">
        <f>SUM(G11866:G11871)</f>
        <v>3076.8911249999992</v>
      </c>
    </row>
    <row r="11873" spans="1:8" ht="15.75" thickBot="1">
      <c r="A11873" s="211" t="s">
        <v>515</v>
      </c>
      <c r="B11873" s="216" t="str">
        <f ca="1">_xlfn.CONCAT(B11840,A11873)</f>
        <v>667086D-af</v>
      </c>
      <c r="C11873" s="10" t="s">
        <v>27</v>
      </c>
      <c r="D11873" s="190"/>
      <c r="E11873" s="11"/>
      <c r="F11873" s="12"/>
      <c r="G11873" s="13"/>
    </row>
    <row r="11874" spans="1:8" ht="14.25" thickBot="1">
      <c r="A11874" s="211" t="s">
        <v>516</v>
      </c>
      <c r="B11874" s="216" t="str">
        <f ca="1">_xlfn.CONCAT(B11840,A11874)</f>
        <v>667086D-ag</v>
      </c>
      <c r="C11874" s="14" t="s">
        <v>1</v>
      </c>
      <c r="D11874" s="15" t="s">
        <v>28</v>
      </c>
      <c r="E11874" s="15" t="s">
        <v>20</v>
      </c>
      <c r="F11874" s="16" t="s">
        <v>21</v>
      </c>
      <c r="G11874" s="15" t="s">
        <v>5</v>
      </c>
      <c r="H11874" s="215"/>
    </row>
    <row r="11875" spans="1:8">
      <c r="A11875" s="211" t="s">
        <v>517</v>
      </c>
      <c r="B11875" s="216" t="str">
        <f ca="1">_xlfn.CONCAT(B11840,A11875)</f>
        <v>667086D-ah</v>
      </c>
      <c r="C11875" s="30" t="s">
        <v>29</v>
      </c>
      <c r="D11875" s="186">
        <f>'H-MO'!$N$77</f>
        <v>725918.52892505517</v>
      </c>
      <c r="E11875" s="31">
        <f>+D11875/8</f>
        <v>90739.816115631897</v>
      </c>
      <c r="F11875" s="32">
        <v>0.5</v>
      </c>
      <c r="G11875" s="33">
        <f>+E11875*F11875</f>
        <v>45369.908057815948</v>
      </c>
    </row>
    <row r="11876" spans="1:8">
      <c r="A11876" s="211" t="s">
        <v>518</v>
      </c>
      <c r="B11876" s="216" t="str">
        <f ca="1">_xlfn.CONCAT(B11840,A11876)</f>
        <v>667086D-ai</v>
      </c>
      <c r="C11876" s="34" t="s">
        <v>30</v>
      </c>
      <c r="D11876" s="187">
        <f>'H-MO'!$N$86</f>
        <v>685561.39085756091</v>
      </c>
      <c r="E11876" s="29">
        <f>+D11876/8</f>
        <v>85695.173857195114</v>
      </c>
      <c r="F11876" s="28">
        <v>0</v>
      </c>
      <c r="G11876" s="33">
        <f>+E11876*F11876</f>
        <v>0</v>
      </c>
    </row>
    <row r="11877" spans="1:8" ht="14.25" thickBot="1">
      <c r="A11877" s="211" t="s">
        <v>519</v>
      </c>
      <c r="B11877" s="216" t="str">
        <f ca="1">_xlfn.CONCAT(B11840,A11877)</f>
        <v>667086D-aj</v>
      </c>
      <c r="C11877" s="34"/>
      <c r="D11877" s="187"/>
      <c r="E11877" s="29"/>
      <c r="F11877" s="28"/>
      <c r="G11877" s="33">
        <f>+E11877*F11877</f>
        <v>0</v>
      </c>
    </row>
    <row r="11878" spans="1:8" ht="14.25" thickBot="1">
      <c r="A11878" s="211" t="s">
        <v>520</v>
      </c>
      <c r="B11878" s="216" t="str">
        <f ca="1">_xlfn.CONCAT(B11840,A11878)</f>
        <v>667086D-ak</v>
      </c>
      <c r="C11878" s="34"/>
      <c r="D11878" s="185"/>
      <c r="E11878" s="26"/>
      <c r="F11878" s="36" t="s">
        <v>31</v>
      </c>
      <c r="G11878" s="23">
        <f>SUM(G11875:G11877)</f>
        <v>45369.908057815948</v>
      </c>
    </row>
    <row r="11879" spans="1:8" ht="14.25" thickBot="1">
      <c r="A11879" s="211" t="s">
        <v>521</v>
      </c>
      <c r="B11879" s="216" t="str">
        <f ca="1">_xlfn.CONCAT(B11840,A11879)</f>
        <v>667086D-al</v>
      </c>
      <c r="C11879" s="37"/>
      <c r="E11879" s="38"/>
      <c r="F11879" s="22"/>
      <c r="G11879" s="39"/>
    </row>
    <row r="11880" spans="1:8" ht="16.5" thickBot="1">
      <c r="A11880" s="211" t="s">
        <v>522</v>
      </c>
      <c r="B11880" s="216" t="str">
        <f ca="1">_xlfn.CONCAT(B11840,A11880)</f>
        <v>667086D-am</v>
      </c>
      <c r="C11880" s="40"/>
      <c r="D11880" s="193"/>
      <c r="E11880" s="41"/>
      <c r="F11880" s="42"/>
      <c r="G11880" s="43">
        <f>+G11863+G11872+G11878</f>
        <v>202522.79918281594</v>
      </c>
    </row>
    <row r="11881" spans="1:8" ht="21.75" thickBot="1">
      <c r="B11881" s="212" t="s">
        <v>550</v>
      </c>
      <c r="C11881" s="2"/>
      <c r="D11881" s="183"/>
      <c r="F11881" s="4"/>
      <c r="G11881" s="5"/>
    </row>
    <row r="11882" spans="1:8" ht="18.75">
      <c r="A11882" s="213"/>
      <c r="B11882" s="214">
        <v>270</v>
      </c>
      <c r="C11882" s="242" t="str">
        <f ca="1">_xlfn.XLOOKUP(B11882,Cantidades!$A$10:$A$314,Cantidades!$C$10:$C$314,,0,1)</f>
        <v>Suministro e instalación de ductos  4Ø3" PVC</v>
      </c>
      <c r="D11882" s="243"/>
      <c r="E11882" s="243"/>
      <c r="F11882" s="243"/>
      <c r="G11882" s="244"/>
      <c r="H11882" s="213"/>
    </row>
    <row r="11883" spans="1:8" ht="19.5" thickBot="1">
      <c r="A11883" s="215"/>
      <c r="B11883" s="216" t="s">
        <v>550</v>
      </c>
      <c r="C11883" s="177"/>
      <c r="D11883" s="189"/>
      <c r="E11883" s="178"/>
      <c r="F11883" s="179" t="s">
        <v>636</v>
      </c>
      <c r="G11883" s="209" t="str">
        <f ca="1">B11884</f>
        <v>29F90BF-</v>
      </c>
      <c r="H11883" s="215"/>
    </row>
    <row r="11884" spans="1:8" ht="15.75" thickBot="1">
      <c r="B11884" s="212" t="str">
        <f ca="1">_xlfn.XLOOKUP(C11882,Cantidades!$C$1:$C$314,Cantidades!$B$1:$B$314,"",0,1)</f>
        <v>29F90BF-</v>
      </c>
      <c r="C11884" s="10" t="s">
        <v>0</v>
      </c>
      <c r="D11884" s="190"/>
      <c r="E11884" s="11"/>
      <c r="F11884" s="12"/>
      <c r="G11884" s="13"/>
    </row>
    <row r="11885" spans="1:8" ht="14.25" thickBot="1">
      <c r="A11885" s="215"/>
      <c r="B11885" s="216" t="s">
        <v>550</v>
      </c>
      <c r="C11885" s="14" t="s">
        <v>1</v>
      </c>
      <c r="D11885" s="15" t="s">
        <v>2</v>
      </c>
      <c r="E11885" s="15" t="s">
        <v>3</v>
      </c>
      <c r="F11885" s="16" t="s">
        <v>4</v>
      </c>
      <c r="G11885" s="15" t="s">
        <v>5</v>
      </c>
    </row>
    <row r="11886" spans="1:8">
      <c r="A11886" s="211" t="s">
        <v>484</v>
      </c>
      <c r="B11886" s="216" t="str">
        <f ca="1">_xlfn.CONCAT(B11884,A11886)</f>
        <v>29F90BF-A</v>
      </c>
      <c r="C11886" s="17" t="str">
        <f>_xlfn.XLOOKUP(H11886,'Materiales unitario'!$A$1:$A$2500,'Materiales unitario'!B$1:B$2500,,0,1)</f>
        <v>Ducto telef. Y Electric. Corrugado TDP ø3" PVC</v>
      </c>
      <c r="D11886" s="184" t="str">
        <f>_xlfn.XLOOKUP(H11886,'Materiales unitario'!A$1:A$2500,'Materiales unitario'!C$1:C$2500,,0,1)</f>
        <v>ml</v>
      </c>
      <c r="E11886" s="197">
        <f>_xlfn.XLOOKUP(H11886,'Materiales unitario'!$A$1:$A$2500,'Materiales unitario'!D$1:D$2500,,0,1)</f>
        <v>12880</v>
      </c>
      <c r="F11886" s="19">
        <v>4.2</v>
      </c>
      <c r="G11886" s="20">
        <f>+E11886*F11886</f>
        <v>54096</v>
      </c>
      <c r="H11886" s="211" t="s">
        <v>1191</v>
      </c>
    </row>
    <row r="11887" spans="1:8">
      <c r="A11887" s="211" t="s">
        <v>485</v>
      </c>
      <c r="B11887" s="216" t="str">
        <f ca="1">_xlfn.CONCAT(B11884,A11887)</f>
        <v>29F90BF-B</v>
      </c>
      <c r="C11887" s="17" t="str">
        <f>_xlfn.XLOOKUP(H11887,'Materiales unitario'!$A$1:$A$2500,'Materiales unitario'!B$1:B$2500,,0,1)</f>
        <v>Campana terminal ducto ø3" PVC</v>
      </c>
      <c r="D11887" s="184" t="str">
        <f>_xlfn.XLOOKUP(H11887,'Materiales unitario'!A$1:A$2500,'Materiales unitario'!C$1:C$2500,,0,1)</f>
        <v>un</v>
      </c>
      <c r="E11887" s="197">
        <f>_xlfn.XLOOKUP(H11887,'Materiales unitario'!$A$1:$A$2500,'Materiales unitario'!D$1:D$2500,,0,1)</f>
        <v>8640</v>
      </c>
      <c r="F11887" s="19">
        <v>0.4</v>
      </c>
      <c r="G11887" s="20">
        <f>+E11887*F11887</f>
        <v>3456</v>
      </c>
      <c r="H11887" s="211" t="s">
        <v>1193</v>
      </c>
    </row>
    <row r="11888" spans="1:8">
      <c r="A11888" s="211" t="s">
        <v>486</v>
      </c>
      <c r="B11888" s="216" t="str">
        <f ca="1">_xlfn.CONCAT(B11884,A11888)</f>
        <v>29F90BF-C</v>
      </c>
      <c r="C11888" s="17" t="str">
        <f>_xlfn.XLOOKUP(H11888,'Materiales unitario'!$A$1:$A$2500,'Materiales unitario'!B$1:B$2500,,0,1)</f>
        <v>Soldadura liquida PVC 1/4 de galón</v>
      </c>
      <c r="D11888" s="184" t="str">
        <f>_xlfn.XLOOKUP(H11888,'Materiales unitario'!A$1:A$2500,'Materiales unitario'!C$1:C$2500,,0,1)</f>
        <v>un</v>
      </c>
      <c r="E11888" s="197">
        <f>_xlfn.XLOOKUP(H11888,'Materiales unitario'!$A$1:$A$2500,'Materiales unitario'!D$1:D$2500,,0,1)</f>
        <v>60900</v>
      </c>
      <c r="F11888" s="19">
        <v>5.5E-2</v>
      </c>
      <c r="G11888" s="20">
        <f>+E11888*F11888</f>
        <v>3349.5</v>
      </c>
      <c r="H11888" s="211" t="s">
        <v>530</v>
      </c>
    </row>
    <row r="11889" spans="1:7">
      <c r="A11889" s="211" t="s">
        <v>487</v>
      </c>
      <c r="B11889" s="216" t="str">
        <f ca="1">_xlfn.CONCAT(B11884,A11889)</f>
        <v>29F90BF-D</v>
      </c>
      <c r="C11889" s="17"/>
      <c r="D11889" s="184"/>
      <c r="E11889" s="197"/>
      <c r="F11889" s="19"/>
      <c r="G11889" s="20"/>
    </row>
    <row r="11890" spans="1:7">
      <c r="A11890" s="211" t="s">
        <v>488</v>
      </c>
      <c r="B11890" s="216" t="str">
        <f ca="1">_xlfn.CONCAT(B11884,A11890)</f>
        <v>29F90BF-E</v>
      </c>
      <c r="C11890" s="17"/>
      <c r="D11890" s="184"/>
      <c r="E11890" s="197"/>
      <c r="F11890" s="19"/>
      <c r="G11890" s="20"/>
    </row>
    <row r="11891" spans="1:7">
      <c r="A11891" s="211" t="s">
        <v>489</v>
      </c>
      <c r="B11891" s="216" t="str">
        <f ca="1">_xlfn.CONCAT(B11884,A11891)</f>
        <v>29F90BF-F</v>
      </c>
      <c r="C11891" s="17"/>
      <c r="D11891" s="184"/>
      <c r="E11891" s="197"/>
      <c r="F11891" s="19"/>
      <c r="G11891" s="20"/>
    </row>
    <row r="11892" spans="1:7">
      <c r="A11892" s="211" t="s">
        <v>490</v>
      </c>
      <c r="B11892" s="216" t="str">
        <f ca="1">_xlfn.CONCAT(B11884,A11892)</f>
        <v>29F90BF-G</v>
      </c>
      <c r="C11892" s="17"/>
      <c r="D11892" s="184"/>
      <c r="E11892" s="197"/>
      <c r="F11892" s="19"/>
      <c r="G11892" s="20"/>
    </row>
    <row r="11893" spans="1:7">
      <c r="A11893" s="211" t="s">
        <v>491</v>
      </c>
      <c r="B11893" s="216" t="str">
        <f ca="1">_xlfn.CONCAT(B11884,A11893)</f>
        <v>29F90BF-H</v>
      </c>
      <c r="C11893" s="17"/>
      <c r="D11893" s="184"/>
      <c r="E11893" s="197"/>
      <c r="F11893" s="19"/>
      <c r="G11893" s="20"/>
    </row>
    <row r="11894" spans="1:7">
      <c r="A11894" s="211" t="s">
        <v>492</v>
      </c>
      <c r="B11894" s="216" t="str">
        <f ca="1">_xlfn.CONCAT(B11884,A11894)</f>
        <v>29F90BF-I</v>
      </c>
      <c r="C11894" s="17"/>
      <c r="D11894" s="184"/>
      <c r="E11894" s="197"/>
      <c r="F11894" s="19"/>
      <c r="G11894" s="20"/>
    </row>
    <row r="11895" spans="1:7">
      <c r="A11895" s="211" t="s">
        <v>493</v>
      </c>
      <c r="B11895" s="216" t="str">
        <f ca="1">_xlfn.CONCAT(B11884,A11895)</f>
        <v>29F90BF-J</v>
      </c>
      <c r="C11895" s="17"/>
      <c r="D11895" s="184"/>
      <c r="E11895" s="197"/>
      <c r="F11895" s="19"/>
      <c r="G11895" s="20"/>
    </row>
    <row r="11896" spans="1:7">
      <c r="A11896" s="211" t="s">
        <v>494</v>
      </c>
      <c r="B11896" s="216" t="str">
        <f ca="1">_xlfn.CONCAT(B11884,A11896)</f>
        <v>29F90BF-K</v>
      </c>
      <c r="C11896" s="17"/>
      <c r="D11896" s="184"/>
      <c r="E11896" s="197"/>
      <c r="F11896" s="19"/>
      <c r="G11896" s="20"/>
    </row>
    <row r="11897" spans="1:7">
      <c r="A11897" s="211" t="s">
        <v>495</v>
      </c>
      <c r="B11897" s="216" t="str">
        <f ca="1">_xlfn.CONCAT(B11884,A11897)</f>
        <v>29F90BF-L</v>
      </c>
      <c r="C11897" s="17"/>
      <c r="D11897" s="184"/>
      <c r="E11897" s="197"/>
      <c r="F11897" s="19"/>
      <c r="G11897" s="20"/>
    </row>
    <row r="11898" spans="1:7">
      <c r="A11898" s="211" t="s">
        <v>496</v>
      </c>
      <c r="B11898" s="216" t="str">
        <f ca="1">_xlfn.CONCAT(B11884,A11898)</f>
        <v>29F90BF-M</v>
      </c>
      <c r="C11898" s="17"/>
      <c r="D11898" s="184"/>
      <c r="E11898" s="197"/>
      <c r="F11898" s="19"/>
      <c r="G11898" s="20"/>
    </row>
    <row r="11899" spans="1:7">
      <c r="A11899" s="211" t="s">
        <v>497</v>
      </c>
      <c r="B11899" s="216" t="str">
        <f ca="1">_xlfn.CONCAT(B11884,A11899)</f>
        <v>29F90BF-N</v>
      </c>
      <c r="C11899" s="17"/>
      <c r="D11899" s="184"/>
      <c r="E11899" s="197"/>
      <c r="F11899" s="19"/>
      <c r="G11899" s="20"/>
    </row>
    <row r="11900" spans="1:7">
      <c r="A11900" s="211" t="s">
        <v>498</v>
      </c>
      <c r="B11900" s="216" t="str">
        <f ca="1">_xlfn.CONCAT(B11884,A11900)</f>
        <v>29F90BF-O</v>
      </c>
      <c r="C11900" s="17"/>
      <c r="D11900" s="184"/>
      <c r="E11900" s="197"/>
      <c r="F11900" s="19"/>
      <c r="G11900" s="20"/>
    </row>
    <row r="11901" spans="1:7">
      <c r="A11901" s="211" t="s">
        <v>499</v>
      </c>
      <c r="B11901" s="216" t="str">
        <f ca="1">_xlfn.CONCAT(B11884,A11901)</f>
        <v>29F90BF-P</v>
      </c>
      <c r="C11901" s="17"/>
      <c r="D11901" s="184"/>
      <c r="E11901" s="197"/>
      <c r="F11901" s="19"/>
      <c r="G11901" s="20"/>
    </row>
    <row r="11902" spans="1:7">
      <c r="A11902" s="211" t="s">
        <v>500</v>
      </c>
      <c r="B11902" s="216" t="str">
        <f ca="1">_xlfn.CONCAT(B11884,A11902)</f>
        <v>29F90BF-Q</v>
      </c>
      <c r="C11902" s="17"/>
      <c r="D11902" s="184"/>
      <c r="E11902" s="197"/>
      <c r="F11902" s="19"/>
      <c r="G11902" s="20"/>
    </row>
    <row r="11903" spans="1:7">
      <c r="A11903" s="211" t="s">
        <v>501</v>
      </c>
      <c r="B11903" s="216" t="str">
        <f ca="1">_xlfn.CONCAT(B11884,A11903)</f>
        <v>29F90BF-R</v>
      </c>
      <c r="C11903" s="17"/>
      <c r="D11903" s="184"/>
      <c r="E11903" s="197"/>
      <c r="F11903" s="19"/>
      <c r="G11903" s="20"/>
    </row>
    <row r="11904" spans="1:7">
      <c r="A11904" s="211" t="s">
        <v>502</v>
      </c>
      <c r="B11904" s="216" t="str">
        <f ca="1">_xlfn.CONCAT(B11884,A11904)</f>
        <v>29F90BF-S</v>
      </c>
      <c r="C11904" s="17"/>
      <c r="D11904" s="184"/>
      <c r="E11904" s="197"/>
      <c r="F11904" s="19"/>
      <c r="G11904" s="20"/>
    </row>
    <row r="11905" spans="1:8">
      <c r="A11905" s="211" t="s">
        <v>503</v>
      </c>
      <c r="B11905" s="216" t="str">
        <f ca="1">_xlfn.CONCAT(B11884,A11905)</f>
        <v>29F90BF-T</v>
      </c>
      <c r="C11905" s="17"/>
      <c r="D11905" s="184"/>
      <c r="E11905" s="197"/>
      <c r="F11905" s="19"/>
      <c r="G11905" s="20"/>
    </row>
    <row r="11906" spans="1:8" ht="14.25" thickBot="1">
      <c r="A11906" s="211" t="s">
        <v>504</v>
      </c>
      <c r="B11906" s="216" t="str">
        <f ca="1">_xlfn.CONCAT(B11884,A11906)</f>
        <v>29F90BF-U</v>
      </c>
      <c r="C11906" s="17"/>
      <c r="D11906" s="184"/>
      <c r="E11906" s="197"/>
      <c r="F11906" s="19"/>
      <c r="G11906" s="20"/>
    </row>
    <row r="11907" spans="1:8" ht="14.25" thickBot="1">
      <c r="A11907" s="211" t="s">
        <v>505</v>
      </c>
      <c r="B11907" s="216" t="str">
        <f ca="1">_xlfn.CONCAT(B11884,A11907)</f>
        <v>29F90BF-V</v>
      </c>
      <c r="C11907" s="17" t="s">
        <v>17</v>
      </c>
      <c r="D11907" s="192" t="s">
        <v>17</v>
      </c>
      <c r="E11907" s="18"/>
      <c r="F11907" s="22" t="s">
        <v>18</v>
      </c>
      <c r="G11907" s="23">
        <f>SUM(G11886:G11906)</f>
        <v>60901.5</v>
      </c>
    </row>
    <row r="11908" spans="1:8" ht="15.75" thickBot="1">
      <c r="A11908" s="211" t="s">
        <v>506</v>
      </c>
      <c r="B11908" s="216" t="str">
        <f ca="1">_xlfn.CONCAT(B11884,A11908)</f>
        <v>29F90BF-W</v>
      </c>
      <c r="C11908" s="10" t="s">
        <v>19</v>
      </c>
      <c r="D11908" s="190"/>
      <c r="E11908" s="11"/>
      <c r="F11908" s="12"/>
      <c r="G11908" s="13"/>
    </row>
    <row r="11909" spans="1:8" ht="14.25" thickBot="1">
      <c r="A11909" s="211" t="s">
        <v>507</v>
      </c>
      <c r="B11909" s="216" t="str">
        <f ca="1">_xlfn.CONCAT(B11884,A11909)</f>
        <v>29F90BF-X</v>
      </c>
      <c r="C11909" s="14" t="s">
        <v>1</v>
      </c>
      <c r="D11909" s="15"/>
      <c r="E11909" s="15" t="s">
        <v>20</v>
      </c>
      <c r="F11909" s="16" t="s">
        <v>21</v>
      </c>
      <c r="G11909" s="15" t="s">
        <v>5</v>
      </c>
      <c r="H11909" s="215"/>
    </row>
    <row r="11910" spans="1:8">
      <c r="A11910" s="211" t="s">
        <v>508</v>
      </c>
      <c r="B11910" s="216" t="str">
        <f ca="1">_xlfn.CONCAT(B11884,A11910)</f>
        <v>29F90BF-Y</v>
      </c>
      <c r="C11910" s="24" t="s">
        <v>22</v>
      </c>
      <c r="D11910" s="184"/>
      <c r="E11910" s="25">
        <f>_xlfn.XLOOKUP(C11910,'H-MO'!B$7:B$30,'H-MO'!D$7:D$30,,0,1)</f>
        <v>2436.5624999999995</v>
      </c>
      <c r="F11910" s="19">
        <v>0.2</v>
      </c>
      <c r="G11910" s="33">
        <f t="shared" ref="G11910:G11915" si="348">+E11910*F11910</f>
        <v>487.31249999999994</v>
      </c>
    </row>
    <row r="11911" spans="1:8">
      <c r="A11911" s="211" t="s">
        <v>509</v>
      </c>
      <c r="B11911" s="216" t="str">
        <f ca="1">_xlfn.CONCAT(B11884,A11911)</f>
        <v>29F90BF-Z</v>
      </c>
      <c r="C11911" s="24" t="s">
        <v>23</v>
      </c>
      <c r="D11911" s="184"/>
      <c r="E11911" s="25">
        <f>_xlfn.XLOOKUP(C11911,'H-MO'!B$7:B$30,'H-MO'!D$7:D$30,,0,1)</f>
        <v>1461.9374999999998</v>
      </c>
      <c r="F11911" s="19">
        <v>3</v>
      </c>
      <c r="G11911" s="33">
        <f t="shared" si="348"/>
        <v>4385.8124999999991</v>
      </c>
    </row>
    <row r="11912" spans="1:8">
      <c r="A11912" s="211" t="s">
        <v>510</v>
      </c>
      <c r="B11912" s="216" t="str">
        <f ca="1">_xlfn.CONCAT(B11884,A11912)</f>
        <v>29F90BF-aa</v>
      </c>
      <c r="C11912" s="24" t="s">
        <v>24</v>
      </c>
      <c r="D11912" s="185"/>
      <c r="E11912" s="25">
        <f>_xlfn.XLOOKUP(C11912,'H-MO'!B$7:B$30,'H-MO'!D$7:D$30,,0,1)</f>
        <v>29238.749999999996</v>
      </c>
      <c r="F11912" s="28">
        <v>0.15</v>
      </c>
      <c r="G11912" s="33">
        <f t="shared" si="348"/>
        <v>4385.8124999999991</v>
      </c>
    </row>
    <row r="11913" spans="1:8">
      <c r="A11913" s="211" t="s">
        <v>511</v>
      </c>
      <c r="B11913" s="216" t="str">
        <f ca="1">_xlfn.CONCAT(B11884,A11913)</f>
        <v>29F90BF-ab</v>
      </c>
      <c r="C11913" s="24" t="s">
        <v>25</v>
      </c>
      <c r="D11913" s="185"/>
      <c r="E11913" s="25">
        <f>_xlfn.XLOOKUP(C11913,'H-MO'!B$7:B$30,'H-MO'!D$7:D$30,,0,1)</f>
        <v>2761.4374999999995</v>
      </c>
      <c r="F11913" s="28">
        <v>0.35000000000000003</v>
      </c>
      <c r="G11913" s="33">
        <f t="shared" si="348"/>
        <v>966.50312499999995</v>
      </c>
    </row>
    <row r="11914" spans="1:8">
      <c r="A11914" s="211" t="s">
        <v>512</v>
      </c>
      <c r="B11914" s="216" t="str">
        <f ca="1">_xlfn.CONCAT(B11884,A11914)</f>
        <v>29F90BF-ac</v>
      </c>
      <c r="C11914" s="24"/>
      <c r="D11914" s="185"/>
      <c r="E11914" s="29"/>
      <c r="F11914" s="28"/>
      <c r="G11914" s="33">
        <f t="shared" si="348"/>
        <v>0</v>
      </c>
    </row>
    <row r="11915" spans="1:8" ht="14.25" thickBot="1">
      <c r="A11915" s="211" t="s">
        <v>513</v>
      </c>
      <c r="B11915" s="216" t="str">
        <f ca="1">_xlfn.CONCAT(B11884,A11915)</f>
        <v>29F90BF-ad</v>
      </c>
      <c r="C11915" s="24"/>
      <c r="D11915" s="185"/>
      <c r="E11915" s="29"/>
      <c r="F11915" s="28"/>
      <c r="G11915" s="33">
        <f t="shared" si="348"/>
        <v>0</v>
      </c>
    </row>
    <row r="11916" spans="1:8" ht="14.25" thickBot="1">
      <c r="A11916" s="211" t="s">
        <v>514</v>
      </c>
      <c r="B11916" s="216" t="str">
        <f ca="1">_xlfn.CONCAT(B11884,A11916)</f>
        <v>29F90BF-ae</v>
      </c>
      <c r="C11916" s="17"/>
      <c r="D11916" s="192"/>
      <c r="E11916" s="18"/>
      <c r="F11916" s="22"/>
      <c r="G11916" s="23">
        <f>SUM(G11910:G11915)</f>
        <v>10225.440624999997</v>
      </c>
    </row>
    <row r="11917" spans="1:8" ht="15.75" thickBot="1">
      <c r="A11917" s="211" t="s">
        <v>515</v>
      </c>
      <c r="B11917" s="216" t="str">
        <f ca="1">_xlfn.CONCAT(B11884,A11917)</f>
        <v>29F90BF-af</v>
      </c>
      <c r="C11917" s="10" t="s">
        <v>27</v>
      </c>
      <c r="D11917" s="190"/>
      <c r="E11917" s="11"/>
      <c r="F11917" s="12"/>
      <c r="G11917" s="13"/>
    </row>
    <row r="11918" spans="1:8" ht="14.25" thickBot="1">
      <c r="A11918" s="211" t="s">
        <v>516</v>
      </c>
      <c r="B11918" s="216" t="str">
        <f ca="1">_xlfn.CONCAT(B11884,A11918)</f>
        <v>29F90BF-ag</v>
      </c>
      <c r="C11918" s="14" t="s">
        <v>1</v>
      </c>
      <c r="D11918" s="15" t="s">
        <v>28</v>
      </c>
      <c r="E11918" s="15" t="s">
        <v>20</v>
      </c>
      <c r="F11918" s="16"/>
      <c r="G11918" s="15" t="s">
        <v>5</v>
      </c>
      <c r="H11918" s="215"/>
    </row>
    <row r="11919" spans="1:8">
      <c r="A11919" s="211" t="s">
        <v>517</v>
      </c>
      <c r="B11919" s="216" t="str">
        <f ca="1">_xlfn.CONCAT(B11884,A11919)</f>
        <v>29F90BF-ah</v>
      </c>
      <c r="C11919" s="30" t="s">
        <v>29</v>
      </c>
      <c r="D11919" s="186">
        <f>'H-MO'!$N$77</f>
        <v>725918.52892505517</v>
      </c>
      <c r="E11919" s="31">
        <f>+D11919/8</f>
        <v>90739.816115631897</v>
      </c>
      <c r="F11919" s="32">
        <v>0.2</v>
      </c>
      <c r="G11919" s="33">
        <f>+E11919*F11919</f>
        <v>18147.963223126379</v>
      </c>
    </row>
    <row r="11920" spans="1:8">
      <c r="A11920" s="211" t="s">
        <v>518</v>
      </c>
      <c r="B11920" s="216" t="str">
        <f ca="1">_xlfn.CONCAT(B11884,A11920)</f>
        <v>29F90BF-ai</v>
      </c>
      <c r="C11920" s="34" t="s">
        <v>30</v>
      </c>
      <c r="D11920" s="187">
        <f>'H-MO'!$N$86</f>
        <v>685561.39085756091</v>
      </c>
      <c r="E11920" s="29">
        <f>+D11920/8</f>
        <v>85695.173857195114</v>
      </c>
      <c r="F11920" s="28">
        <v>0.15</v>
      </c>
      <c r="G11920" s="33">
        <f>+E11920*F11920</f>
        <v>12854.276078579267</v>
      </c>
    </row>
    <row r="11921" spans="1:8" ht="14.25" thickBot="1">
      <c r="A11921" s="211" t="s">
        <v>519</v>
      </c>
      <c r="B11921" s="216" t="str">
        <f ca="1">_xlfn.CONCAT(B11884,A11921)</f>
        <v>29F90BF-aj</v>
      </c>
      <c r="C11921" s="34"/>
      <c r="D11921" s="187"/>
      <c r="E11921" s="29"/>
      <c r="F11921" s="28">
        <v>0</v>
      </c>
      <c r="G11921" s="33">
        <f>+E11921*F11921</f>
        <v>0</v>
      </c>
    </row>
    <row r="11922" spans="1:8" ht="14.25" thickBot="1">
      <c r="A11922" s="211" t="s">
        <v>520</v>
      </c>
      <c r="B11922" s="216" t="str">
        <f ca="1">_xlfn.CONCAT(B11884,A11922)</f>
        <v>29F90BF-ak</v>
      </c>
      <c r="C11922" s="34"/>
      <c r="D11922" s="185"/>
      <c r="E11922" s="26"/>
      <c r="F11922" s="36" t="s">
        <v>31</v>
      </c>
      <c r="G11922" s="23">
        <f>SUM(G11919:G11921)</f>
        <v>31002.239301705646</v>
      </c>
    </row>
    <row r="11923" spans="1:8" ht="14.25" thickBot="1">
      <c r="A11923" s="211" t="s">
        <v>521</v>
      </c>
      <c r="B11923" s="216" t="str">
        <f ca="1">_xlfn.CONCAT(B11884,A11923)</f>
        <v>29F90BF-al</v>
      </c>
      <c r="C11923" s="37"/>
      <c r="E11923" s="38"/>
      <c r="F11923" s="22"/>
      <c r="G11923" s="39"/>
    </row>
    <row r="11924" spans="1:8" ht="16.5" thickBot="1">
      <c r="A11924" s="211" t="s">
        <v>522</v>
      </c>
      <c r="B11924" s="216" t="str">
        <f ca="1">_xlfn.CONCAT(B11884,A11924)</f>
        <v>29F90BF-am</v>
      </c>
      <c r="C11924" s="40"/>
      <c r="D11924" s="193"/>
      <c r="E11924" s="41"/>
      <c r="F11924" s="42"/>
      <c r="G11924" s="43">
        <f>+G11907+G11916+G11922</f>
        <v>102129.17992670565</v>
      </c>
    </row>
    <row r="11925" spans="1:8" ht="21.75" thickBot="1">
      <c r="B11925" s="212" t="s">
        <v>550</v>
      </c>
      <c r="C11925" s="2"/>
      <c r="D11925" s="183"/>
      <c r="F11925" s="4"/>
      <c r="G11925" s="5"/>
    </row>
    <row r="11926" spans="1:8" ht="18.75">
      <c r="A11926" s="213"/>
      <c r="B11926" s="214">
        <v>271</v>
      </c>
      <c r="C11926" s="242" t="str">
        <f ca="1">_xlfn.XLOOKUP(B11926,Cantidades!$A$10:$A$314,Cantidades!$C$10:$C$314,,0,1)</f>
        <v>Suministro e instalación de interruptor industrial regulable de 256 a 420A</v>
      </c>
      <c r="D11926" s="243"/>
      <c r="E11926" s="243"/>
      <c r="F11926" s="243"/>
      <c r="G11926" s="244"/>
      <c r="H11926" s="213"/>
    </row>
    <row r="11927" spans="1:8" ht="19.5" thickBot="1">
      <c r="A11927" s="215"/>
      <c r="B11927" s="216" t="s">
        <v>550</v>
      </c>
      <c r="C11927" s="177"/>
      <c r="D11927" s="189"/>
      <c r="E11927" s="178"/>
      <c r="F11927" s="179" t="s">
        <v>636</v>
      </c>
      <c r="G11927" s="209" t="str">
        <f ca="1">B11928</f>
        <v>3B6AA7C4-</v>
      </c>
      <c r="H11927" s="215"/>
    </row>
    <row r="11928" spans="1:8" ht="15.75" thickBot="1">
      <c r="B11928" s="212" t="str">
        <f ca="1">_xlfn.XLOOKUP(C11926,Cantidades!$C$1:$C$314,Cantidades!$B$1:$B$314,"",0,1)</f>
        <v>3B6AA7C4-</v>
      </c>
      <c r="C11928" s="10" t="s">
        <v>0</v>
      </c>
      <c r="D11928" s="190"/>
      <c r="E11928" s="11"/>
      <c r="F11928" s="12"/>
      <c r="G11928" s="13"/>
    </row>
    <row r="11929" spans="1:8" ht="14.25" thickBot="1">
      <c r="A11929" s="215"/>
      <c r="B11929" s="216" t="s">
        <v>550</v>
      </c>
      <c r="C11929" s="14" t="s">
        <v>1</v>
      </c>
      <c r="D11929" s="15" t="s">
        <v>2</v>
      </c>
      <c r="E11929" s="15" t="s">
        <v>3</v>
      </c>
      <c r="F11929" s="16" t="s">
        <v>4</v>
      </c>
      <c r="G11929" s="15" t="s">
        <v>5</v>
      </c>
      <c r="H11929" s="215"/>
    </row>
    <row r="11930" spans="1:8" ht="15">
      <c r="A11930" s="211" t="s">
        <v>484</v>
      </c>
      <c r="B11930" s="216" t="str">
        <f ca="1">_xlfn.CONCAT(B11928,A11930)</f>
        <v>3B6AA7C4-A</v>
      </c>
      <c r="C11930" s="17" t="str">
        <f>_xlfn.XLOOKUP(H11930,'Materiales unitario'!$A$1:$A$2500,'Materiales unitario'!B$1:B$2500,,0,1)</f>
        <v>Interruptor industrial regulable de 256 a 420A</v>
      </c>
      <c r="D11930" s="184" t="str">
        <f>_xlfn.XLOOKUP(H11930,'Materiales unitario'!A$1:A$2500,'Materiales unitario'!C$1:C$2500,,0,1)</f>
        <v>un</v>
      </c>
      <c r="E11930" s="197">
        <f>_xlfn.XLOOKUP(H11930,'Materiales unitario'!$A$1:$A$2500,'Materiales unitario'!D$1:D$2500,,0,1)</f>
        <v>2202240</v>
      </c>
      <c r="F11930" s="19">
        <v>1</v>
      </c>
      <c r="G11930" s="20">
        <f>+E11930*F11930</f>
        <v>2202240</v>
      </c>
      <c r="H11930" s="217" t="s">
        <v>1795</v>
      </c>
    </row>
    <row r="11931" spans="1:8" ht="15">
      <c r="A11931" s="211" t="s">
        <v>485</v>
      </c>
      <c r="B11931" s="216" t="str">
        <f ca="1">_xlfn.CONCAT(B11928,A11931)</f>
        <v>3B6AA7C4-B</v>
      </c>
      <c r="C11931" s="17"/>
      <c r="D11931" s="184"/>
      <c r="E11931" s="197"/>
      <c r="F11931" s="19"/>
      <c r="G11931" s="20"/>
      <c r="H11931" s="217"/>
    </row>
    <row r="11932" spans="1:8">
      <c r="A11932" s="211" t="s">
        <v>486</v>
      </c>
      <c r="B11932" s="216" t="str">
        <f ca="1">_xlfn.CONCAT(B11928,A11932)</f>
        <v>3B6AA7C4-C</v>
      </c>
      <c r="C11932" s="17"/>
      <c r="D11932" s="184"/>
      <c r="E11932" s="197"/>
      <c r="F11932" s="19"/>
      <c r="G11932" s="20"/>
    </row>
    <row r="11933" spans="1:8">
      <c r="A11933" s="211" t="s">
        <v>487</v>
      </c>
      <c r="B11933" s="216" t="str">
        <f ca="1">_xlfn.CONCAT(B11928,A11933)</f>
        <v>3B6AA7C4-D</v>
      </c>
      <c r="C11933" s="17"/>
      <c r="D11933" s="184"/>
      <c r="E11933" s="197"/>
      <c r="F11933" s="19"/>
      <c r="G11933" s="20"/>
    </row>
    <row r="11934" spans="1:8">
      <c r="A11934" s="211" t="s">
        <v>488</v>
      </c>
      <c r="B11934" s="216" t="str">
        <f ca="1">_xlfn.CONCAT(B11928,A11934)</f>
        <v>3B6AA7C4-E</v>
      </c>
      <c r="C11934" s="17"/>
      <c r="D11934" s="184"/>
      <c r="E11934" s="197"/>
      <c r="F11934" s="19"/>
      <c r="G11934" s="20"/>
    </row>
    <row r="11935" spans="1:8">
      <c r="A11935" s="211" t="s">
        <v>489</v>
      </c>
      <c r="B11935" s="216" t="str">
        <f ca="1">_xlfn.CONCAT(B11928,A11935)</f>
        <v>3B6AA7C4-F</v>
      </c>
      <c r="C11935" s="17"/>
      <c r="D11935" s="184"/>
      <c r="E11935" s="197"/>
      <c r="F11935" s="19"/>
      <c r="G11935" s="20"/>
    </row>
    <row r="11936" spans="1:8">
      <c r="A11936" s="211" t="s">
        <v>490</v>
      </c>
      <c r="B11936" s="216" t="str">
        <f ca="1">_xlfn.CONCAT(B11928,A11936)</f>
        <v>3B6AA7C4-G</v>
      </c>
      <c r="C11936" s="17"/>
      <c r="D11936" s="184"/>
      <c r="E11936" s="197"/>
      <c r="F11936" s="19"/>
      <c r="G11936" s="20"/>
    </row>
    <row r="11937" spans="1:7">
      <c r="A11937" s="211" t="s">
        <v>491</v>
      </c>
      <c r="B11937" s="216" t="str">
        <f ca="1">_xlfn.CONCAT(B11928,A11937)</f>
        <v>3B6AA7C4-H</v>
      </c>
      <c r="C11937" s="17"/>
      <c r="D11937" s="184"/>
      <c r="E11937" s="197"/>
      <c r="F11937" s="19"/>
      <c r="G11937" s="20"/>
    </row>
    <row r="11938" spans="1:7">
      <c r="A11938" s="211" t="s">
        <v>492</v>
      </c>
      <c r="B11938" s="216" t="str">
        <f ca="1">_xlfn.CONCAT(B11928,A11938)</f>
        <v>3B6AA7C4-I</v>
      </c>
      <c r="C11938" s="17"/>
      <c r="D11938" s="184"/>
      <c r="E11938" s="197"/>
      <c r="F11938" s="19"/>
      <c r="G11938" s="20"/>
    </row>
    <row r="11939" spans="1:7">
      <c r="A11939" s="211" t="s">
        <v>493</v>
      </c>
      <c r="B11939" s="216" t="str">
        <f ca="1">_xlfn.CONCAT(B11928,A11939)</f>
        <v>3B6AA7C4-J</v>
      </c>
      <c r="C11939" s="17"/>
      <c r="D11939" s="184"/>
      <c r="E11939" s="197"/>
      <c r="F11939" s="19"/>
      <c r="G11939" s="20"/>
    </row>
    <row r="11940" spans="1:7">
      <c r="A11940" s="211" t="s">
        <v>494</v>
      </c>
      <c r="B11940" s="216" t="str">
        <f ca="1">_xlfn.CONCAT(B11928,A11940)</f>
        <v>3B6AA7C4-K</v>
      </c>
      <c r="C11940" s="17"/>
      <c r="D11940" s="184"/>
      <c r="E11940" s="197"/>
      <c r="F11940" s="19"/>
      <c r="G11940" s="20"/>
    </row>
    <row r="11941" spans="1:7">
      <c r="A11941" s="211" t="s">
        <v>495</v>
      </c>
      <c r="B11941" s="216" t="str">
        <f ca="1">_xlfn.CONCAT(B11928,A11941)</f>
        <v>3B6AA7C4-L</v>
      </c>
      <c r="C11941" s="17"/>
      <c r="D11941" s="184"/>
      <c r="E11941" s="197"/>
      <c r="F11941" s="19"/>
      <c r="G11941" s="20"/>
    </row>
    <row r="11942" spans="1:7">
      <c r="A11942" s="211" t="s">
        <v>496</v>
      </c>
      <c r="B11942" s="216" t="str">
        <f ca="1">_xlfn.CONCAT(B11928,A11942)</f>
        <v>3B6AA7C4-M</v>
      </c>
      <c r="C11942" s="17"/>
      <c r="D11942" s="184"/>
      <c r="E11942" s="197"/>
      <c r="F11942" s="19"/>
      <c r="G11942" s="20"/>
    </row>
    <row r="11943" spans="1:7">
      <c r="A11943" s="211" t="s">
        <v>497</v>
      </c>
      <c r="B11943" s="216" t="str">
        <f ca="1">_xlfn.CONCAT(B11928,A11943)</f>
        <v>3B6AA7C4-N</v>
      </c>
      <c r="C11943" s="17"/>
      <c r="D11943" s="184"/>
      <c r="E11943" s="197"/>
      <c r="F11943" s="19"/>
      <c r="G11943" s="20"/>
    </row>
    <row r="11944" spans="1:7">
      <c r="A11944" s="211" t="s">
        <v>498</v>
      </c>
      <c r="B11944" s="216" t="str">
        <f ca="1">_xlfn.CONCAT(B11928,A11944)</f>
        <v>3B6AA7C4-O</v>
      </c>
      <c r="C11944" s="17"/>
      <c r="D11944" s="184"/>
      <c r="E11944" s="197"/>
      <c r="F11944" s="19"/>
      <c r="G11944" s="20"/>
    </row>
    <row r="11945" spans="1:7">
      <c r="A11945" s="211" t="s">
        <v>499</v>
      </c>
      <c r="B11945" s="216" t="str">
        <f ca="1">_xlfn.CONCAT(B11928,A11945)</f>
        <v>3B6AA7C4-P</v>
      </c>
      <c r="C11945" s="17"/>
      <c r="D11945" s="184"/>
      <c r="E11945" s="197"/>
      <c r="F11945" s="19"/>
      <c r="G11945" s="20"/>
    </row>
    <row r="11946" spans="1:7">
      <c r="A11946" s="211" t="s">
        <v>500</v>
      </c>
      <c r="B11946" s="216" t="str">
        <f ca="1">_xlfn.CONCAT(B11928,A11946)</f>
        <v>3B6AA7C4-Q</v>
      </c>
      <c r="C11946" s="17"/>
      <c r="D11946" s="184"/>
      <c r="E11946" s="197"/>
      <c r="F11946" s="19"/>
      <c r="G11946" s="20"/>
    </row>
    <row r="11947" spans="1:7">
      <c r="A11947" s="211" t="s">
        <v>501</v>
      </c>
      <c r="B11947" s="216" t="str">
        <f ca="1">_xlfn.CONCAT(B11928,A11947)</f>
        <v>3B6AA7C4-R</v>
      </c>
      <c r="C11947" s="17"/>
      <c r="D11947" s="184"/>
      <c r="E11947" s="197"/>
      <c r="F11947" s="19"/>
      <c r="G11947" s="20"/>
    </row>
    <row r="11948" spans="1:7">
      <c r="A11948" s="211" t="s">
        <v>502</v>
      </c>
      <c r="B11948" s="216" t="str">
        <f ca="1">_xlfn.CONCAT(B11928,A11948)</f>
        <v>3B6AA7C4-S</v>
      </c>
      <c r="C11948" s="17"/>
      <c r="D11948" s="184"/>
      <c r="E11948" s="197"/>
      <c r="F11948" s="19"/>
      <c r="G11948" s="20"/>
    </row>
    <row r="11949" spans="1:7">
      <c r="A11949" s="211" t="s">
        <v>503</v>
      </c>
      <c r="B11949" s="216" t="str">
        <f ca="1">_xlfn.CONCAT(B11928,A11949)</f>
        <v>3B6AA7C4-T</v>
      </c>
      <c r="C11949" s="17"/>
      <c r="D11949" s="184"/>
      <c r="E11949" s="197"/>
      <c r="F11949" s="19"/>
      <c r="G11949" s="20"/>
    </row>
    <row r="11950" spans="1:7" ht="14.25" thickBot="1">
      <c r="A11950" s="211" t="s">
        <v>504</v>
      </c>
      <c r="B11950" s="216" t="str">
        <f ca="1">_xlfn.CONCAT(B11928,A11950)</f>
        <v>3B6AA7C4-U</v>
      </c>
      <c r="C11950" s="17"/>
      <c r="D11950" s="184"/>
      <c r="E11950" s="197"/>
      <c r="F11950" s="19"/>
      <c r="G11950" s="20"/>
    </row>
    <row r="11951" spans="1:7" ht="14.25" thickBot="1">
      <c r="A11951" s="211" t="s">
        <v>505</v>
      </c>
      <c r="B11951" s="216" t="str">
        <f ca="1">_xlfn.CONCAT(B11928,A11951)</f>
        <v>3B6AA7C4-V</v>
      </c>
      <c r="C11951" s="17" t="s">
        <v>17</v>
      </c>
      <c r="D11951" s="192" t="s">
        <v>17</v>
      </c>
      <c r="E11951" s="18"/>
      <c r="F11951" s="22" t="s">
        <v>18</v>
      </c>
      <c r="G11951" s="23">
        <f>SUM(G11930:G11950)</f>
        <v>2202240</v>
      </c>
    </row>
    <row r="11952" spans="1:7" ht="15.75" thickBot="1">
      <c r="A11952" s="211" t="s">
        <v>506</v>
      </c>
      <c r="B11952" s="216" t="str">
        <f ca="1">_xlfn.CONCAT(B11928,A11952)</f>
        <v>3B6AA7C4-W</v>
      </c>
      <c r="C11952" s="10" t="s">
        <v>19</v>
      </c>
      <c r="D11952" s="190"/>
      <c r="E11952" s="11"/>
      <c r="F11952" s="12"/>
      <c r="G11952" s="13"/>
    </row>
    <row r="11953" spans="1:8" ht="14.25" thickBot="1">
      <c r="A11953" s="211" t="s">
        <v>507</v>
      </c>
      <c r="B11953" s="216" t="str">
        <f ca="1">_xlfn.CONCAT(B11928,A11953)</f>
        <v>3B6AA7C4-X</v>
      </c>
      <c r="C11953" s="14" t="s">
        <v>1</v>
      </c>
      <c r="D11953" s="15"/>
      <c r="E11953" s="15" t="s">
        <v>20</v>
      </c>
      <c r="F11953" s="16" t="s">
        <v>21</v>
      </c>
      <c r="G11953" s="15" t="s">
        <v>5</v>
      </c>
      <c r="H11953" s="215"/>
    </row>
    <row r="11954" spans="1:8">
      <c r="A11954" s="211" t="s">
        <v>508</v>
      </c>
      <c r="B11954" s="216" t="str">
        <f ca="1">_xlfn.CONCAT(B11928,A11954)</f>
        <v>3B6AA7C4-Y</v>
      </c>
      <c r="C11954" s="24" t="s">
        <v>22</v>
      </c>
      <c r="D11954" s="184"/>
      <c r="E11954" s="25">
        <f>_xlfn.XLOOKUP(C11954,'H-MO'!B$7:B$30,'H-MO'!D$7:D$30,,0,1)</f>
        <v>2436.5624999999995</v>
      </c>
      <c r="F11954" s="19">
        <v>1.2</v>
      </c>
      <c r="G11954" s="33">
        <f t="shared" ref="G11954:G11959" si="349">+E11954*F11954</f>
        <v>2923.8749999999995</v>
      </c>
    </row>
    <row r="11955" spans="1:8">
      <c r="A11955" s="211" t="s">
        <v>509</v>
      </c>
      <c r="B11955" s="216" t="str">
        <f ca="1">_xlfn.CONCAT(B11928,A11955)</f>
        <v>3B6AA7C4-Z</v>
      </c>
      <c r="C11955" s="24" t="s">
        <v>23</v>
      </c>
      <c r="D11955" s="184"/>
      <c r="E11955" s="25">
        <f>_xlfn.XLOOKUP(C11955,'H-MO'!B$7:B$30,'H-MO'!D$7:D$30,,0,1)</f>
        <v>1461.9374999999998</v>
      </c>
      <c r="F11955" s="19">
        <v>0.3</v>
      </c>
      <c r="G11955" s="33">
        <f t="shared" si="349"/>
        <v>438.5812499999999</v>
      </c>
    </row>
    <row r="11956" spans="1:8">
      <c r="A11956" s="211" t="s">
        <v>510</v>
      </c>
      <c r="B11956" s="216" t="str">
        <f ca="1">_xlfn.CONCAT(B11928,A11956)</f>
        <v>3B6AA7C4-aa</v>
      </c>
      <c r="C11956" s="24" t="s">
        <v>24</v>
      </c>
      <c r="D11956" s="185"/>
      <c r="E11956" s="25">
        <f>_xlfn.XLOOKUP(C11956,'H-MO'!B$7:B$30,'H-MO'!D$7:D$30,,0,1)</f>
        <v>29238.749999999996</v>
      </c>
      <c r="F11956" s="28">
        <v>0.05</v>
      </c>
      <c r="G11956" s="33">
        <f t="shared" si="349"/>
        <v>1461.9375</v>
      </c>
    </row>
    <row r="11957" spans="1:8">
      <c r="A11957" s="211" t="s">
        <v>511</v>
      </c>
      <c r="B11957" s="216" t="str">
        <f ca="1">_xlfn.CONCAT(B11928,A11957)</f>
        <v>3B6AA7C4-ab</v>
      </c>
      <c r="C11957" s="24" t="s">
        <v>25</v>
      </c>
      <c r="D11957" s="185"/>
      <c r="E11957" s="25">
        <f>_xlfn.XLOOKUP(C11957,'H-MO'!B$7:B$30,'H-MO'!D$7:D$30,,0,1)</f>
        <v>2761.4374999999995</v>
      </c>
      <c r="F11957" s="28">
        <v>0.1</v>
      </c>
      <c r="G11957" s="33">
        <f t="shared" si="349"/>
        <v>276.14374999999995</v>
      </c>
    </row>
    <row r="11958" spans="1:8">
      <c r="A11958" s="211" t="s">
        <v>512</v>
      </c>
      <c r="B11958" s="216" t="str">
        <f ca="1">_xlfn.CONCAT(B11928,A11958)</f>
        <v>3B6AA7C4-ac</v>
      </c>
      <c r="C11958" s="24"/>
      <c r="D11958" s="185"/>
      <c r="E11958" s="29"/>
      <c r="F11958" s="28"/>
      <c r="G11958" s="33">
        <f t="shared" si="349"/>
        <v>0</v>
      </c>
    </row>
    <row r="11959" spans="1:8" ht="14.25" thickBot="1">
      <c r="A11959" s="211" t="s">
        <v>513</v>
      </c>
      <c r="B11959" s="216" t="str">
        <f ca="1">_xlfn.CONCAT(B11928,A11959)</f>
        <v>3B6AA7C4-ad</v>
      </c>
      <c r="C11959" s="24"/>
      <c r="D11959" s="185"/>
      <c r="E11959" s="29"/>
      <c r="F11959" s="28"/>
      <c r="G11959" s="33">
        <f t="shared" si="349"/>
        <v>0</v>
      </c>
    </row>
    <row r="11960" spans="1:8" ht="14.25" thickBot="1">
      <c r="A11960" s="211" t="s">
        <v>514</v>
      </c>
      <c r="B11960" s="216" t="str">
        <f ca="1">_xlfn.CONCAT(B11928,A11960)</f>
        <v>3B6AA7C4-ae</v>
      </c>
      <c r="C11960" s="17"/>
      <c r="D11960" s="192"/>
      <c r="E11960" s="18"/>
      <c r="F11960" s="22" t="s">
        <v>26</v>
      </c>
      <c r="G11960" s="23">
        <f>SUM(G11954:G11959)</f>
        <v>5100.5374999999995</v>
      </c>
    </row>
    <row r="11961" spans="1:8" ht="15.75" thickBot="1">
      <c r="A11961" s="211" t="s">
        <v>515</v>
      </c>
      <c r="B11961" s="216" t="str">
        <f ca="1">_xlfn.CONCAT(B11928,A11961)</f>
        <v>3B6AA7C4-af</v>
      </c>
      <c r="C11961" s="10" t="s">
        <v>27</v>
      </c>
      <c r="D11961" s="190"/>
      <c r="E11961" s="11"/>
      <c r="F11961" s="12"/>
      <c r="G11961" s="13"/>
    </row>
    <row r="11962" spans="1:8" ht="14.25" thickBot="1">
      <c r="A11962" s="211" t="s">
        <v>516</v>
      </c>
      <c r="B11962" s="216" t="str">
        <f ca="1">_xlfn.CONCAT(B11928,A11962)</f>
        <v>3B6AA7C4-ag</v>
      </c>
      <c r="C11962" s="14" t="s">
        <v>1</v>
      </c>
      <c r="D11962" s="15" t="s">
        <v>28</v>
      </c>
      <c r="E11962" s="15" t="s">
        <v>20</v>
      </c>
      <c r="F11962" s="16" t="s">
        <v>21</v>
      </c>
      <c r="G11962" s="15" t="s">
        <v>5</v>
      </c>
      <c r="H11962" s="215"/>
    </row>
    <row r="11963" spans="1:8">
      <c r="A11963" s="211" t="s">
        <v>517</v>
      </c>
      <c r="B11963" s="216" t="str">
        <f ca="1">_xlfn.CONCAT(B11928,A11963)</f>
        <v>3B6AA7C4-ah</v>
      </c>
      <c r="C11963" s="30" t="s">
        <v>29</v>
      </c>
      <c r="D11963" s="186">
        <f>'H-MO'!$N$77</f>
        <v>725918.52892505517</v>
      </c>
      <c r="E11963" s="31">
        <f>+D11963/8</f>
        <v>90739.816115631897</v>
      </c>
      <c r="F11963" s="32">
        <v>1.1000000000000001</v>
      </c>
      <c r="G11963" s="33">
        <f>+E11963*F11963</f>
        <v>99813.797727195095</v>
      </c>
    </row>
    <row r="11964" spans="1:8">
      <c r="A11964" s="211" t="s">
        <v>518</v>
      </c>
      <c r="B11964" s="216" t="str">
        <f ca="1">_xlfn.CONCAT(B11928,A11964)</f>
        <v>3B6AA7C4-ai</v>
      </c>
      <c r="C11964" s="34" t="s">
        <v>30</v>
      </c>
      <c r="D11964" s="187">
        <f>'H-MO'!$N$86</f>
        <v>685561.39085756091</v>
      </c>
      <c r="E11964" s="29">
        <f>+D11964/8</f>
        <v>85695.173857195114</v>
      </c>
      <c r="F11964" s="28">
        <v>0</v>
      </c>
      <c r="G11964" s="33">
        <f>+E11964*F11964</f>
        <v>0</v>
      </c>
    </row>
    <row r="11965" spans="1:8" ht="14.25" thickBot="1">
      <c r="A11965" s="211" t="s">
        <v>519</v>
      </c>
      <c r="B11965" s="216" t="str">
        <f ca="1">_xlfn.CONCAT(B11928,A11965)</f>
        <v>3B6AA7C4-aj</v>
      </c>
      <c r="C11965" s="34"/>
      <c r="D11965" s="187"/>
      <c r="E11965" s="29"/>
      <c r="F11965" s="28"/>
      <c r="G11965" s="33">
        <f>+E11965*F11965</f>
        <v>0</v>
      </c>
    </row>
    <row r="11966" spans="1:8" ht="14.25" thickBot="1">
      <c r="A11966" s="211" t="s">
        <v>520</v>
      </c>
      <c r="B11966" s="216" t="str">
        <f ca="1">_xlfn.CONCAT(B11928,A11966)</f>
        <v>3B6AA7C4-ak</v>
      </c>
      <c r="C11966" s="34"/>
      <c r="D11966" s="185"/>
      <c r="E11966" s="26"/>
      <c r="F11966" s="36" t="s">
        <v>31</v>
      </c>
      <c r="G11966" s="23">
        <f>SUM(G11963:G11965)</f>
        <v>99813.797727195095</v>
      </c>
    </row>
    <row r="11967" spans="1:8" ht="14.25" thickBot="1">
      <c r="A11967" s="211" t="s">
        <v>521</v>
      </c>
      <c r="B11967" s="216" t="str">
        <f ca="1">_xlfn.CONCAT(B11928,A11967)</f>
        <v>3B6AA7C4-al</v>
      </c>
      <c r="C11967" s="37"/>
      <c r="E11967" s="38"/>
      <c r="F11967" s="22"/>
      <c r="G11967" s="39"/>
    </row>
    <row r="11968" spans="1:8" ht="16.5" thickBot="1">
      <c r="A11968" s="211" t="s">
        <v>522</v>
      </c>
      <c r="B11968" s="216" t="str">
        <f ca="1">_xlfn.CONCAT(B11928,A11968)</f>
        <v>3B6AA7C4-am</v>
      </c>
      <c r="C11968" s="40"/>
      <c r="D11968" s="193"/>
      <c r="E11968" s="41"/>
      <c r="F11968" s="42"/>
      <c r="G11968" s="43">
        <f>+G11951+G11960+G11966</f>
        <v>2307154.3352271952</v>
      </c>
    </row>
    <row r="11969" spans="1:8" ht="21.75" thickBot="1">
      <c r="B11969" s="212" t="s">
        <v>550</v>
      </c>
      <c r="C11969" s="2"/>
      <c r="D11969" s="183"/>
      <c r="F11969" s="4"/>
      <c r="G11969" s="5"/>
    </row>
    <row r="11970" spans="1:8" ht="18.75">
      <c r="A11970" s="213"/>
      <c r="B11970" s="214">
        <v>272</v>
      </c>
      <c r="C11970" s="242" t="str">
        <f ca="1">_xlfn.XLOOKUP(B11970,Cantidades!$A$10:$A$314,Cantidades!$C$10:$C$314,,0,1)</f>
        <v>Suministro e instalación de interruptor automático 3x50A en caja moldeada</v>
      </c>
      <c r="D11970" s="243"/>
      <c r="E11970" s="243"/>
      <c r="F11970" s="243"/>
      <c r="G11970" s="244"/>
      <c r="H11970" s="213"/>
    </row>
    <row r="11971" spans="1:8" ht="19.5" thickBot="1">
      <c r="A11971" s="215"/>
      <c r="B11971" s="216" t="s">
        <v>550</v>
      </c>
      <c r="C11971" s="177"/>
      <c r="D11971" s="189"/>
      <c r="E11971" s="178"/>
      <c r="F11971" s="179" t="s">
        <v>636</v>
      </c>
      <c r="G11971" s="209" t="str">
        <f ca="1">B11972</f>
        <v>1609103A-</v>
      </c>
      <c r="H11971" s="215"/>
    </row>
    <row r="11972" spans="1:8" ht="15.75" thickBot="1">
      <c r="B11972" s="212" t="str">
        <f ca="1">_xlfn.XLOOKUP(C11970,Cantidades!$C$1:$C$314,Cantidades!$B$1:$B$314,"",0,1)</f>
        <v>1609103A-</v>
      </c>
      <c r="C11972" s="10" t="s">
        <v>0</v>
      </c>
      <c r="D11972" s="190"/>
      <c r="E11972" s="11"/>
      <c r="F11972" s="12"/>
      <c r="G11972" s="13"/>
    </row>
    <row r="11973" spans="1:8" ht="14.25" thickBot="1">
      <c r="A11973" s="215"/>
      <c r="B11973" s="216" t="s">
        <v>550</v>
      </c>
      <c r="C11973" s="14" t="s">
        <v>1</v>
      </c>
      <c r="D11973" s="15" t="s">
        <v>2</v>
      </c>
      <c r="E11973" s="15" t="s">
        <v>3</v>
      </c>
      <c r="F11973" s="16" t="s">
        <v>4</v>
      </c>
      <c r="G11973" s="15" t="s">
        <v>5</v>
      </c>
      <c r="H11973" s="215"/>
    </row>
    <row r="11974" spans="1:8" ht="15">
      <c r="A11974" s="211" t="s">
        <v>484</v>
      </c>
      <c r="B11974" s="216" t="str">
        <f ca="1">_xlfn.CONCAT(B11972,A11974)</f>
        <v>1609103A-A</v>
      </c>
      <c r="C11974" s="17" t="str">
        <f>_xlfn.XLOOKUP(H11974,'Materiales unitario'!$A$1:$A$2500,'Materiales unitario'!B$1:B$2500,,0,1)</f>
        <v>Totalizador industrial 3x50 amperios</v>
      </c>
      <c r="D11974" s="184" t="str">
        <f>_xlfn.XLOOKUP(H11974,'Materiales unitario'!A$1:A$2500,'Materiales unitario'!C$1:C$2500,,0,1)</f>
        <v>un</v>
      </c>
      <c r="E11974" s="197">
        <f>_xlfn.XLOOKUP(H11974,'Materiales unitario'!$A$1:$A$2500,'Materiales unitario'!D$1:D$2500,,0,1)</f>
        <v>267600</v>
      </c>
      <c r="F11974" s="19">
        <v>1</v>
      </c>
      <c r="G11974" s="20">
        <f>+E11974*F11974</f>
        <v>267600</v>
      </c>
      <c r="H11974" s="217" t="s">
        <v>1799</v>
      </c>
    </row>
    <row r="11975" spans="1:8" ht="15">
      <c r="A11975" s="211" t="s">
        <v>485</v>
      </c>
      <c r="B11975" s="216" t="str">
        <f ca="1">_xlfn.CONCAT(B11972,A11975)</f>
        <v>1609103A-B</v>
      </c>
      <c r="C11975" s="17"/>
      <c r="D11975" s="184"/>
      <c r="E11975" s="197"/>
      <c r="F11975" s="19"/>
      <c r="G11975" s="20"/>
      <c r="H11975" s="217"/>
    </row>
    <row r="11976" spans="1:8">
      <c r="A11976" s="211" t="s">
        <v>486</v>
      </c>
      <c r="B11976" s="216" t="str">
        <f ca="1">_xlfn.CONCAT(B11972,A11976)</f>
        <v>1609103A-C</v>
      </c>
      <c r="C11976" s="17"/>
      <c r="D11976" s="184"/>
      <c r="E11976" s="197"/>
      <c r="F11976" s="19"/>
      <c r="G11976" s="20"/>
    </row>
    <row r="11977" spans="1:8">
      <c r="A11977" s="211" t="s">
        <v>487</v>
      </c>
      <c r="B11977" s="216" t="str">
        <f ca="1">_xlfn.CONCAT(B11972,A11977)</f>
        <v>1609103A-D</v>
      </c>
      <c r="C11977" s="17"/>
      <c r="D11977" s="184"/>
      <c r="E11977" s="197"/>
      <c r="F11977" s="19"/>
      <c r="G11977" s="20"/>
    </row>
    <row r="11978" spans="1:8">
      <c r="A11978" s="211" t="s">
        <v>488</v>
      </c>
      <c r="B11978" s="216" t="str">
        <f ca="1">_xlfn.CONCAT(B11972,A11978)</f>
        <v>1609103A-E</v>
      </c>
      <c r="C11978" s="17"/>
      <c r="D11978" s="184"/>
      <c r="E11978" s="197"/>
      <c r="F11978" s="19"/>
      <c r="G11978" s="20"/>
    </row>
    <row r="11979" spans="1:8">
      <c r="A11979" s="211" t="s">
        <v>489</v>
      </c>
      <c r="B11979" s="216" t="str">
        <f ca="1">_xlfn.CONCAT(B11972,A11979)</f>
        <v>1609103A-F</v>
      </c>
      <c r="C11979" s="17"/>
      <c r="D11979" s="184"/>
      <c r="E11979" s="197"/>
      <c r="F11979" s="19"/>
      <c r="G11979" s="20"/>
    </row>
    <row r="11980" spans="1:8">
      <c r="A11980" s="211" t="s">
        <v>490</v>
      </c>
      <c r="B11980" s="216" t="str">
        <f ca="1">_xlfn.CONCAT(B11972,A11980)</f>
        <v>1609103A-G</v>
      </c>
      <c r="C11980" s="17"/>
      <c r="D11980" s="184"/>
      <c r="E11980" s="197"/>
      <c r="F11980" s="19"/>
      <c r="G11980" s="20"/>
    </row>
    <row r="11981" spans="1:8">
      <c r="A11981" s="211" t="s">
        <v>491</v>
      </c>
      <c r="B11981" s="216" t="str">
        <f ca="1">_xlfn.CONCAT(B11972,A11981)</f>
        <v>1609103A-H</v>
      </c>
      <c r="C11981" s="17"/>
      <c r="D11981" s="184"/>
      <c r="E11981" s="197"/>
      <c r="F11981" s="19"/>
      <c r="G11981" s="20"/>
    </row>
    <row r="11982" spans="1:8">
      <c r="A11982" s="211" t="s">
        <v>492</v>
      </c>
      <c r="B11982" s="216" t="str">
        <f ca="1">_xlfn.CONCAT(B11972,A11982)</f>
        <v>1609103A-I</v>
      </c>
      <c r="C11982" s="17"/>
      <c r="D11982" s="184"/>
      <c r="E11982" s="197"/>
      <c r="F11982" s="19"/>
      <c r="G11982" s="20"/>
    </row>
    <row r="11983" spans="1:8">
      <c r="A11983" s="211" t="s">
        <v>493</v>
      </c>
      <c r="B11983" s="216" t="str">
        <f ca="1">_xlfn.CONCAT(B11972,A11983)</f>
        <v>1609103A-J</v>
      </c>
      <c r="C11983" s="17"/>
      <c r="D11983" s="184"/>
      <c r="E11983" s="197"/>
      <c r="F11983" s="19"/>
      <c r="G11983" s="20"/>
    </row>
    <row r="11984" spans="1:8">
      <c r="A11984" s="211" t="s">
        <v>494</v>
      </c>
      <c r="B11984" s="216" t="str">
        <f ca="1">_xlfn.CONCAT(B11972,A11984)</f>
        <v>1609103A-K</v>
      </c>
      <c r="C11984" s="17"/>
      <c r="D11984" s="184"/>
      <c r="E11984" s="197"/>
      <c r="F11984" s="19"/>
      <c r="G11984" s="20"/>
    </row>
    <row r="11985" spans="1:8">
      <c r="A11985" s="211" t="s">
        <v>495</v>
      </c>
      <c r="B11985" s="216" t="str">
        <f ca="1">_xlfn.CONCAT(B11972,A11985)</f>
        <v>1609103A-L</v>
      </c>
      <c r="C11985" s="17"/>
      <c r="D11985" s="184"/>
      <c r="E11985" s="197"/>
      <c r="F11985" s="19"/>
      <c r="G11985" s="20"/>
    </row>
    <row r="11986" spans="1:8">
      <c r="A11986" s="211" t="s">
        <v>496</v>
      </c>
      <c r="B11986" s="216" t="str">
        <f ca="1">_xlfn.CONCAT(B11972,A11986)</f>
        <v>1609103A-M</v>
      </c>
      <c r="C11986" s="17"/>
      <c r="D11986" s="184"/>
      <c r="E11986" s="197"/>
      <c r="F11986" s="19"/>
      <c r="G11986" s="20"/>
    </row>
    <row r="11987" spans="1:8">
      <c r="A11987" s="211" t="s">
        <v>497</v>
      </c>
      <c r="B11987" s="216" t="str">
        <f ca="1">_xlfn.CONCAT(B11972,A11987)</f>
        <v>1609103A-N</v>
      </c>
      <c r="C11987" s="17"/>
      <c r="D11987" s="184"/>
      <c r="E11987" s="197"/>
      <c r="F11987" s="19"/>
      <c r="G11987" s="20"/>
    </row>
    <row r="11988" spans="1:8">
      <c r="A11988" s="211" t="s">
        <v>498</v>
      </c>
      <c r="B11988" s="216" t="str">
        <f ca="1">_xlfn.CONCAT(B11972,A11988)</f>
        <v>1609103A-O</v>
      </c>
      <c r="C11988" s="17"/>
      <c r="D11988" s="184"/>
      <c r="E11988" s="197"/>
      <c r="F11988" s="19"/>
      <c r="G11988" s="20"/>
    </row>
    <row r="11989" spans="1:8">
      <c r="A11989" s="211" t="s">
        <v>499</v>
      </c>
      <c r="B11989" s="216" t="str">
        <f ca="1">_xlfn.CONCAT(B11972,A11989)</f>
        <v>1609103A-P</v>
      </c>
      <c r="C11989" s="17"/>
      <c r="D11989" s="184"/>
      <c r="E11989" s="197"/>
      <c r="F11989" s="19"/>
      <c r="G11989" s="20"/>
    </row>
    <row r="11990" spans="1:8">
      <c r="A11990" s="211" t="s">
        <v>500</v>
      </c>
      <c r="B11990" s="216" t="str">
        <f ca="1">_xlfn.CONCAT(B11972,A11990)</f>
        <v>1609103A-Q</v>
      </c>
      <c r="C11990" s="17"/>
      <c r="D11990" s="184"/>
      <c r="E11990" s="197"/>
      <c r="F11990" s="19"/>
      <c r="G11990" s="20"/>
    </row>
    <row r="11991" spans="1:8">
      <c r="A11991" s="211" t="s">
        <v>501</v>
      </c>
      <c r="B11991" s="216" t="str">
        <f ca="1">_xlfn.CONCAT(B11972,A11991)</f>
        <v>1609103A-R</v>
      </c>
      <c r="C11991" s="17"/>
      <c r="D11991" s="184"/>
      <c r="E11991" s="197"/>
      <c r="F11991" s="19"/>
      <c r="G11991" s="20"/>
    </row>
    <row r="11992" spans="1:8">
      <c r="A11992" s="211" t="s">
        <v>502</v>
      </c>
      <c r="B11992" s="216" t="str">
        <f ca="1">_xlfn.CONCAT(B11972,A11992)</f>
        <v>1609103A-S</v>
      </c>
      <c r="C11992" s="17"/>
      <c r="D11992" s="184"/>
      <c r="E11992" s="197"/>
      <c r="F11992" s="19"/>
      <c r="G11992" s="20"/>
    </row>
    <row r="11993" spans="1:8">
      <c r="A11993" s="211" t="s">
        <v>503</v>
      </c>
      <c r="B11993" s="216" t="str">
        <f ca="1">_xlfn.CONCAT(B11972,A11993)</f>
        <v>1609103A-T</v>
      </c>
      <c r="C11993" s="17"/>
      <c r="D11993" s="184"/>
      <c r="E11993" s="197"/>
      <c r="F11993" s="19"/>
      <c r="G11993" s="20"/>
    </row>
    <row r="11994" spans="1:8" ht="14.25" thickBot="1">
      <c r="A11994" s="211" t="s">
        <v>504</v>
      </c>
      <c r="B11994" s="216" t="str">
        <f ca="1">_xlfn.CONCAT(B11972,A11994)</f>
        <v>1609103A-U</v>
      </c>
      <c r="C11994" s="17"/>
      <c r="D11994" s="184"/>
      <c r="E11994" s="197"/>
      <c r="F11994" s="19"/>
      <c r="G11994" s="20"/>
    </row>
    <row r="11995" spans="1:8" ht="14.25" thickBot="1">
      <c r="A11995" s="211" t="s">
        <v>505</v>
      </c>
      <c r="B11995" s="216" t="str">
        <f ca="1">_xlfn.CONCAT(B11972,A11995)</f>
        <v>1609103A-V</v>
      </c>
      <c r="C11995" s="17" t="s">
        <v>17</v>
      </c>
      <c r="D11995" s="192" t="s">
        <v>17</v>
      </c>
      <c r="E11995" s="18"/>
      <c r="F11995" s="22" t="s">
        <v>18</v>
      </c>
      <c r="G11995" s="23">
        <f>SUM(G11974:G11994)</f>
        <v>267600</v>
      </c>
    </row>
    <row r="11996" spans="1:8" ht="15.75" thickBot="1">
      <c r="A11996" s="211" t="s">
        <v>506</v>
      </c>
      <c r="B11996" s="216" t="str">
        <f ca="1">_xlfn.CONCAT(B11972,A11996)</f>
        <v>1609103A-W</v>
      </c>
      <c r="C11996" s="10" t="s">
        <v>19</v>
      </c>
      <c r="D11996" s="190"/>
      <c r="E11996" s="11"/>
      <c r="F11996" s="12"/>
      <c r="G11996" s="13"/>
    </row>
    <row r="11997" spans="1:8" ht="14.25" thickBot="1">
      <c r="A11997" s="211" t="s">
        <v>507</v>
      </c>
      <c r="B11997" s="216" t="str">
        <f ca="1">_xlfn.CONCAT(B11972,A11997)</f>
        <v>1609103A-X</v>
      </c>
      <c r="C11997" s="14" t="s">
        <v>1</v>
      </c>
      <c r="D11997" s="15"/>
      <c r="E11997" s="15" t="s">
        <v>20</v>
      </c>
      <c r="F11997" s="16" t="s">
        <v>21</v>
      </c>
      <c r="G11997" s="15" t="s">
        <v>5</v>
      </c>
      <c r="H11997" s="215"/>
    </row>
    <row r="11998" spans="1:8">
      <c r="A11998" s="211" t="s">
        <v>508</v>
      </c>
      <c r="B11998" s="216" t="str">
        <f ca="1">_xlfn.CONCAT(B11972,A11998)</f>
        <v>1609103A-Y</v>
      </c>
      <c r="C11998" s="24" t="s">
        <v>22</v>
      </c>
      <c r="D11998" s="184"/>
      <c r="E11998" s="25">
        <f>_xlfn.XLOOKUP(C11998,'H-MO'!B$7:B$30,'H-MO'!D$7:D$30,,0,1)</f>
        <v>2436.5624999999995</v>
      </c>
      <c r="F11998" s="19">
        <v>0.4</v>
      </c>
      <c r="G11998" s="33">
        <f t="shared" ref="G11998:G12003" si="350">+E11998*F11998</f>
        <v>974.62499999999989</v>
      </c>
    </row>
    <row r="11999" spans="1:8">
      <c r="A11999" s="211" t="s">
        <v>509</v>
      </c>
      <c r="B11999" s="216" t="str">
        <f ca="1">_xlfn.CONCAT(B11972,A11999)</f>
        <v>1609103A-Z</v>
      </c>
      <c r="C11999" s="24" t="s">
        <v>23</v>
      </c>
      <c r="D11999" s="184"/>
      <c r="E11999" s="25">
        <f>_xlfn.XLOOKUP(C11999,'H-MO'!B$7:B$30,'H-MO'!D$7:D$30,,0,1)</f>
        <v>1461.9374999999998</v>
      </c>
      <c r="F11999" s="19">
        <v>0.5</v>
      </c>
      <c r="G11999" s="33">
        <f t="shared" si="350"/>
        <v>730.96874999999989</v>
      </c>
    </row>
    <row r="12000" spans="1:8">
      <c r="A12000" s="211" t="s">
        <v>510</v>
      </c>
      <c r="B12000" s="216" t="str">
        <f ca="1">_xlfn.CONCAT(B11972,A12000)</f>
        <v>1609103A-aa</v>
      </c>
      <c r="C12000" s="24" t="s">
        <v>24</v>
      </c>
      <c r="D12000" s="185"/>
      <c r="E12000" s="25">
        <f>_xlfn.XLOOKUP(C12000,'H-MO'!B$7:B$30,'H-MO'!D$7:D$30,,0,1)</f>
        <v>29238.749999999996</v>
      </c>
      <c r="F12000" s="28">
        <v>0.05</v>
      </c>
      <c r="G12000" s="33">
        <f t="shared" si="350"/>
        <v>1461.9375</v>
      </c>
    </row>
    <row r="12001" spans="1:8">
      <c r="A12001" s="211" t="s">
        <v>511</v>
      </c>
      <c r="B12001" s="216" t="str">
        <f ca="1">_xlfn.CONCAT(B11972,A12001)</f>
        <v>1609103A-ab</v>
      </c>
      <c r="C12001" s="24" t="s">
        <v>25</v>
      </c>
      <c r="D12001" s="185"/>
      <c r="E12001" s="25">
        <f>_xlfn.XLOOKUP(C12001,'H-MO'!B$7:B$30,'H-MO'!D$7:D$30,,0,1)</f>
        <v>2761.4374999999995</v>
      </c>
      <c r="F12001" s="28">
        <v>0.01</v>
      </c>
      <c r="G12001" s="33">
        <f t="shared" si="350"/>
        <v>27.614374999999995</v>
      </c>
    </row>
    <row r="12002" spans="1:8">
      <c r="A12002" s="211" t="s">
        <v>512</v>
      </c>
      <c r="B12002" s="216" t="str">
        <f ca="1">_xlfn.CONCAT(B11972,A12002)</f>
        <v>1609103A-ac</v>
      </c>
      <c r="C12002" s="24"/>
      <c r="D12002" s="185"/>
      <c r="E12002" s="29"/>
      <c r="F12002" s="28"/>
      <c r="G12002" s="33">
        <f t="shared" si="350"/>
        <v>0</v>
      </c>
    </row>
    <row r="12003" spans="1:8" ht="14.25" thickBot="1">
      <c r="A12003" s="211" t="s">
        <v>513</v>
      </c>
      <c r="B12003" s="216" t="str">
        <f ca="1">_xlfn.CONCAT(B11972,A12003)</f>
        <v>1609103A-ad</v>
      </c>
      <c r="C12003" s="24"/>
      <c r="D12003" s="185"/>
      <c r="E12003" s="29"/>
      <c r="F12003" s="28"/>
      <c r="G12003" s="33">
        <f t="shared" si="350"/>
        <v>0</v>
      </c>
    </row>
    <row r="12004" spans="1:8" ht="14.25" thickBot="1">
      <c r="A12004" s="211" t="s">
        <v>514</v>
      </c>
      <c r="B12004" s="216" t="str">
        <f ca="1">_xlfn.CONCAT(B11972,A12004)</f>
        <v>1609103A-ae</v>
      </c>
      <c r="C12004" s="17"/>
      <c r="D12004" s="192"/>
      <c r="E12004" s="18"/>
      <c r="F12004" s="22" t="s">
        <v>26</v>
      </c>
      <c r="G12004" s="23">
        <f>SUM(G11998:G12003)</f>
        <v>3195.1456250000001</v>
      </c>
    </row>
    <row r="12005" spans="1:8" ht="15.75" thickBot="1">
      <c r="A12005" s="211" t="s">
        <v>515</v>
      </c>
      <c r="B12005" s="216" t="str">
        <f ca="1">_xlfn.CONCAT(B11972,A12005)</f>
        <v>1609103A-af</v>
      </c>
      <c r="C12005" s="10" t="s">
        <v>27</v>
      </c>
      <c r="D12005" s="190"/>
      <c r="E12005" s="11"/>
      <c r="F12005" s="12"/>
      <c r="G12005" s="13"/>
    </row>
    <row r="12006" spans="1:8" ht="14.25" thickBot="1">
      <c r="A12006" s="211" t="s">
        <v>516</v>
      </c>
      <c r="B12006" s="216" t="str">
        <f ca="1">_xlfn.CONCAT(B11972,A12006)</f>
        <v>1609103A-ag</v>
      </c>
      <c r="C12006" s="14" t="s">
        <v>1</v>
      </c>
      <c r="D12006" s="15" t="s">
        <v>28</v>
      </c>
      <c r="E12006" s="15" t="s">
        <v>20</v>
      </c>
      <c r="F12006" s="16" t="s">
        <v>21</v>
      </c>
      <c r="G12006" s="15" t="s">
        <v>5</v>
      </c>
      <c r="H12006" s="215"/>
    </row>
    <row r="12007" spans="1:8">
      <c r="A12007" s="211" t="s">
        <v>517</v>
      </c>
      <c r="B12007" s="216" t="str">
        <f ca="1">_xlfn.CONCAT(B11972,A12007)</f>
        <v>1609103A-ah</v>
      </c>
      <c r="C12007" s="30" t="s">
        <v>29</v>
      </c>
      <c r="D12007" s="186">
        <f>'H-MO'!$N$77</f>
        <v>725918.52892505517</v>
      </c>
      <c r="E12007" s="31">
        <f>+D12007/8</f>
        <v>90739.816115631897</v>
      </c>
      <c r="F12007" s="32">
        <v>0.45</v>
      </c>
      <c r="G12007" s="33">
        <f>+E12007*F12007</f>
        <v>40832.917252034356</v>
      </c>
    </row>
    <row r="12008" spans="1:8">
      <c r="A12008" s="211" t="s">
        <v>518</v>
      </c>
      <c r="B12008" s="216" t="str">
        <f ca="1">_xlfn.CONCAT(B11972,A12008)</f>
        <v>1609103A-ai</v>
      </c>
      <c r="C12008" s="34" t="s">
        <v>30</v>
      </c>
      <c r="D12008" s="187">
        <f>'H-MO'!$N$86</f>
        <v>685561.39085756091</v>
      </c>
      <c r="E12008" s="29">
        <f>+D12008/8</f>
        <v>85695.173857195114</v>
      </c>
      <c r="F12008" s="28">
        <v>0</v>
      </c>
      <c r="G12008" s="33">
        <f>+E12008*F12008</f>
        <v>0</v>
      </c>
    </row>
    <row r="12009" spans="1:8" ht="14.25" thickBot="1">
      <c r="A12009" s="211" t="s">
        <v>519</v>
      </c>
      <c r="B12009" s="216" t="str">
        <f ca="1">_xlfn.CONCAT(B11972,A12009)</f>
        <v>1609103A-aj</v>
      </c>
      <c r="C12009" s="34"/>
      <c r="D12009" s="187"/>
      <c r="E12009" s="29"/>
      <c r="F12009" s="28"/>
      <c r="G12009" s="33">
        <f>+E12009*F12009</f>
        <v>0</v>
      </c>
    </row>
    <row r="12010" spans="1:8" ht="14.25" thickBot="1">
      <c r="A12010" s="211" t="s">
        <v>520</v>
      </c>
      <c r="B12010" s="216" t="str">
        <f ca="1">_xlfn.CONCAT(B11972,A12010)</f>
        <v>1609103A-ak</v>
      </c>
      <c r="C12010" s="34"/>
      <c r="D12010" s="185"/>
      <c r="E12010" s="26"/>
      <c r="F12010" s="36" t="s">
        <v>31</v>
      </c>
      <c r="G12010" s="23">
        <f>SUM(G12007:G12009)</f>
        <v>40832.917252034356</v>
      </c>
    </row>
    <row r="12011" spans="1:8" ht="14.25" thickBot="1">
      <c r="A12011" s="211" t="s">
        <v>521</v>
      </c>
      <c r="B12011" s="216" t="str">
        <f ca="1">_xlfn.CONCAT(B11972,A12011)</f>
        <v>1609103A-al</v>
      </c>
      <c r="C12011" s="37"/>
      <c r="E12011" s="38"/>
      <c r="F12011" s="22"/>
      <c r="G12011" s="39"/>
    </row>
    <row r="12012" spans="1:8" ht="16.5" thickBot="1">
      <c r="A12012" s="211" t="s">
        <v>522</v>
      </c>
      <c r="B12012" s="216" t="str">
        <f ca="1">_xlfn.CONCAT(B11972,A12012)</f>
        <v>1609103A-am</v>
      </c>
      <c r="C12012" s="40"/>
      <c r="D12012" s="193"/>
      <c r="E12012" s="41"/>
      <c r="F12012" s="42"/>
      <c r="G12012" s="43">
        <f>+G11995+G12004+G12010</f>
        <v>311628.06287703436</v>
      </c>
    </row>
    <row r="12013" spans="1:8" ht="21.75" thickBot="1">
      <c r="B12013" s="212" t="s">
        <v>550</v>
      </c>
      <c r="C12013" s="2"/>
      <c r="D12013" s="183"/>
      <c r="F12013" s="4"/>
      <c r="G12013" s="5"/>
    </row>
    <row r="12014" spans="1:8" ht="18.75">
      <c r="A12014" s="213"/>
      <c r="B12014" s="214">
        <v>273</v>
      </c>
      <c r="C12014" s="242" t="str">
        <f ca="1">_xlfn.XLOOKUP(B12014,Cantidades!$A$10:$A$314,Cantidades!$C$10:$C$314,,0,1)</f>
        <v>Suministro e instalación de interruptor automático 3x20A en caja moldeada</v>
      </c>
      <c r="D12014" s="243"/>
      <c r="E12014" s="243"/>
      <c r="F12014" s="243"/>
      <c r="G12014" s="244"/>
      <c r="H12014" s="213"/>
    </row>
    <row r="12015" spans="1:8" ht="19.5" thickBot="1">
      <c r="A12015" s="215"/>
      <c r="B12015" s="216" t="s">
        <v>550</v>
      </c>
      <c r="C12015" s="177"/>
      <c r="D12015" s="189"/>
      <c r="E12015" s="178"/>
      <c r="F12015" s="179" t="s">
        <v>636</v>
      </c>
      <c r="G12015" s="209" t="str">
        <f ca="1">B12016</f>
        <v>1609A20A-</v>
      </c>
      <c r="H12015" s="215"/>
    </row>
    <row r="12016" spans="1:8" ht="15.75" thickBot="1">
      <c r="B12016" s="212" t="str">
        <f ca="1">_xlfn.XLOOKUP(C12014,Cantidades!$C$1:$C$314,Cantidades!$B$1:$B$314,"",0,1)</f>
        <v>1609A20A-</v>
      </c>
      <c r="C12016" s="10" t="s">
        <v>0</v>
      </c>
      <c r="D12016" s="190"/>
      <c r="E12016" s="11"/>
      <c r="F12016" s="12"/>
      <c r="G12016" s="13"/>
    </row>
    <row r="12017" spans="1:8" ht="14.25" thickBot="1">
      <c r="A12017" s="215"/>
      <c r="B12017" s="216" t="s">
        <v>550</v>
      </c>
      <c r="C12017" s="14" t="s">
        <v>1</v>
      </c>
      <c r="D12017" s="15" t="s">
        <v>2</v>
      </c>
      <c r="E12017" s="15" t="s">
        <v>3</v>
      </c>
      <c r="F12017" s="16" t="s">
        <v>4</v>
      </c>
      <c r="G12017" s="15" t="s">
        <v>5</v>
      </c>
      <c r="H12017" s="215"/>
    </row>
    <row r="12018" spans="1:8" ht="15">
      <c r="A12018" s="211" t="s">
        <v>484</v>
      </c>
      <c r="B12018" s="216" t="str">
        <f ca="1">_xlfn.CONCAT(B12016,A12018)</f>
        <v>1609A20A-A</v>
      </c>
      <c r="C12018" s="17" t="str">
        <f>_xlfn.XLOOKUP(H12018,'Materiales unitario'!$A$1:$A$2500,'Materiales unitario'!B$1:B$2500,,0,1)</f>
        <v>Totalizador industrial 3x20 amperios</v>
      </c>
      <c r="D12018" s="184" t="str">
        <f>_xlfn.XLOOKUP(H12018,'Materiales unitario'!A$1:A$2500,'Materiales unitario'!C$1:C$2500,,0,1)</f>
        <v>un</v>
      </c>
      <c r="E12018" s="197">
        <f>_xlfn.XLOOKUP(H12018,'Materiales unitario'!$A$1:$A$2500,'Materiales unitario'!D$1:D$2500,,0,1)</f>
        <v>223000</v>
      </c>
      <c r="F12018" s="19">
        <v>1</v>
      </c>
      <c r="G12018" s="20">
        <f>+E12018*F12018</f>
        <v>223000</v>
      </c>
      <c r="H12018" s="217" t="s">
        <v>1801</v>
      </c>
    </row>
    <row r="12019" spans="1:8" ht="15">
      <c r="A12019" s="211" t="s">
        <v>485</v>
      </c>
      <c r="B12019" s="216" t="str">
        <f ca="1">_xlfn.CONCAT(B12016,A12019)</f>
        <v>1609A20A-B</v>
      </c>
      <c r="C12019" s="17"/>
      <c r="D12019" s="184"/>
      <c r="E12019" s="197"/>
      <c r="F12019" s="19"/>
      <c r="G12019" s="20"/>
      <c r="H12019" s="217"/>
    </row>
    <row r="12020" spans="1:8">
      <c r="A12020" s="211" t="s">
        <v>486</v>
      </c>
      <c r="B12020" s="216" t="str">
        <f ca="1">_xlfn.CONCAT(B12016,A12020)</f>
        <v>1609A20A-C</v>
      </c>
      <c r="C12020" s="17"/>
      <c r="D12020" s="184"/>
      <c r="E12020" s="197"/>
      <c r="F12020" s="19"/>
      <c r="G12020" s="20"/>
    </row>
    <row r="12021" spans="1:8">
      <c r="A12021" s="211" t="s">
        <v>487</v>
      </c>
      <c r="B12021" s="216" t="str">
        <f ca="1">_xlfn.CONCAT(B12016,A12021)</f>
        <v>1609A20A-D</v>
      </c>
      <c r="C12021" s="17"/>
      <c r="D12021" s="184"/>
      <c r="E12021" s="197"/>
      <c r="F12021" s="19"/>
      <c r="G12021" s="20"/>
    </row>
    <row r="12022" spans="1:8">
      <c r="A12022" s="211" t="s">
        <v>488</v>
      </c>
      <c r="B12022" s="216" t="str">
        <f ca="1">_xlfn.CONCAT(B12016,A12022)</f>
        <v>1609A20A-E</v>
      </c>
      <c r="C12022" s="17"/>
      <c r="D12022" s="184"/>
      <c r="E12022" s="197"/>
      <c r="F12022" s="19"/>
      <c r="G12022" s="20"/>
    </row>
    <row r="12023" spans="1:8">
      <c r="A12023" s="211" t="s">
        <v>489</v>
      </c>
      <c r="B12023" s="216" t="str">
        <f ca="1">_xlfn.CONCAT(B12016,A12023)</f>
        <v>1609A20A-F</v>
      </c>
      <c r="C12023" s="17"/>
      <c r="D12023" s="184"/>
      <c r="E12023" s="197"/>
      <c r="F12023" s="19"/>
      <c r="G12023" s="20"/>
    </row>
    <row r="12024" spans="1:8">
      <c r="A12024" s="211" t="s">
        <v>490</v>
      </c>
      <c r="B12024" s="216" t="str">
        <f ca="1">_xlfn.CONCAT(B12016,A12024)</f>
        <v>1609A20A-G</v>
      </c>
      <c r="C12024" s="17"/>
      <c r="D12024" s="184"/>
      <c r="E12024" s="197"/>
      <c r="F12024" s="19"/>
      <c r="G12024" s="20"/>
    </row>
    <row r="12025" spans="1:8">
      <c r="A12025" s="211" t="s">
        <v>491</v>
      </c>
      <c r="B12025" s="216" t="str">
        <f ca="1">_xlfn.CONCAT(B12016,A12025)</f>
        <v>1609A20A-H</v>
      </c>
      <c r="C12025" s="17"/>
      <c r="D12025" s="184"/>
      <c r="E12025" s="197"/>
      <c r="F12025" s="19"/>
      <c r="G12025" s="20"/>
    </row>
    <row r="12026" spans="1:8">
      <c r="A12026" s="211" t="s">
        <v>492</v>
      </c>
      <c r="B12026" s="216" t="str">
        <f ca="1">_xlfn.CONCAT(B12016,A12026)</f>
        <v>1609A20A-I</v>
      </c>
      <c r="C12026" s="17"/>
      <c r="D12026" s="184"/>
      <c r="E12026" s="197"/>
      <c r="F12026" s="19"/>
      <c r="G12026" s="20"/>
    </row>
    <row r="12027" spans="1:8">
      <c r="A12027" s="211" t="s">
        <v>493</v>
      </c>
      <c r="B12027" s="216" t="str">
        <f ca="1">_xlfn.CONCAT(B12016,A12027)</f>
        <v>1609A20A-J</v>
      </c>
      <c r="C12027" s="17"/>
      <c r="D12027" s="184"/>
      <c r="E12027" s="197"/>
      <c r="F12027" s="19"/>
      <c r="G12027" s="20"/>
    </row>
    <row r="12028" spans="1:8">
      <c r="A12028" s="211" t="s">
        <v>494</v>
      </c>
      <c r="B12028" s="216" t="str">
        <f ca="1">_xlfn.CONCAT(B12016,A12028)</f>
        <v>1609A20A-K</v>
      </c>
      <c r="C12028" s="17"/>
      <c r="D12028" s="184"/>
      <c r="E12028" s="197"/>
      <c r="F12028" s="19"/>
      <c r="G12028" s="20"/>
    </row>
    <row r="12029" spans="1:8">
      <c r="A12029" s="211" t="s">
        <v>495</v>
      </c>
      <c r="B12029" s="216" t="str">
        <f ca="1">_xlfn.CONCAT(B12016,A12029)</f>
        <v>1609A20A-L</v>
      </c>
      <c r="C12029" s="17"/>
      <c r="D12029" s="184"/>
      <c r="E12029" s="197"/>
      <c r="F12029" s="19"/>
      <c r="G12029" s="20"/>
    </row>
    <row r="12030" spans="1:8">
      <c r="A12030" s="211" t="s">
        <v>496</v>
      </c>
      <c r="B12030" s="216" t="str">
        <f ca="1">_xlfn.CONCAT(B12016,A12030)</f>
        <v>1609A20A-M</v>
      </c>
      <c r="C12030" s="17"/>
      <c r="D12030" s="184"/>
      <c r="E12030" s="197"/>
      <c r="F12030" s="19"/>
      <c r="G12030" s="20"/>
    </row>
    <row r="12031" spans="1:8">
      <c r="A12031" s="211" t="s">
        <v>497</v>
      </c>
      <c r="B12031" s="216" t="str">
        <f ca="1">_xlfn.CONCAT(B12016,A12031)</f>
        <v>1609A20A-N</v>
      </c>
      <c r="C12031" s="17"/>
      <c r="D12031" s="184"/>
      <c r="E12031" s="197"/>
      <c r="F12031" s="19"/>
      <c r="G12031" s="20"/>
    </row>
    <row r="12032" spans="1:8">
      <c r="A12032" s="211" t="s">
        <v>498</v>
      </c>
      <c r="B12032" s="216" t="str">
        <f ca="1">_xlfn.CONCAT(B12016,A12032)</f>
        <v>1609A20A-O</v>
      </c>
      <c r="C12032" s="17"/>
      <c r="D12032" s="184"/>
      <c r="E12032" s="197"/>
      <c r="F12032" s="19"/>
      <c r="G12032" s="20"/>
    </row>
    <row r="12033" spans="1:8">
      <c r="A12033" s="211" t="s">
        <v>499</v>
      </c>
      <c r="B12033" s="216" t="str">
        <f ca="1">_xlfn.CONCAT(B12016,A12033)</f>
        <v>1609A20A-P</v>
      </c>
      <c r="C12033" s="17"/>
      <c r="D12033" s="184"/>
      <c r="E12033" s="197"/>
      <c r="F12033" s="19"/>
      <c r="G12033" s="20"/>
    </row>
    <row r="12034" spans="1:8">
      <c r="A12034" s="211" t="s">
        <v>500</v>
      </c>
      <c r="B12034" s="216" t="str">
        <f ca="1">_xlfn.CONCAT(B12016,A12034)</f>
        <v>1609A20A-Q</v>
      </c>
      <c r="C12034" s="17"/>
      <c r="D12034" s="184"/>
      <c r="E12034" s="197"/>
      <c r="F12034" s="19"/>
      <c r="G12034" s="20"/>
    </row>
    <row r="12035" spans="1:8">
      <c r="A12035" s="211" t="s">
        <v>501</v>
      </c>
      <c r="B12035" s="216" t="str">
        <f ca="1">_xlfn.CONCAT(B12016,A12035)</f>
        <v>1609A20A-R</v>
      </c>
      <c r="C12035" s="17"/>
      <c r="D12035" s="184"/>
      <c r="E12035" s="197"/>
      <c r="F12035" s="19"/>
      <c r="G12035" s="20"/>
    </row>
    <row r="12036" spans="1:8">
      <c r="A12036" s="211" t="s">
        <v>502</v>
      </c>
      <c r="B12036" s="216" t="str">
        <f ca="1">_xlfn.CONCAT(B12016,A12036)</f>
        <v>1609A20A-S</v>
      </c>
      <c r="C12036" s="17"/>
      <c r="D12036" s="184"/>
      <c r="E12036" s="197"/>
      <c r="F12036" s="19"/>
      <c r="G12036" s="20"/>
    </row>
    <row r="12037" spans="1:8">
      <c r="A12037" s="211" t="s">
        <v>503</v>
      </c>
      <c r="B12037" s="216" t="str">
        <f ca="1">_xlfn.CONCAT(B12016,A12037)</f>
        <v>1609A20A-T</v>
      </c>
      <c r="C12037" s="17"/>
      <c r="D12037" s="184"/>
      <c r="E12037" s="197"/>
      <c r="F12037" s="19"/>
      <c r="G12037" s="20"/>
    </row>
    <row r="12038" spans="1:8" ht="14.25" thickBot="1">
      <c r="A12038" s="211" t="s">
        <v>504</v>
      </c>
      <c r="B12038" s="216" t="str">
        <f ca="1">_xlfn.CONCAT(B12016,A12038)</f>
        <v>1609A20A-U</v>
      </c>
      <c r="C12038" s="17"/>
      <c r="D12038" s="184"/>
      <c r="E12038" s="197"/>
      <c r="F12038" s="19"/>
      <c r="G12038" s="20"/>
    </row>
    <row r="12039" spans="1:8" ht="14.25" thickBot="1">
      <c r="A12039" s="211" t="s">
        <v>505</v>
      </c>
      <c r="B12039" s="216" t="str">
        <f ca="1">_xlfn.CONCAT(B12016,A12039)</f>
        <v>1609A20A-V</v>
      </c>
      <c r="C12039" s="17" t="s">
        <v>17</v>
      </c>
      <c r="D12039" s="192" t="s">
        <v>17</v>
      </c>
      <c r="E12039" s="18"/>
      <c r="F12039" s="22" t="s">
        <v>18</v>
      </c>
      <c r="G12039" s="23">
        <f>SUM(G12018:G12038)</f>
        <v>223000</v>
      </c>
    </row>
    <row r="12040" spans="1:8" ht="15.75" thickBot="1">
      <c r="A12040" s="211" t="s">
        <v>506</v>
      </c>
      <c r="B12040" s="216" t="str">
        <f ca="1">_xlfn.CONCAT(B12016,A12040)</f>
        <v>1609A20A-W</v>
      </c>
      <c r="C12040" s="10" t="s">
        <v>19</v>
      </c>
      <c r="D12040" s="190"/>
      <c r="E12040" s="11"/>
      <c r="F12040" s="12"/>
      <c r="G12040" s="13"/>
    </row>
    <row r="12041" spans="1:8" ht="14.25" thickBot="1">
      <c r="A12041" s="211" t="s">
        <v>507</v>
      </c>
      <c r="B12041" s="216" t="str">
        <f ca="1">_xlfn.CONCAT(B12016,A12041)</f>
        <v>1609A20A-X</v>
      </c>
      <c r="C12041" s="14" t="s">
        <v>1</v>
      </c>
      <c r="D12041" s="15"/>
      <c r="E12041" s="15" t="s">
        <v>20</v>
      </c>
      <c r="F12041" s="16" t="s">
        <v>21</v>
      </c>
      <c r="G12041" s="15" t="s">
        <v>5</v>
      </c>
      <c r="H12041" s="215"/>
    </row>
    <row r="12042" spans="1:8">
      <c r="A12042" s="211" t="s">
        <v>508</v>
      </c>
      <c r="B12042" s="216" t="str">
        <f ca="1">_xlfn.CONCAT(B12016,A12042)</f>
        <v>1609A20A-Y</v>
      </c>
      <c r="C12042" s="24" t="s">
        <v>22</v>
      </c>
      <c r="D12042" s="184"/>
      <c r="E12042" s="25">
        <f>_xlfn.XLOOKUP(C12042,'H-MO'!B$7:B$30,'H-MO'!D$7:D$30,,0,1)</f>
        <v>2436.5624999999995</v>
      </c>
      <c r="F12042" s="19">
        <v>0.4</v>
      </c>
      <c r="G12042" s="33">
        <f t="shared" ref="G12042:G12047" si="351">+E12042*F12042</f>
        <v>974.62499999999989</v>
      </c>
    </row>
    <row r="12043" spans="1:8">
      <c r="A12043" s="211" t="s">
        <v>509</v>
      </c>
      <c r="B12043" s="216" t="str">
        <f ca="1">_xlfn.CONCAT(B12016,A12043)</f>
        <v>1609A20A-Z</v>
      </c>
      <c r="C12043" s="24" t="s">
        <v>23</v>
      </c>
      <c r="D12043" s="184"/>
      <c r="E12043" s="25">
        <f>_xlfn.XLOOKUP(C12043,'H-MO'!B$7:B$30,'H-MO'!D$7:D$30,,0,1)</f>
        <v>1461.9374999999998</v>
      </c>
      <c r="F12043" s="19">
        <v>0.5</v>
      </c>
      <c r="G12043" s="33">
        <f t="shared" si="351"/>
        <v>730.96874999999989</v>
      </c>
    </row>
    <row r="12044" spans="1:8">
      <c r="A12044" s="211" t="s">
        <v>510</v>
      </c>
      <c r="B12044" s="216" t="str">
        <f ca="1">_xlfn.CONCAT(B12016,A12044)</f>
        <v>1609A20A-aa</v>
      </c>
      <c r="C12044" s="24" t="s">
        <v>24</v>
      </c>
      <c r="D12044" s="185"/>
      <c r="E12044" s="25">
        <f>_xlfn.XLOOKUP(C12044,'H-MO'!B$7:B$30,'H-MO'!D$7:D$30,,0,1)</f>
        <v>29238.749999999996</v>
      </c>
      <c r="F12044" s="28">
        <v>0.05</v>
      </c>
      <c r="G12044" s="33">
        <f t="shared" si="351"/>
        <v>1461.9375</v>
      </c>
    </row>
    <row r="12045" spans="1:8">
      <c r="A12045" s="211" t="s">
        <v>511</v>
      </c>
      <c r="B12045" s="216" t="str">
        <f ca="1">_xlfn.CONCAT(B12016,A12045)</f>
        <v>1609A20A-ab</v>
      </c>
      <c r="C12045" s="24" t="s">
        <v>25</v>
      </c>
      <c r="D12045" s="185"/>
      <c r="E12045" s="25">
        <f>_xlfn.XLOOKUP(C12045,'H-MO'!B$7:B$30,'H-MO'!D$7:D$30,,0,1)</f>
        <v>2761.4374999999995</v>
      </c>
      <c r="F12045" s="28">
        <v>0.01</v>
      </c>
      <c r="G12045" s="33">
        <f t="shared" si="351"/>
        <v>27.614374999999995</v>
      </c>
    </row>
    <row r="12046" spans="1:8">
      <c r="A12046" s="211" t="s">
        <v>512</v>
      </c>
      <c r="B12046" s="216" t="str">
        <f ca="1">_xlfn.CONCAT(B12016,A12046)</f>
        <v>1609A20A-ac</v>
      </c>
      <c r="C12046" s="24"/>
      <c r="D12046" s="185"/>
      <c r="E12046" s="29"/>
      <c r="F12046" s="28"/>
      <c r="G12046" s="33">
        <f t="shared" si="351"/>
        <v>0</v>
      </c>
    </row>
    <row r="12047" spans="1:8" ht="14.25" thickBot="1">
      <c r="A12047" s="211" t="s">
        <v>513</v>
      </c>
      <c r="B12047" s="216" t="str">
        <f ca="1">_xlfn.CONCAT(B12016,A12047)</f>
        <v>1609A20A-ad</v>
      </c>
      <c r="C12047" s="24"/>
      <c r="D12047" s="185"/>
      <c r="E12047" s="29"/>
      <c r="F12047" s="28"/>
      <c r="G12047" s="33">
        <f t="shared" si="351"/>
        <v>0</v>
      </c>
    </row>
    <row r="12048" spans="1:8" ht="14.25" thickBot="1">
      <c r="A12048" s="211" t="s">
        <v>514</v>
      </c>
      <c r="B12048" s="216" t="str">
        <f ca="1">_xlfn.CONCAT(B12016,A12048)</f>
        <v>1609A20A-ae</v>
      </c>
      <c r="C12048" s="17"/>
      <c r="D12048" s="192"/>
      <c r="E12048" s="18"/>
      <c r="F12048" s="22" t="s">
        <v>26</v>
      </c>
      <c r="G12048" s="23">
        <f>SUM(G12042:G12047)</f>
        <v>3195.1456250000001</v>
      </c>
    </row>
    <row r="12049" spans="1:8" ht="15.75" thickBot="1">
      <c r="A12049" s="211" t="s">
        <v>515</v>
      </c>
      <c r="B12049" s="216" t="str">
        <f ca="1">_xlfn.CONCAT(B12016,A12049)</f>
        <v>1609A20A-af</v>
      </c>
      <c r="C12049" s="10" t="s">
        <v>27</v>
      </c>
      <c r="D12049" s="190"/>
      <c r="E12049" s="11"/>
      <c r="F12049" s="12"/>
      <c r="G12049" s="13"/>
    </row>
    <row r="12050" spans="1:8" ht="14.25" thickBot="1">
      <c r="A12050" s="211" t="s">
        <v>516</v>
      </c>
      <c r="B12050" s="216" t="str">
        <f ca="1">_xlfn.CONCAT(B12016,A12050)</f>
        <v>1609A20A-ag</v>
      </c>
      <c r="C12050" s="14" t="s">
        <v>1</v>
      </c>
      <c r="D12050" s="15" t="s">
        <v>28</v>
      </c>
      <c r="E12050" s="15" t="s">
        <v>20</v>
      </c>
      <c r="F12050" s="16" t="s">
        <v>21</v>
      </c>
      <c r="G12050" s="15" t="s">
        <v>5</v>
      </c>
      <c r="H12050" s="215"/>
    </row>
    <row r="12051" spans="1:8">
      <c r="A12051" s="211" t="s">
        <v>517</v>
      </c>
      <c r="B12051" s="216" t="str">
        <f ca="1">_xlfn.CONCAT(B12016,A12051)</f>
        <v>1609A20A-ah</v>
      </c>
      <c r="C12051" s="30" t="s">
        <v>29</v>
      </c>
      <c r="D12051" s="186">
        <f>'H-MO'!$N$77</f>
        <v>725918.52892505517</v>
      </c>
      <c r="E12051" s="31">
        <f>+D12051/8</f>
        <v>90739.816115631897</v>
      </c>
      <c r="F12051" s="32">
        <v>0.45</v>
      </c>
      <c r="G12051" s="33">
        <f>+E12051*F12051</f>
        <v>40832.917252034356</v>
      </c>
    </row>
    <row r="12052" spans="1:8">
      <c r="A12052" s="211" t="s">
        <v>518</v>
      </c>
      <c r="B12052" s="216" t="str">
        <f ca="1">_xlfn.CONCAT(B12016,A12052)</f>
        <v>1609A20A-ai</v>
      </c>
      <c r="C12052" s="34" t="s">
        <v>30</v>
      </c>
      <c r="D12052" s="187">
        <f>'H-MO'!$N$86</f>
        <v>685561.39085756091</v>
      </c>
      <c r="E12052" s="29">
        <f>+D12052/8</f>
        <v>85695.173857195114</v>
      </c>
      <c r="F12052" s="28">
        <v>0</v>
      </c>
      <c r="G12052" s="33">
        <f>+E12052*F12052</f>
        <v>0</v>
      </c>
    </row>
    <row r="12053" spans="1:8" ht="14.25" thickBot="1">
      <c r="A12053" s="211" t="s">
        <v>519</v>
      </c>
      <c r="B12053" s="216" t="str">
        <f ca="1">_xlfn.CONCAT(B12016,A12053)</f>
        <v>1609A20A-aj</v>
      </c>
      <c r="C12053" s="34"/>
      <c r="D12053" s="187"/>
      <c r="E12053" s="29"/>
      <c r="F12053" s="28"/>
      <c r="G12053" s="33">
        <f>+E12053*F12053</f>
        <v>0</v>
      </c>
    </row>
    <row r="12054" spans="1:8" ht="14.25" thickBot="1">
      <c r="A12054" s="211" t="s">
        <v>520</v>
      </c>
      <c r="B12054" s="216" t="str">
        <f ca="1">_xlfn.CONCAT(B12016,A12054)</f>
        <v>1609A20A-ak</v>
      </c>
      <c r="C12054" s="34"/>
      <c r="D12054" s="185"/>
      <c r="E12054" s="26"/>
      <c r="F12054" s="36" t="s">
        <v>31</v>
      </c>
      <c r="G12054" s="23">
        <f>SUM(G12051:G12053)</f>
        <v>40832.917252034356</v>
      </c>
    </row>
    <row r="12055" spans="1:8" ht="14.25" thickBot="1">
      <c r="A12055" s="211" t="s">
        <v>521</v>
      </c>
      <c r="B12055" s="216" t="str">
        <f ca="1">_xlfn.CONCAT(B12016,A12055)</f>
        <v>1609A20A-al</v>
      </c>
      <c r="C12055" s="37"/>
      <c r="E12055" s="38"/>
      <c r="F12055" s="22"/>
      <c r="G12055" s="39"/>
    </row>
    <row r="12056" spans="1:8" ht="16.5" thickBot="1">
      <c r="A12056" s="211" t="s">
        <v>522</v>
      </c>
      <c r="B12056" s="216" t="str">
        <f ca="1">_xlfn.CONCAT(B12016,A12056)</f>
        <v>1609A20A-am</v>
      </c>
      <c r="C12056" s="40"/>
      <c r="D12056" s="193"/>
      <c r="E12056" s="41"/>
      <c r="F12056" s="42"/>
      <c r="G12056" s="43">
        <f>+G12039+G12048+G12054</f>
        <v>267028.06287703436</v>
      </c>
    </row>
    <row r="12057" spans="1:8" ht="21.75" thickBot="1">
      <c r="B12057" s="212" t="s">
        <v>550</v>
      </c>
      <c r="C12057" s="2"/>
      <c r="D12057" s="183"/>
      <c r="F12057" s="4"/>
      <c r="G12057" s="5"/>
    </row>
    <row r="12058" spans="1:8" ht="18.75">
      <c r="A12058" s="213"/>
      <c r="B12058" s="214">
        <v>274</v>
      </c>
      <c r="C12058" s="242" t="str">
        <f ca="1">_xlfn.XLOOKUP(B12058,Cantidades!$A$10:$A$314,Cantidades!$C$10:$C$314,,0,1)</f>
        <v>Suministro e instalación de interruptor automático 3x160A en caja moldeada</v>
      </c>
      <c r="D12058" s="243"/>
      <c r="E12058" s="243"/>
      <c r="F12058" s="243"/>
      <c r="G12058" s="244"/>
      <c r="H12058" s="213"/>
    </row>
    <row r="12059" spans="1:8" ht="19.5" thickBot="1">
      <c r="A12059" s="215"/>
      <c r="B12059" s="216" t="s">
        <v>550</v>
      </c>
      <c r="C12059" s="177"/>
      <c r="D12059" s="189"/>
      <c r="E12059" s="178"/>
      <c r="F12059" s="179" t="s">
        <v>636</v>
      </c>
      <c r="G12059" s="209" t="str">
        <f ca="1">B12060</f>
        <v>160A160A-</v>
      </c>
      <c r="H12059" s="215"/>
    </row>
    <row r="12060" spans="1:8" ht="15.75" thickBot="1">
      <c r="B12060" s="212" t="str">
        <f ca="1">_xlfn.XLOOKUP(C12058,Cantidades!$C$1:$C$314,Cantidades!$B$1:$B$314,"",0,1)</f>
        <v>160A160A-</v>
      </c>
      <c r="C12060" s="10" t="s">
        <v>0</v>
      </c>
      <c r="D12060" s="190"/>
      <c r="E12060" s="11"/>
      <c r="F12060" s="12"/>
      <c r="G12060" s="13"/>
    </row>
    <row r="12061" spans="1:8" ht="14.25" thickBot="1">
      <c r="A12061" s="215"/>
      <c r="B12061" s="216" t="s">
        <v>550</v>
      </c>
      <c r="C12061" s="14" t="s">
        <v>1</v>
      </c>
      <c r="D12061" s="15" t="s">
        <v>2</v>
      </c>
      <c r="E12061" s="15" t="s">
        <v>3</v>
      </c>
      <c r="F12061" s="16" t="s">
        <v>4</v>
      </c>
      <c r="G12061" s="15" t="s">
        <v>5</v>
      </c>
      <c r="H12061" s="215"/>
    </row>
    <row r="12062" spans="1:8" ht="15">
      <c r="A12062" s="211" t="s">
        <v>484</v>
      </c>
      <c r="B12062" s="216" t="str">
        <f ca="1">_xlfn.CONCAT(B12060,A12062)</f>
        <v>160A160A-A</v>
      </c>
      <c r="C12062" s="17" t="str">
        <f>_xlfn.XLOOKUP(H12062,'Materiales unitario'!$A$1:$A$2500,'Materiales unitario'!B$1:B$2500,,0,1)</f>
        <v>Totalizador industrial 3x160 amperios</v>
      </c>
      <c r="D12062" s="184" t="str">
        <f>_xlfn.XLOOKUP(H12062,'Materiales unitario'!A$1:A$2500,'Materiales unitario'!C$1:C$2500,,0,1)</f>
        <v>un</v>
      </c>
      <c r="E12062" s="197">
        <f>_xlfn.XLOOKUP(H12062,'Materiales unitario'!$A$1:$A$2500,'Materiales unitario'!D$1:D$2500,,0,1)</f>
        <v>287900</v>
      </c>
      <c r="F12062" s="19">
        <v>1</v>
      </c>
      <c r="G12062" s="20">
        <f>+E12062*F12062</f>
        <v>287900</v>
      </c>
      <c r="H12062" s="217" t="s">
        <v>1806</v>
      </c>
    </row>
    <row r="12063" spans="1:8" ht="15">
      <c r="A12063" s="211" t="s">
        <v>485</v>
      </c>
      <c r="B12063" s="216" t="str">
        <f ca="1">_xlfn.CONCAT(B12060,A12063)</f>
        <v>160A160A-B</v>
      </c>
      <c r="C12063" s="17"/>
      <c r="D12063" s="184"/>
      <c r="E12063" s="197"/>
      <c r="F12063" s="19"/>
      <c r="G12063" s="20"/>
      <c r="H12063" s="217"/>
    </row>
    <row r="12064" spans="1:8">
      <c r="A12064" s="211" t="s">
        <v>486</v>
      </c>
      <c r="B12064" s="216" t="str">
        <f ca="1">_xlfn.CONCAT(B12060,A12064)</f>
        <v>160A160A-C</v>
      </c>
      <c r="C12064" s="17"/>
      <c r="D12064" s="184"/>
      <c r="E12064" s="197"/>
      <c r="F12064" s="19"/>
      <c r="G12064" s="20"/>
    </row>
    <row r="12065" spans="1:7">
      <c r="A12065" s="211" t="s">
        <v>487</v>
      </c>
      <c r="B12065" s="216" t="str">
        <f ca="1">_xlfn.CONCAT(B12060,A12065)</f>
        <v>160A160A-D</v>
      </c>
      <c r="C12065" s="17"/>
      <c r="D12065" s="184"/>
      <c r="E12065" s="197"/>
      <c r="F12065" s="19"/>
      <c r="G12065" s="20"/>
    </row>
    <row r="12066" spans="1:7">
      <c r="A12066" s="211" t="s">
        <v>488</v>
      </c>
      <c r="B12066" s="216" t="str">
        <f ca="1">_xlfn.CONCAT(B12060,A12066)</f>
        <v>160A160A-E</v>
      </c>
      <c r="C12066" s="17"/>
      <c r="D12066" s="184"/>
      <c r="E12066" s="197"/>
      <c r="F12066" s="19"/>
      <c r="G12066" s="20"/>
    </row>
    <row r="12067" spans="1:7">
      <c r="A12067" s="211" t="s">
        <v>489</v>
      </c>
      <c r="B12067" s="216" t="str">
        <f ca="1">_xlfn.CONCAT(B12060,A12067)</f>
        <v>160A160A-F</v>
      </c>
      <c r="C12067" s="17"/>
      <c r="D12067" s="184"/>
      <c r="E12067" s="197"/>
      <c r="F12067" s="19"/>
      <c r="G12067" s="20"/>
    </row>
    <row r="12068" spans="1:7">
      <c r="A12068" s="211" t="s">
        <v>490</v>
      </c>
      <c r="B12068" s="216" t="str">
        <f ca="1">_xlfn.CONCAT(B12060,A12068)</f>
        <v>160A160A-G</v>
      </c>
      <c r="C12068" s="17"/>
      <c r="D12068" s="184"/>
      <c r="E12068" s="197"/>
      <c r="F12068" s="19"/>
      <c r="G12068" s="20"/>
    </row>
    <row r="12069" spans="1:7">
      <c r="A12069" s="211" t="s">
        <v>491</v>
      </c>
      <c r="B12069" s="216" t="str">
        <f ca="1">_xlfn.CONCAT(B12060,A12069)</f>
        <v>160A160A-H</v>
      </c>
      <c r="C12069" s="17"/>
      <c r="D12069" s="184"/>
      <c r="E12069" s="197"/>
      <c r="F12069" s="19"/>
      <c r="G12069" s="20"/>
    </row>
    <row r="12070" spans="1:7">
      <c r="A12070" s="211" t="s">
        <v>492</v>
      </c>
      <c r="B12070" s="216" t="str">
        <f ca="1">_xlfn.CONCAT(B12060,A12070)</f>
        <v>160A160A-I</v>
      </c>
      <c r="C12070" s="17"/>
      <c r="D12070" s="184"/>
      <c r="E12070" s="197"/>
      <c r="F12070" s="19"/>
      <c r="G12070" s="20"/>
    </row>
    <row r="12071" spans="1:7">
      <c r="A12071" s="211" t="s">
        <v>493</v>
      </c>
      <c r="B12071" s="216" t="str">
        <f ca="1">_xlfn.CONCAT(B12060,A12071)</f>
        <v>160A160A-J</v>
      </c>
      <c r="C12071" s="17"/>
      <c r="D12071" s="184"/>
      <c r="E12071" s="197"/>
      <c r="F12071" s="19"/>
      <c r="G12071" s="20"/>
    </row>
    <row r="12072" spans="1:7">
      <c r="A12072" s="211" t="s">
        <v>494</v>
      </c>
      <c r="B12072" s="216" t="str">
        <f ca="1">_xlfn.CONCAT(B12060,A12072)</f>
        <v>160A160A-K</v>
      </c>
      <c r="C12072" s="17"/>
      <c r="D12072" s="184"/>
      <c r="E12072" s="197"/>
      <c r="F12072" s="19"/>
      <c r="G12072" s="20"/>
    </row>
    <row r="12073" spans="1:7">
      <c r="A12073" s="211" t="s">
        <v>495</v>
      </c>
      <c r="B12073" s="216" t="str">
        <f ca="1">_xlfn.CONCAT(B12060,A12073)</f>
        <v>160A160A-L</v>
      </c>
      <c r="C12073" s="17"/>
      <c r="D12073" s="184"/>
      <c r="E12073" s="197"/>
      <c r="F12073" s="19"/>
      <c r="G12073" s="20"/>
    </row>
    <row r="12074" spans="1:7">
      <c r="A12074" s="211" t="s">
        <v>496</v>
      </c>
      <c r="B12074" s="216" t="str">
        <f ca="1">_xlfn.CONCAT(B12060,A12074)</f>
        <v>160A160A-M</v>
      </c>
      <c r="C12074" s="17"/>
      <c r="D12074" s="184"/>
      <c r="E12074" s="197"/>
      <c r="F12074" s="19"/>
      <c r="G12074" s="20"/>
    </row>
    <row r="12075" spans="1:7">
      <c r="A12075" s="211" t="s">
        <v>497</v>
      </c>
      <c r="B12075" s="216" t="str">
        <f ca="1">_xlfn.CONCAT(B12060,A12075)</f>
        <v>160A160A-N</v>
      </c>
      <c r="C12075" s="17"/>
      <c r="D12075" s="184"/>
      <c r="E12075" s="197"/>
      <c r="F12075" s="19"/>
      <c r="G12075" s="20"/>
    </row>
    <row r="12076" spans="1:7">
      <c r="A12076" s="211" t="s">
        <v>498</v>
      </c>
      <c r="B12076" s="216" t="str">
        <f ca="1">_xlfn.CONCAT(B12060,A12076)</f>
        <v>160A160A-O</v>
      </c>
      <c r="C12076" s="17"/>
      <c r="D12076" s="184"/>
      <c r="E12076" s="197"/>
      <c r="F12076" s="19"/>
      <c r="G12076" s="20"/>
    </row>
    <row r="12077" spans="1:7">
      <c r="A12077" s="211" t="s">
        <v>499</v>
      </c>
      <c r="B12077" s="216" t="str">
        <f ca="1">_xlfn.CONCAT(B12060,A12077)</f>
        <v>160A160A-P</v>
      </c>
      <c r="C12077" s="17"/>
      <c r="D12077" s="184"/>
      <c r="E12077" s="197"/>
      <c r="F12077" s="19"/>
      <c r="G12077" s="20"/>
    </row>
    <row r="12078" spans="1:7">
      <c r="A12078" s="211" t="s">
        <v>500</v>
      </c>
      <c r="B12078" s="216" t="str">
        <f ca="1">_xlfn.CONCAT(B12060,A12078)</f>
        <v>160A160A-Q</v>
      </c>
      <c r="C12078" s="17"/>
      <c r="D12078" s="184"/>
      <c r="E12078" s="197"/>
      <c r="F12078" s="19"/>
      <c r="G12078" s="20"/>
    </row>
    <row r="12079" spans="1:7">
      <c r="A12079" s="211" t="s">
        <v>501</v>
      </c>
      <c r="B12079" s="216" t="str">
        <f ca="1">_xlfn.CONCAT(B12060,A12079)</f>
        <v>160A160A-R</v>
      </c>
      <c r="C12079" s="17"/>
      <c r="D12079" s="184"/>
      <c r="E12079" s="197"/>
      <c r="F12079" s="19"/>
      <c r="G12079" s="20"/>
    </row>
    <row r="12080" spans="1:7">
      <c r="A12080" s="211" t="s">
        <v>502</v>
      </c>
      <c r="B12080" s="216" t="str">
        <f ca="1">_xlfn.CONCAT(B12060,A12080)</f>
        <v>160A160A-S</v>
      </c>
      <c r="C12080" s="17"/>
      <c r="D12080" s="184"/>
      <c r="E12080" s="197"/>
      <c r="F12080" s="19"/>
      <c r="G12080" s="20"/>
    </row>
    <row r="12081" spans="1:8">
      <c r="A12081" s="211" t="s">
        <v>503</v>
      </c>
      <c r="B12081" s="216" t="str">
        <f ca="1">_xlfn.CONCAT(B12060,A12081)</f>
        <v>160A160A-T</v>
      </c>
      <c r="C12081" s="17"/>
      <c r="D12081" s="184"/>
      <c r="E12081" s="197"/>
      <c r="F12081" s="19"/>
      <c r="G12081" s="20"/>
    </row>
    <row r="12082" spans="1:8" ht="14.25" thickBot="1">
      <c r="A12082" s="211" t="s">
        <v>504</v>
      </c>
      <c r="B12082" s="216" t="str">
        <f ca="1">_xlfn.CONCAT(B12060,A12082)</f>
        <v>160A160A-U</v>
      </c>
      <c r="C12082" s="17"/>
      <c r="D12082" s="184"/>
      <c r="E12082" s="197"/>
      <c r="F12082" s="19"/>
      <c r="G12082" s="20"/>
    </row>
    <row r="12083" spans="1:8" ht="14.25" thickBot="1">
      <c r="A12083" s="211" t="s">
        <v>505</v>
      </c>
      <c r="B12083" s="216" t="str">
        <f ca="1">_xlfn.CONCAT(B12060,A12083)</f>
        <v>160A160A-V</v>
      </c>
      <c r="C12083" s="17" t="s">
        <v>17</v>
      </c>
      <c r="D12083" s="192" t="s">
        <v>17</v>
      </c>
      <c r="E12083" s="18"/>
      <c r="F12083" s="22" t="s">
        <v>18</v>
      </c>
      <c r="G12083" s="23">
        <f>SUM(G12062:G12082)</f>
        <v>287900</v>
      </c>
    </row>
    <row r="12084" spans="1:8" ht="15.75" thickBot="1">
      <c r="A12084" s="211" t="s">
        <v>506</v>
      </c>
      <c r="B12084" s="216" t="str">
        <f ca="1">_xlfn.CONCAT(B12060,A12084)</f>
        <v>160A160A-W</v>
      </c>
      <c r="C12084" s="10" t="s">
        <v>19</v>
      </c>
      <c r="D12084" s="190"/>
      <c r="E12084" s="11"/>
      <c r="F12084" s="12"/>
      <c r="G12084" s="13"/>
    </row>
    <row r="12085" spans="1:8" ht="14.25" thickBot="1">
      <c r="A12085" s="211" t="s">
        <v>507</v>
      </c>
      <c r="B12085" s="216" t="str">
        <f ca="1">_xlfn.CONCAT(B12060,A12085)</f>
        <v>160A160A-X</v>
      </c>
      <c r="C12085" s="14" t="s">
        <v>1</v>
      </c>
      <c r="D12085" s="15"/>
      <c r="E12085" s="15" t="s">
        <v>20</v>
      </c>
      <c r="F12085" s="16" t="s">
        <v>21</v>
      </c>
      <c r="G12085" s="15" t="s">
        <v>5</v>
      </c>
      <c r="H12085" s="215"/>
    </row>
    <row r="12086" spans="1:8">
      <c r="A12086" s="211" t="s">
        <v>508</v>
      </c>
      <c r="B12086" s="216" t="str">
        <f ca="1">_xlfn.CONCAT(B12060,A12086)</f>
        <v>160A160A-Y</v>
      </c>
      <c r="C12086" s="24" t="s">
        <v>22</v>
      </c>
      <c r="D12086" s="184"/>
      <c r="E12086" s="25">
        <f>_xlfn.XLOOKUP(C12086,'H-MO'!B$7:B$30,'H-MO'!D$7:D$30,,0,1)</f>
        <v>2436.5624999999995</v>
      </c>
      <c r="F12086" s="19">
        <v>0.4</v>
      </c>
      <c r="G12086" s="33">
        <f t="shared" ref="G12086:G12091" si="352">+E12086*F12086</f>
        <v>974.62499999999989</v>
      </c>
    </row>
    <row r="12087" spans="1:8">
      <c r="A12087" s="211" t="s">
        <v>509</v>
      </c>
      <c r="B12087" s="216" t="str">
        <f ca="1">_xlfn.CONCAT(B12060,A12087)</f>
        <v>160A160A-Z</v>
      </c>
      <c r="C12087" s="24" t="s">
        <v>23</v>
      </c>
      <c r="D12087" s="184"/>
      <c r="E12087" s="25">
        <f>_xlfn.XLOOKUP(C12087,'H-MO'!B$7:B$30,'H-MO'!D$7:D$30,,0,1)</f>
        <v>1461.9374999999998</v>
      </c>
      <c r="F12087" s="19">
        <v>0.5</v>
      </c>
      <c r="G12087" s="33">
        <f t="shared" si="352"/>
        <v>730.96874999999989</v>
      </c>
    </row>
    <row r="12088" spans="1:8">
      <c r="A12088" s="211" t="s">
        <v>510</v>
      </c>
      <c r="B12088" s="216" t="str">
        <f ca="1">_xlfn.CONCAT(B12060,A12088)</f>
        <v>160A160A-aa</v>
      </c>
      <c r="C12088" s="24" t="s">
        <v>24</v>
      </c>
      <c r="D12088" s="185"/>
      <c r="E12088" s="25">
        <f>_xlfn.XLOOKUP(C12088,'H-MO'!B$7:B$30,'H-MO'!D$7:D$30,,0,1)</f>
        <v>29238.749999999996</v>
      </c>
      <c r="F12088" s="28">
        <v>0.05</v>
      </c>
      <c r="G12088" s="33">
        <f t="shared" si="352"/>
        <v>1461.9375</v>
      </c>
    </row>
    <row r="12089" spans="1:8">
      <c r="A12089" s="211" t="s">
        <v>511</v>
      </c>
      <c r="B12089" s="216" t="str">
        <f ca="1">_xlfn.CONCAT(B12060,A12089)</f>
        <v>160A160A-ab</v>
      </c>
      <c r="C12089" s="24" t="s">
        <v>25</v>
      </c>
      <c r="D12089" s="185"/>
      <c r="E12089" s="25">
        <f>_xlfn.XLOOKUP(C12089,'H-MO'!B$7:B$30,'H-MO'!D$7:D$30,,0,1)</f>
        <v>2761.4374999999995</v>
      </c>
      <c r="F12089" s="28">
        <v>0.01</v>
      </c>
      <c r="G12089" s="33">
        <f t="shared" si="352"/>
        <v>27.614374999999995</v>
      </c>
    </row>
    <row r="12090" spans="1:8">
      <c r="A12090" s="211" t="s">
        <v>512</v>
      </c>
      <c r="B12090" s="216" t="str">
        <f ca="1">_xlfn.CONCAT(B12060,A12090)</f>
        <v>160A160A-ac</v>
      </c>
      <c r="C12090" s="24"/>
      <c r="D12090" s="185"/>
      <c r="E12090" s="29"/>
      <c r="F12090" s="28"/>
      <c r="G12090" s="33">
        <f t="shared" si="352"/>
        <v>0</v>
      </c>
    </row>
    <row r="12091" spans="1:8" ht="14.25" thickBot="1">
      <c r="A12091" s="211" t="s">
        <v>513</v>
      </c>
      <c r="B12091" s="216" t="str">
        <f ca="1">_xlfn.CONCAT(B12060,A12091)</f>
        <v>160A160A-ad</v>
      </c>
      <c r="C12091" s="24"/>
      <c r="D12091" s="185"/>
      <c r="E12091" s="29"/>
      <c r="F12091" s="28"/>
      <c r="G12091" s="33">
        <f t="shared" si="352"/>
        <v>0</v>
      </c>
    </row>
    <row r="12092" spans="1:8" ht="14.25" thickBot="1">
      <c r="A12092" s="211" t="s">
        <v>514</v>
      </c>
      <c r="B12092" s="216" t="str">
        <f ca="1">_xlfn.CONCAT(B12060,A12092)</f>
        <v>160A160A-ae</v>
      </c>
      <c r="C12092" s="17"/>
      <c r="D12092" s="192"/>
      <c r="E12092" s="18"/>
      <c r="F12092" s="22" t="s">
        <v>26</v>
      </c>
      <c r="G12092" s="23">
        <f>SUM(G12086:G12091)</f>
        <v>3195.1456250000001</v>
      </c>
    </row>
    <row r="12093" spans="1:8" ht="15.75" thickBot="1">
      <c r="A12093" s="211" t="s">
        <v>515</v>
      </c>
      <c r="B12093" s="216" t="str">
        <f ca="1">_xlfn.CONCAT(B12060,A12093)</f>
        <v>160A160A-af</v>
      </c>
      <c r="C12093" s="10" t="s">
        <v>27</v>
      </c>
      <c r="D12093" s="190"/>
      <c r="E12093" s="11"/>
      <c r="F12093" s="12"/>
      <c r="G12093" s="13"/>
    </row>
    <row r="12094" spans="1:8" ht="14.25" thickBot="1">
      <c r="A12094" s="211" t="s">
        <v>516</v>
      </c>
      <c r="B12094" s="216" t="str">
        <f ca="1">_xlfn.CONCAT(B12060,A12094)</f>
        <v>160A160A-ag</v>
      </c>
      <c r="C12094" s="14" t="s">
        <v>1</v>
      </c>
      <c r="D12094" s="15" t="s">
        <v>28</v>
      </c>
      <c r="E12094" s="15" t="s">
        <v>20</v>
      </c>
      <c r="F12094" s="16" t="s">
        <v>21</v>
      </c>
      <c r="G12094" s="15" t="s">
        <v>5</v>
      </c>
      <c r="H12094" s="215"/>
    </row>
    <row r="12095" spans="1:8">
      <c r="A12095" s="211" t="s">
        <v>517</v>
      </c>
      <c r="B12095" s="216" t="str">
        <f ca="1">_xlfn.CONCAT(B12060,A12095)</f>
        <v>160A160A-ah</v>
      </c>
      <c r="C12095" s="30" t="s">
        <v>29</v>
      </c>
      <c r="D12095" s="186">
        <f>'H-MO'!$N$77</f>
        <v>725918.52892505517</v>
      </c>
      <c r="E12095" s="31">
        <f>+D12095/8</f>
        <v>90739.816115631897</v>
      </c>
      <c r="F12095" s="32">
        <v>0.5</v>
      </c>
      <c r="G12095" s="33">
        <f>+E12095*F12095</f>
        <v>45369.908057815948</v>
      </c>
    </row>
    <row r="12096" spans="1:8">
      <c r="A12096" s="211" t="s">
        <v>518</v>
      </c>
      <c r="B12096" s="216" t="str">
        <f ca="1">_xlfn.CONCAT(B12060,A12096)</f>
        <v>160A160A-ai</v>
      </c>
      <c r="C12096" s="34" t="s">
        <v>30</v>
      </c>
      <c r="D12096" s="187">
        <f>'H-MO'!$N$86</f>
        <v>685561.39085756091</v>
      </c>
      <c r="E12096" s="29">
        <f>+D12096/8</f>
        <v>85695.173857195114</v>
      </c>
      <c r="F12096" s="28">
        <v>0</v>
      </c>
      <c r="G12096" s="33">
        <f>+E12096*F12096</f>
        <v>0</v>
      </c>
    </row>
    <row r="12097" spans="1:8" ht="14.25" thickBot="1">
      <c r="A12097" s="211" t="s">
        <v>519</v>
      </c>
      <c r="B12097" s="216" t="str">
        <f ca="1">_xlfn.CONCAT(B12060,A12097)</f>
        <v>160A160A-aj</v>
      </c>
      <c r="C12097" s="34"/>
      <c r="D12097" s="187"/>
      <c r="E12097" s="29"/>
      <c r="F12097" s="28"/>
      <c r="G12097" s="33">
        <f>+E12097*F12097</f>
        <v>0</v>
      </c>
    </row>
    <row r="12098" spans="1:8" ht="14.25" thickBot="1">
      <c r="A12098" s="211" t="s">
        <v>520</v>
      </c>
      <c r="B12098" s="216" t="str">
        <f ca="1">_xlfn.CONCAT(B12060,A12098)</f>
        <v>160A160A-ak</v>
      </c>
      <c r="C12098" s="34"/>
      <c r="D12098" s="185"/>
      <c r="E12098" s="26"/>
      <c r="F12098" s="36" t="s">
        <v>31</v>
      </c>
      <c r="G12098" s="23">
        <f>SUM(G12095:G12097)</f>
        <v>45369.908057815948</v>
      </c>
    </row>
    <row r="12099" spans="1:8" ht="14.25" thickBot="1">
      <c r="A12099" s="211" t="s">
        <v>521</v>
      </c>
      <c r="B12099" s="216" t="str">
        <f ca="1">_xlfn.CONCAT(B12060,A12099)</f>
        <v>160A160A-al</v>
      </c>
      <c r="C12099" s="37"/>
      <c r="E12099" s="38"/>
      <c r="F12099" s="22"/>
      <c r="G12099" s="39"/>
    </row>
    <row r="12100" spans="1:8" ht="16.5" thickBot="1">
      <c r="A12100" s="211" t="s">
        <v>522</v>
      </c>
      <c r="B12100" s="216" t="str">
        <f ca="1">_xlfn.CONCAT(B12060,A12100)</f>
        <v>160A160A-am</v>
      </c>
      <c r="C12100" s="40"/>
      <c r="D12100" s="193"/>
      <c r="E12100" s="41"/>
      <c r="F12100" s="42"/>
      <c r="G12100" s="43">
        <f>+G12083+G12092+G12098</f>
        <v>336465.05368281598</v>
      </c>
    </row>
    <row r="12101" spans="1:8" ht="21.75" thickBot="1">
      <c r="B12101" s="212" t="s">
        <v>550</v>
      </c>
      <c r="C12101" s="2"/>
      <c r="D12101" s="183"/>
      <c r="F12101" s="4"/>
      <c r="G12101" s="5"/>
    </row>
    <row r="12102" spans="1:8" ht="18.75">
      <c r="A12102" s="213"/>
      <c r="B12102" s="214">
        <v>275</v>
      </c>
      <c r="C12102" s="242" t="str">
        <f ca="1">_xlfn.XLOOKUP(B12102,Cantidades!$A$10:$A$314,Cantidades!$C$10:$C$314,,0,1)</f>
        <v>Suministro e instalación de interruptor automático 3x125A en caja moldeada</v>
      </c>
      <c r="D12102" s="243"/>
      <c r="E12102" s="243"/>
      <c r="F12102" s="243"/>
      <c r="G12102" s="244"/>
      <c r="H12102" s="213"/>
    </row>
    <row r="12103" spans="1:8" ht="19.5" thickBot="1">
      <c r="A12103" s="215"/>
      <c r="B12103" s="216" t="s">
        <v>550</v>
      </c>
      <c r="C12103" s="177"/>
      <c r="D12103" s="189"/>
      <c r="E12103" s="178"/>
      <c r="F12103" s="179" t="s">
        <v>636</v>
      </c>
      <c r="G12103" s="209" t="str">
        <f ca="1">B12104</f>
        <v>1B0A125A-</v>
      </c>
      <c r="H12103" s="215"/>
    </row>
    <row r="12104" spans="1:8" ht="15.75" thickBot="1">
      <c r="B12104" s="212" t="str">
        <f ca="1">_xlfn.XLOOKUP(C12102,Cantidades!$C$1:$C$314,Cantidades!$B$1:$B$314,"",0,1)</f>
        <v>1B0A125A-</v>
      </c>
      <c r="C12104" s="10" t="s">
        <v>0</v>
      </c>
      <c r="D12104" s="190"/>
      <c r="E12104" s="11"/>
      <c r="F12104" s="12"/>
      <c r="G12104" s="13"/>
    </row>
    <row r="12105" spans="1:8" ht="14.25" thickBot="1">
      <c r="A12105" s="215"/>
      <c r="B12105" s="216" t="s">
        <v>550</v>
      </c>
      <c r="C12105" s="14" t="s">
        <v>1</v>
      </c>
      <c r="D12105" s="15" t="s">
        <v>2</v>
      </c>
      <c r="E12105" s="15" t="s">
        <v>3</v>
      </c>
      <c r="F12105" s="16" t="s">
        <v>4</v>
      </c>
      <c r="G12105" s="15" t="s">
        <v>5</v>
      </c>
      <c r="H12105" s="215"/>
    </row>
    <row r="12106" spans="1:8" ht="15">
      <c r="A12106" s="211" t="s">
        <v>484</v>
      </c>
      <c r="B12106" s="216" t="str">
        <f ca="1">_xlfn.CONCAT(B12104,A12106)</f>
        <v>1B0A125A-A</v>
      </c>
      <c r="C12106" s="17" t="str">
        <f>_xlfn.XLOOKUP(H12106,'Materiales unitario'!$A$1:$A$2500,'Materiales unitario'!B$1:B$2500,,0,1)</f>
        <v>Totalizador industrial 3x125 amperios</v>
      </c>
      <c r="D12106" s="184" t="str">
        <f>_xlfn.XLOOKUP(H12106,'Materiales unitario'!A$1:A$2500,'Materiales unitario'!C$1:C$2500,,0,1)</f>
        <v>un</v>
      </c>
      <c r="E12106" s="197">
        <f>_xlfn.XLOOKUP(H12106,'Materiales unitario'!$A$1:$A$2500,'Materiales unitario'!D$1:D$2500,,0,1)</f>
        <v>263800</v>
      </c>
      <c r="F12106" s="19">
        <v>1</v>
      </c>
      <c r="G12106" s="20">
        <f>+E12106*F12106</f>
        <v>263800</v>
      </c>
      <c r="H12106" s="217" t="s">
        <v>1810</v>
      </c>
    </row>
    <row r="12107" spans="1:8" ht="15">
      <c r="A12107" s="211" t="s">
        <v>485</v>
      </c>
      <c r="B12107" s="216" t="str">
        <f ca="1">_xlfn.CONCAT(B12104,A12107)</f>
        <v>1B0A125A-B</v>
      </c>
      <c r="C12107" s="17"/>
      <c r="D12107" s="184"/>
      <c r="E12107" s="197"/>
      <c r="F12107" s="19"/>
      <c r="G12107" s="20"/>
      <c r="H12107" s="217"/>
    </row>
    <row r="12108" spans="1:8">
      <c r="A12108" s="211" t="s">
        <v>486</v>
      </c>
      <c r="B12108" s="216" t="str">
        <f ca="1">_xlfn.CONCAT(B12104,A12108)</f>
        <v>1B0A125A-C</v>
      </c>
      <c r="C12108" s="17"/>
      <c r="D12108" s="184"/>
      <c r="E12108" s="197"/>
      <c r="F12108" s="19"/>
      <c r="G12108" s="20"/>
    </row>
    <row r="12109" spans="1:8">
      <c r="A12109" s="211" t="s">
        <v>487</v>
      </c>
      <c r="B12109" s="216" t="str">
        <f ca="1">_xlfn.CONCAT(B12104,A12109)</f>
        <v>1B0A125A-D</v>
      </c>
      <c r="C12109" s="17"/>
      <c r="D12109" s="184"/>
      <c r="E12109" s="197"/>
      <c r="F12109" s="19"/>
      <c r="G12109" s="20"/>
    </row>
    <row r="12110" spans="1:8">
      <c r="A12110" s="211" t="s">
        <v>488</v>
      </c>
      <c r="B12110" s="216" t="str">
        <f ca="1">_xlfn.CONCAT(B12104,A12110)</f>
        <v>1B0A125A-E</v>
      </c>
      <c r="C12110" s="17"/>
      <c r="D12110" s="184"/>
      <c r="E12110" s="197"/>
      <c r="F12110" s="19"/>
      <c r="G12110" s="20"/>
    </row>
    <row r="12111" spans="1:8">
      <c r="A12111" s="211" t="s">
        <v>489</v>
      </c>
      <c r="B12111" s="216" t="str">
        <f ca="1">_xlfn.CONCAT(B12104,A12111)</f>
        <v>1B0A125A-F</v>
      </c>
      <c r="C12111" s="17"/>
      <c r="D12111" s="184"/>
      <c r="E12111" s="197"/>
      <c r="F12111" s="19"/>
      <c r="G12111" s="20"/>
    </row>
    <row r="12112" spans="1:8">
      <c r="A12112" s="211" t="s">
        <v>490</v>
      </c>
      <c r="B12112" s="216" t="str">
        <f ca="1">_xlfn.CONCAT(B12104,A12112)</f>
        <v>1B0A125A-G</v>
      </c>
      <c r="C12112" s="17"/>
      <c r="D12112" s="184"/>
      <c r="E12112" s="197"/>
      <c r="F12112" s="19"/>
      <c r="G12112" s="20"/>
    </row>
    <row r="12113" spans="1:7">
      <c r="A12113" s="211" t="s">
        <v>491</v>
      </c>
      <c r="B12113" s="216" t="str">
        <f ca="1">_xlfn.CONCAT(B12104,A12113)</f>
        <v>1B0A125A-H</v>
      </c>
      <c r="C12113" s="17"/>
      <c r="D12113" s="184"/>
      <c r="E12113" s="197"/>
      <c r="F12113" s="19"/>
      <c r="G12113" s="20"/>
    </row>
    <row r="12114" spans="1:7">
      <c r="A12114" s="211" t="s">
        <v>492</v>
      </c>
      <c r="B12114" s="216" t="str">
        <f ca="1">_xlfn.CONCAT(B12104,A12114)</f>
        <v>1B0A125A-I</v>
      </c>
      <c r="C12114" s="17"/>
      <c r="D12114" s="184"/>
      <c r="E12114" s="197"/>
      <c r="F12114" s="19"/>
      <c r="G12114" s="20"/>
    </row>
    <row r="12115" spans="1:7">
      <c r="A12115" s="211" t="s">
        <v>493</v>
      </c>
      <c r="B12115" s="216" t="str">
        <f ca="1">_xlfn.CONCAT(B12104,A12115)</f>
        <v>1B0A125A-J</v>
      </c>
      <c r="C12115" s="17"/>
      <c r="D12115" s="184"/>
      <c r="E12115" s="197"/>
      <c r="F12115" s="19"/>
      <c r="G12115" s="20"/>
    </row>
    <row r="12116" spans="1:7">
      <c r="A12116" s="211" t="s">
        <v>494</v>
      </c>
      <c r="B12116" s="216" t="str">
        <f ca="1">_xlfn.CONCAT(B12104,A12116)</f>
        <v>1B0A125A-K</v>
      </c>
      <c r="C12116" s="17"/>
      <c r="D12116" s="184"/>
      <c r="E12116" s="197"/>
      <c r="F12116" s="19"/>
      <c r="G12116" s="20"/>
    </row>
    <row r="12117" spans="1:7">
      <c r="A12117" s="211" t="s">
        <v>495</v>
      </c>
      <c r="B12117" s="216" t="str">
        <f ca="1">_xlfn.CONCAT(B12104,A12117)</f>
        <v>1B0A125A-L</v>
      </c>
      <c r="C12117" s="17"/>
      <c r="D12117" s="184"/>
      <c r="E12117" s="197"/>
      <c r="F12117" s="19"/>
      <c r="G12117" s="20"/>
    </row>
    <row r="12118" spans="1:7">
      <c r="A12118" s="211" t="s">
        <v>496</v>
      </c>
      <c r="B12118" s="216" t="str">
        <f ca="1">_xlfn.CONCAT(B12104,A12118)</f>
        <v>1B0A125A-M</v>
      </c>
      <c r="C12118" s="17"/>
      <c r="D12118" s="184"/>
      <c r="E12118" s="197"/>
      <c r="F12118" s="19"/>
      <c r="G12118" s="20"/>
    </row>
    <row r="12119" spans="1:7">
      <c r="A12119" s="211" t="s">
        <v>497</v>
      </c>
      <c r="B12119" s="216" t="str">
        <f ca="1">_xlfn.CONCAT(B12104,A12119)</f>
        <v>1B0A125A-N</v>
      </c>
      <c r="C12119" s="17"/>
      <c r="D12119" s="184"/>
      <c r="E12119" s="197"/>
      <c r="F12119" s="19"/>
      <c r="G12119" s="20"/>
    </row>
    <row r="12120" spans="1:7">
      <c r="A12120" s="211" t="s">
        <v>498</v>
      </c>
      <c r="B12120" s="216" t="str">
        <f ca="1">_xlfn.CONCAT(B12104,A12120)</f>
        <v>1B0A125A-O</v>
      </c>
      <c r="C12120" s="17"/>
      <c r="D12120" s="184"/>
      <c r="E12120" s="197"/>
      <c r="F12120" s="19"/>
      <c r="G12120" s="20"/>
    </row>
    <row r="12121" spans="1:7">
      <c r="A12121" s="211" t="s">
        <v>499</v>
      </c>
      <c r="B12121" s="216" t="str">
        <f ca="1">_xlfn.CONCAT(B12104,A12121)</f>
        <v>1B0A125A-P</v>
      </c>
      <c r="C12121" s="17"/>
      <c r="D12121" s="184"/>
      <c r="E12121" s="197"/>
      <c r="F12121" s="19"/>
      <c r="G12121" s="20"/>
    </row>
    <row r="12122" spans="1:7">
      <c r="A12122" s="211" t="s">
        <v>500</v>
      </c>
      <c r="B12122" s="216" t="str">
        <f ca="1">_xlfn.CONCAT(B12104,A12122)</f>
        <v>1B0A125A-Q</v>
      </c>
      <c r="C12122" s="17"/>
      <c r="D12122" s="184"/>
      <c r="E12122" s="197"/>
      <c r="F12122" s="19"/>
      <c r="G12122" s="20"/>
    </row>
    <row r="12123" spans="1:7">
      <c r="A12123" s="211" t="s">
        <v>501</v>
      </c>
      <c r="B12123" s="216" t="str">
        <f ca="1">_xlfn.CONCAT(B12104,A12123)</f>
        <v>1B0A125A-R</v>
      </c>
      <c r="C12123" s="17"/>
      <c r="D12123" s="184"/>
      <c r="E12123" s="197"/>
      <c r="F12123" s="19"/>
      <c r="G12123" s="20"/>
    </row>
    <row r="12124" spans="1:7">
      <c r="A12124" s="211" t="s">
        <v>502</v>
      </c>
      <c r="B12124" s="216" t="str">
        <f ca="1">_xlfn.CONCAT(B12104,A12124)</f>
        <v>1B0A125A-S</v>
      </c>
      <c r="C12124" s="17"/>
      <c r="D12124" s="184"/>
      <c r="E12124" s="197"/>
      <c r="F12124" s="19"/>
      <c r="G12124" s="20"/>
    </row>
    <row r="12125" spans="1:7">
      <c r="A12125" s="211" t="s">
        <v>503</v>
      </c>
      <c r="B12125" s="216" t="str">
        <f ca="1">_xlfn.CONCAT(B12104,A12125)</f>
        <v>1B0A125A-T</v>
      </c>
      <c r="C12125" s="17"/>
      <c r="D12125" s="184"/>
      <c r="E12125" s="197"/>
      <c r="F12125" s="19"/>
      <c r="G12125" s="20"/>
    </row>
    <row r="12126" spans="1:7" ht="14.25" thickBot="1">
      <c r="A12126" s="211" t="s">
        <v>504</v>
      </c>
      <c r="B12126" s="216" t="str">
        <f ca="1">_xlfn.CONCAT(B12104,A12126)</f>
        <v>1B0A125A-U</v>
      </c>
      <c r="C12126" s="17"/>
      <c r="D12126" s="184"/>
      <c r="E12126" s="197"/>
      <c r="F12126" s="19"/>
      <c r="G12126" s="20"/>
    </row>
    <row r="12127" spans="1:7" ht="14.25" thickBot="1">
      <c r="A12127" s="211" t="s">
        <v>505</v>
      </c>
      <c r="B12127" s="216" t="str">
        <f ca="1">_xlfn.CONCAT(B12104,A12127)</f>
        <v>1B0A125A-V</v>
      </c>
      <c r="C12127" s="17" t="s">
        <v>17</v>
      </c>
      <c r="D12127" s="192" t="s">
        <v>17</v>
      </c>
      <c r="E12127" s="18"/>
      <c r="F12127" s="22" t="s">
        <v>18</v>
      </c>
      <c r="G12127" s="23">
        <f>SUM(G12106:G12126)</f>
        <v>263800</v>
      </c>
    </row>
    <row r="12128" spans="1:7" ht="15.75" thickBot="1">
      <c r="A12128" s="211" t="s">
        <v>506</v>
      </c>
      <c r="B12128" s="216" t="str">
        <f ca="1">_xlfn.CONCAT(B12104,A12128)</f>
        <v>1B0A125A-W</v>
      </c>
      <c r="C12128" s="10" t="s">
        <v>19</v>
      </c>
      <c r="D12128" s="190"/>
      <c r="E12128" s="11"/>
      <c r="F12128" s="12"/>
      <c r="G12128" s="13"/>
    </row>
    <row r="12129" spans="1:8" ht="14.25" thickBot="1">
      <c r="A12129" s="211" t="s">
        <v>507</v>
      </c>
      <c r="B12129" s="216" t="str">
        <f ca="1">_xlfn.CONCAT(B12104,A12129)</f>
        <v>1B0A125A-X</v>
      </c>
      <c r="C12129" s="14" t="s">
        <v>1</v>
      </c>
      <c r="D12129" s="15"/>
      <c r="E12129" s="15" t="s">
        <v>20</v>
      </c>
      <c r="F12129" s="16" t="s">
        <v>21</v>
      </c>
      <c r="G12129" s="15" t="s">
        <v>5</v>
      </c>
      <c r="H12129" s="215"/>
    </row>
    <row r="12130" spans="1:8">
      <c r="A12130" s="211" t="s">
        <v>508</v>
      </c>
      <c r="B12130" s="216" t="str">
        <f ca="1">_xlfn.CONCAT(B12104,A12130)</f>
        <v>1B0A125A-Y</v>
      </c>
      <c r="C12130" s="24" t="s">
        <v>22</v>
      </c>
      <c r="D12130" s="184"/>
      <c r="E12130" s="25">
        <f>_xlfn.XLOOKUP(C12130,'H-MO'!B$7:B$30,'H-MO'!D$7:D$30,,0,1)</f>
        <v>2436.5624999999995</v>
      </c>
      <c r="F12130" s="19">
        <v>0.4</v>
      </c>
      <c r="G12130" s="33">
        <f t="shared" ref="G12130:G12135" si="353">+E12130*F12130</f>
        <v>974.62499999999989</v>
      </c>
    </row>
    <row r="12131" spans="1:8">
      <c r="A12131" s="211" t="s">
        <v>509</v>
      </c>
      <c r="B12131" s="216" t="str">
        <f ca="1">_xlfn.CONCAT(B12104,A12131)</f>
        <v>1B0A125A-Z</v>
      </c>
      <c r="C12131" s="24" t="s">
        <v>23</v>
      </c>
      <c r="D12131" s="184"/>
      <c r="E12131" s="25">
        <f>_xlfn.XLOOKUP(C12131,'H-MO'!B$7:B$30,'H-MO'!D$7:D$30,,0,1)</f>
        <v>1461.9374999999998</v>
      </c>
      <c r="F12131" s="19">
        <v>0.5</v>
      </c>
      <c r="G12131" s="33">
        <f t="shared" si="353"/>
        <v>730.96874999999989</v>
      </c>
    </row>
    <row r="12132" spans="1:8">
      <c r="A12132" s="211" t="s">
        <v>510</v>
      </c>
      <c r="B12132" s="216" t="str">
        <f ca="1">_xlfn.CONCAT(B12104,A12132)</f>
        <v>1B0A125A-aa</v>
      </c>
      <c r="C12132" s="24" t="s">
        <v>24</v>
      </c>
      <c r="D12132" s="185"/>
      <c r="E12132" s="25">
        <f>_xlfn.XLOOKUP(C12132,'H-MO'!B$7:B$30,'H-MO'!D$7:D$30,,0,1)</f>
        <v>29238.749999999996</v>
      </c>
      <c r="F12132" s="28">
        <v>0.05</v>
      </c>
      <c r="G12132" s="33">
        <f t="shared" si="353"/>
        <v>1461.9375</v>
      </c>
    </row>
    <row r="12133" spans="1:8">
      <c r="A12133" s="211" t="s">
        <v>511</v>
      </c>
      <c r="B12133" s="216" t="str">
        <f ca="1">_xlfn.CONCAT(B12104,A12133)</f>
        <v>1B0A125A-ab</v>
      </c>
      <c r="C12133" s="24" t="s">
        <v>25</v>
      </c>
      <c r="D12133" s="185"/>
      <c r="E12133" s="25">
        <f>_xlfn.XLOOKUP(C12133,'H-MO'!B$7:B$30,'H-MO'!D$7:D$30,,0,1)</f>
        <v>2761.4374999999995</v>
      </c>
      <c r="F12133" s="28">
        <v>0.01</v>
      </c>
      <c r="G12133" s="33">
        <f t="shared" si="353"/>
        <v>27.614374999999995</v>
      </c>
    </row>
    <row r="12134" spans="1:8">
      <c r="A12134" s="211" t="s">
        <v>512</v>
      </c>
      <c r="B12134" s="216" t="str">
        <f ca="1">_xlfn.CONCAT(B12104,A12134)</f>
        <v>1B0A125A-ac</v>
      </c>
      <c r="C12134" s="24"/>
      <c r="D12134" s="185"/>
      <c r="E12134" s="29"/>
      <c r="F12134" s="28"/>
      <c r="G12134" s="33">
        <f t="shared" si="353"/>
        <v>0</v>
      </c>
    </row>
    <row r="12135" spans="1:8" ht="14.25" thickBot="1">
      <c r="A12135" s="211" t="s">
        <v>513</v>
      </c>
      <c r="B12135" s="216" t="str">
        <f ca="1">_xlfn.CONCAT(B12104,A12135)</f>
        <v>1B0A125A-ad</v>
      </c>
      <c r="C12135" s="24"/>
      <c r="D12135" s="185"/>
      <c r="E12135" s="29"/>
      <c r="F12135" s="28"/>
      <c r="G12135" s="33">
        <f t="shared" si="353"/>
        <v>0</v>
      </c>
    </row>
    <row r="12136" spans="1:8" ht="14.25" thickBot="1">
      <c r="A12136" s="211" t="s">
        <v>514</v>
      </c>
      <c r="B12136" s="216" t="str">
        <f ca="1">_xlfn.CONCAT(B12104,A12136)</f>
        <v>1B0A125A-ae</v>
      </c>
      <c r="C12136" s="17"/>
      <c r="D12136" s="192"/>
      <c r="E12136" s="18"/>
      <c r="F12136" s="22" t="s">
        <v>26</v>
      </c>
      <c r="G12136" s="23">
        <f>SUM(G12130:G12135)</f>
        <v>3195.1456250000001</v>
      </c>
    </row>
    <row r="12137" spans="1:8" ht="15.75" thickBot="1">
      <c r="A12137" s="211" t="s">
        <v>515</v>
      </c>
      <c r="B12137" s="216" t="str">
        <f ca="1">_xlfn.CONCAT(B12104,A12137)</f>
        <v>1B0A125A-af</v>
      </c>
      <c r="C12137" s="10" t="s">
        <v>27</v>
      </c>
      <c r="D12137" s="190"/>
      <c r="E12137" s="11"/>
      <c r="F12137" s="12"/>
      <c r="G12137" s="13"/>
    </row>
    <row r="12138" spans="1:8" ht="14.25" thickBot="1">
      <c r="A12138" s="211" t="s">
        <v>516</v>
      </c>
      <c r="B12138" s="216" t="str">
        <f ca="1">_xlfn.CONCAT(B12104,A12138)</f>
        <v>1B0A125A-ag</v>
      </c>
      <c r="C12138" s="14" t="s">
        <v>1</v>
      </c>
      <c r="D12138" s="15" t="s">
        <v>28</v>
      </c>
      <c r="E12138" s="15" t="s">
        <v>20</v>
      </c>
      <c r="F12138" s="16" t="s">
        <v>21</v>
      </c>
      <c r="G12138" s="15" t="s">
        <v>5</v>
      </c>
      <c r="H12138" s="215"/>
    </row>
    <row r="12139" spans="1:8">
      <c r="A12139" s="211" t="s">
        <v>517</v>
      </c>
      <c r="B12139" s="216" t="str">
        <f ca="1">_xlfn.CONCAT(B12104,A12139)</f>
        <v>1B0A125A-ah</v>
      </c>
      <c r="C12139" s="30" t="s">
        <v>29</v>
      </c>
      <c r="D12139" s="186">
        <f>'H-MO'!$N$77</f>
        <v>725918.52892505517</v>
      </c>
      <c r="E12139" s="31">
        <f>+D12139/8</f>
        <v>90739.816115631897</v>
      </c>
      <c r="F12139" s="32">
        <v>0.5</v>
      </c>
      <c r="G12139" s="33">
        <f>+E12139*F12139</f>
        <v>45369.908057815948</v>
      </c>
    </row>
    <row r="12140" spans="1:8">
      <c r="A12140" s="211" t="s">
        <v>518</v>
      </c>
      <c r="B12140" s="216" t="str">
        <f ca="1">_xlfn.CONCAT(B12104,A12140)</f>
        <v>1B0A125A-ai</v>
      </c>
      <c r="C12140" s="34" t="s">
        <v>30</v>
      </c>
      <c r="D12140" s="187">
        <f>'H-MO'!$N$86</f>
        <v>685561.39085756091</v>
      </c>
      <c r="E12140" s="29">
        <f>+D12140/8</f>
        <v>85695.173857195114</v>
      </c>
      <c r="F12140" s="28">
        <v>0</v>
      </c>
      <c r="G12140" s="33">
        <f>+E12140*F12140</f>
        <v>0</v>
      </c>
    </row>
    <row r="12141" spans="1:8" ht="14.25" thickBot="1">
      <c r="A12141" s="211" t="s">
        <v>519</v>
      </c>
      <c r="B12141" s="216" t="str">
        <f ca="1">_xlfn.CONCAT(B12104,A12141)</f>
        <v>1B0A125A-aj</v>
      </c>
      <c r="C12141" s="34"/>
      <c r="D12141" s="187"/>
      <c r="E12141" s="29"/>
      <c r="F12141" s="28"/>
      <c r="G12141" s="33">
        <f>+E12141*F12141</f>
        <v>0</v>
      </c>
    </row>
    <row r="12142" spans="1:8" ht="14.25" thickBot="1">
      <c r="A12142" s="211" t="s">
        <v>520</v>
      </c>
      <c r="B12142" s="216" t="str">
        <f ca="1">_xlfn.CONCAT(B12104,A12142)</f>
        <v>1B0A125A-ak</v>
      </c>
      <c r="C12142" s="34"/>
      <c r="D12142" s="185"/>
      <c r="E12142" s="26"/>
      <c r="F12142" s="36" t="s">
        <v>31</v>
      </c>
      <c r="G12142" s="23">
        <f>SUM(G12139:G12141)</f>
        <v>45369.908057815948</v>
      </c>
    </row>
    <row r="12143" spans="1:8" ht="14.25" thickBot="1">
      <c r="A12143" s="211" t="s">
        <v>521</v>
      </c>
      <c r="B12143" s="216" t="str">
        <f ca="1">_xlfn.CONCAT(B12104,A12143)</f>
        <v>1B0A125A-al</v>
      </c>
      <c r="C12143" s="37"/>
      <c r="E12143" s="38"/>
      <c r="F12143" s="22"/>
      <c r="G12143" s="39"/>
    </row>
    <row r="12144" spans="1:8" ht="16.5" thickBot="1">
      <c r="A12144" s="211" t="s">
        <v>522</v>
      </c>
      <c r="B12144" s="216" t="str">
        <f ca="1">_xlfn.CONCAT(B12104,A12144)</f>
        <v>1B0A125A-am</v>
      </c>
      <c r="C12144" s="40"/>
      <c r="D12144" s="193"/>
      <c r="E12144" s="41"/>
      <c r="F12144" s="42"/>
      <c r="G12144" s="43">
        <f>+G12127+G12136+G12142</f>
        <v>312365.05368281598</v>
      </c>
    </row>
    <row r="12145" spans="1:8" ht="21.75" thickBot="1">
      <c r="B12145" s="212" t="s">
        <v>550</v>
      </c>
      <c r="C12145" s="2"/>
      <c r="D12145" s="183"/>
      <c r="F12145" s="4"/>
      <c r="G12145" s="5"/>
    </row>
    <row r="12146" spans="1:8" ht="18.75">
      <c r="A12146" s="213"/>
      <c r="B12146" s="214">
        <v>276</v>
      </c>
      <c r="C12146" s="242" t="str">
        <f ca="1">_xlfn.XLOOKUP(B12146,Cantidades!$A$10:$A$314,Cantidades!$C$10:$C$314,,0,1)</f>
        <v>Suministro e instalación de interruptor automático 3x63A en caja moldeada</v>
      </c>
      <c r="D12146" s="243"/>
      <c r="E12146" s="243"/>
      <c r="F12146" s="243"/>
      <c r="G12146" s="244"/>
      <c r="H12146" s="213"/>
    </row>
    <row r="12147" spans="1:8" ht="19.5" thickBot="1">
      <c r="A12147" s="215"/>
      <c r="B12147" s="216" t="s">
        <v>550</v>
      </c>
      <c r="C12147" s="177"/>
      <c r="D12147" s="189"/>
      <c r="E12147" s="178"/>
      <c r="F12147" s="179" t="s">
        <v>636</v>
      </c>
      <c r="G12147" s="209" t="str">
        <f ca="1">B12148</f>
        <v>1B0AF63A-</v>
      </c>
      <c r="H12147" s="215"/>
    </row>
    <row r="12148" spans="1:8" ht="15.75" thickBot="1">
      <c r="B12148" s="212" t="str">
        <f ca="1">_xlfn.XLOOKUP(C12146,Cantidades!$C$1:$C$314,Cantidades!$B$1:$B$314,"",0,1)</f>
        <v>1B0AF63A-</v>
      </c>
      <c r="C12148" s="10" t="s">
        <v>0</v>
      </c>
      <c r="D12148" s="190"/>
      <c r="E12148" s="11"/>
      <c r="F12148" s="12"/>
      <c r="G12148" s="13"/>
    </row>
    <row r="12149" spans="1:8" ht="14.25" thickBot="1">
      <c r="A12149" s="215"/>
      <c r="B12149" s="216" t="s">
        <v>550</v>
      </c>
      <c r="C12149" s="14" t="s">
        <v>1</v>
      </c>
      <c r="D12149" s="15" t="s">
        <v>2</v>
      </c>
      <c r="E12149" s="15" t="s">
        <v>3</v>
      </c>
      <c r="F12149" s="16" t="s">
        <v>4</v>
      </c>
      <c r="G12149" s="15" t="s">
        <v>5</v>
      </c>
      <c r="H12149" s="215"/>
    </row>
    <row r="12150" spans="1:8" ht="15">
      <c r="A12150" s="211" t="s">
        <v>484</v>
      </c>
      <c r="B12150" s="216" t="str">
        <f ca="1">_xlfn.CONCAT(B12148,A12150)</f>
        <v>1B0AF63A-A</v>
      </c>
      <c r="C12150" s="17" t="str">
        <f>_xlfn.XLOOKUP(H12150,'Materiales unitario'!$A$1:$A$2500,'Materiales unitario'!B$1:B$2500,,0,1)</f>
        <v>Totalizador industrial 3x63 amperios</v>
      </c>
      <c r="D12150" s="184" t="str">
        <f>_xlfn.XLOOKUP(H12150,'Materiales unitario'!A$1:A$2500,'Materiales unitario'!C$1:C$2500,,0,1)</f>
        <v>un</v>
      </c>
      <c r="E12150" s="197">
        <f>_xlfn.XLOOKUP(H12150,'Materiales unitario'!$A$1:$A$2500,'Materiales unitario'!D$1:D$2500,,0,1)</f>
        <v>259440</v>
      </c>
      <c r="F12150" s="19">
        <v>1</v>
      </c>
      <c r="G12150" s="20">
        <f>+E12150*F12150</f>
        <v>259440</v>
      </c>
      <c r="H12150" s="217" t="s">
        <v>1815</v>
      </c>
    </row>
    <row r="12151" spans="1:8" ht="15">
      <c r="A12151" s="211" t="s">
        <v>485</v>
      </c>
      <c r="B12151" s="216" t="str">
        <f ca="1">_xlfn.CONCAT(B12148,A12151)</f>
        <v>1B0AF63A-B</v>
      </c>
      <c r="C12151" s="17"/>
      <c r="D12151" s="184"/>
      <c r="E12151" s="197"/>
      <c r="F12151" s="19"/>
      <c r="G12151" s="20"/>
      <c r="H12151" s="217"/>
    </row>
    <row r="12152" spans="1:8">
      <c r="A12152" s="211" t="s">
        <v>486</v>
      </c>
      <c r="B12152" s="216" t="str">
        <f ca="1">_xlfn.CONCAT(B12148,A12152)</f>
        <v>1B0AF63A-C</v>
      </c>
      <c r="C12152" s="17"/>
      <c r="D12152" s="184"/>
      <c r="E12152" s="197"/>
      <c r="F12152" s="19"/>
      <c r="G12152" s="20"/>
    </row>
    <row r="12153" spans="1:8">
      <c r="A12153" s="211" t="s">
        <v>487</v>
      </c>
      <c r="B12153" s="216" t="str">
        <f ca="1">_xlfn.CONCAT(B12148,A12153)</f>
        <v>1B0AF63A-D</v>
      </c>
      <c r="C12153" s="17"/>
      <c r="D12153" s="184"/>
      <c r="E12153" s="197"/>
      <c r="F12153" s="19"/>
      <c r="G12153" s="20"/>
    </row>
    <row r="12154" spans="1:8">
      <c r="A12154" s="211" t="s">
        <v>488</v>
      </c>
      <c r="B12154" s="216" t="str">
        <f ca="1">_xlfn.CONCAT(B12148,A12154)</f>
        <v>1B0AF63A-E</v>
      </c>
      <c r="C12154" s="17"/>
      <c r="D12154" s="184"/>
      <c r="E12154" s="197"/>
      <c r="F12154" s="19"/>
      <c r="G12154" s="20"/>
    </row>
    <row r="12155" spans="1:8">
      <c r="A12155" s="211" t="s">
        <v>489</v>
      </c>
      <c r="B12155" s="216" t="str">
        <f ca="1">_xlfn.CONCAT(B12148,A12155)</f>
        <v>1B0AF63A-F</v>
      </c>
      <c r="C12155" s="17"/>
      <c r="D12155" s="184"/>
      <c r="E12155" s="197"/>
      <c r="F12155" s="19"/>
      <c r="G12155" s="20"/>
    </row>
    <row r="12156" spans="1:8">
      <c r="A12156" s="211" t="s">
        <v>490</v>
      </c>
      <c r="B12156" s="216" t="str">
        <f ca="1">_xlfn.CONCAT(B12148,A12156)</f>
        <v>1B0AF63A-G</v>
      </c>
      <c r="C12156" s="17"/>
      <c r="D12156" s="184"/>
      <c r="E12156" s="197"/>
      <c r="F12156" s="19"/>
      <c r="G12156" s="20"/>
    </row>
    <row r="12157" spans="1:8">
      <c r="A12157" s="211" t="s">
        <v>491</v>
      </c>
      <c r="B12157" s="216" t="str">
        <f ca="1">_xlfn.CONCAT(B12148,A12157)</f>
        <v>1B0AF63A-H</v>
      </c>
      <c r="C12157" s="17"/>
      <c r="D12157" s="184"/>
      <c r="E12157" s="197"/>
      <c r="F12157" s="19"/>
      <c r="G12157" s="20"/>
    </row>
    <row r="12158" spans="1:8">
      <c r="A12158" s="211" t="s">
        <v>492</v>
      </c>
      <c r="B12158" s="216" t="str">
        <f ca="1">_xlfn.CONCAT(B12148,A12158)</f>
        <v>1B0AF63A-I</v>
      </c>
      <c r="C12158" s="17"/>
      <c r="D12158" s="184"/>
      <c r="E12158" s="197"/>
      <c r="F12158" s="19"/>
      <c r="G12158" s="20"/>
    </row>
    <row r="12159" spans="1:8">
      <c r="A12159" s="211" t="s">
        <v>493</v>
      </c>
      <c r="B12159" s="216" t="str">
        <f ca="1">_xlfn.CONCAT(B12148,A12159)</f>
        <v>1B0AF63A-J</v>
      </c>
      <c r="C12159" s="17"/>
      <c r="D12159" s="184"/>
      <c r="E12159" s="197"/>
      <c r="F12159" s="19"/>
      <c r="G12159" s="20"/>
    </row>
    <row r="12160" spans="1:8">
      <c r="A12160" s="211" t="s">
        <v>494</v>
      </c>
      <c r="B12160" s="216" t="str">
        <f ca="1">_xlfn.CONCAT(B12148,A12160)</f>
        <v>1B0AF63A-K</v>
      </c>
      <c r="C12160" s="17"/>
      <c r="D12160" s="184"/>
      <c r="E12160" s="197"/>
      <c r="F12160" s="19"/>
      <c r="G12160" s="20"/>
    </row>
    <row r="12161" spans="1:8">
      <c r="A12161" s="211" t="s">
        <v>495</v>
      </c>
      <c r="B12161" s="216" t="str">
        <f ca="1">_xlfn.CONCAT(B12148,A12161)</f>
        <v>1B0AF63A-L</v>
      </c>
      <c r="C12161" s="17"/>
      <c r="D12161" s="184"/>
      <c r="E12161" s="197"/>
      <c r="F12161" s="19"/>
      <c r="G12161" s="20"/>
    </row>
    <row r="12162" spans="1:8">
      <c r="A12162" s="211" t="s">
        <v>496</v>
      </c>
      <c r="B12162" s="216" t="str">
        <f ca="1">_xlfn.CONCAT(B12148,A12162)</f>
        <v>1B0AF63A-M</v>
      </c>
      <c r="C12162" s="17"/>
      <c r="D12162" s="184"/>
      <c r="E12162" s="197"/>
      <c r="F12162" s="19"/>
      <c r="G12162" s="20"/>
    </row>
    <row r="12163" spans="1:8">
      <c r="A12163" s="211" t="s">
        <v>497</v>
      </c>
      <c r="B12163" s="216" t="str">
        <f ca="1">_xlfn.CONCAT(B12148,A12163)</f>
        <v>1B0AF63A-N</v>
      </c>
      <c r="C12163" s="17"/>
      <c r="D12163" s="184"/>
      <c r="E12163" s="197"/>
      <c r="F12163" s="19"/>
      <c r="G12163" s="20"/>
    </row>
    <row r="12164" spans="1:8">
      <c r="A12164" s="211" t="s">
        <v>498</v>
      </c>
      <c r="B12164" s="216" t="str">
        <f ca="1">_xlfn.CONCAT(B12148,A12164)</f>
        <v>1B0AF63A-O</v>
      </c>
      <c r="C12164" s="17"/>
      <c r="D12164" s="184"/>
      <c r="E12164" s="197"/>
      <c r="F12164" s="19"/>
      <c r="G12164" s="20"/>
    </row>
    <row r="12165" spans="1:8">
      <c r="A12165" s="211" t="s">
        <v>499</v>
      </c>
      <c r="B12165" s="216" t="str">
        <f ca="1">_xlfn.CONCAT(B12148,A12165)</f>
        <v>1B0AF63A-P</v>
      </c>
      <c r="C12165" s="17"/>
      <c r="D12165" s="184"/>
      <c r="E12165" s="197"/>
      <c r="F12165" s="19"/>
      <c r="G12165" s="20"/>
    </row>
    <row r="12166" spans="1:8">
      <c r="A12166" s="211" t="s">
        <v>500</v>
      </c>
      <c r="B12166" s="216" t="str">
        <f ca="1">_xlfn.CONCAT(B12148,A12166)</f>
        <v>1B0AF63A-Q</v>
      </c>
      <c r="C12166" s="17"/>
      <c r="D12166" s="184"/>
      <c r="E12166" s="197"/>
      <c r="F12166" s="19"/>
      <c r="G12166" s="20"/>
    </row>
    <row r="12167" spans="1:8">
      <c r="A12167" s="211" t="s">
        <v>501</v>
      </c>
      <c r="B12167" s="216" t="str">
        <f ca="1">_xlfn.CONCAT(B12148,A12167)</f>
        <v>1B0AF63A-R</v>
      </c>
      <c r="C12167" s="17"/>
      <c r="D12167" s="184"/>
      <c r="E12167" s="197"/>
      <c r="F12167" s="19"/>
      <c r="G12167" s="20"/>
    </row>
    <row r="12168" spans="1:8">
      <c r="A12168" s="211" t="s">
        <v>502</v>
      </c>
      <c r="B12168" s="216" t="str">
        <f ca="1">_xlfn.CONCAT(B12148,A12168)</f>
        <v>1B0AF63A-S</v>
      </c>
      <c r="C12168" s="17"/>
      <c r="D12168" s="184"/>
      <c r="E12168" s="197"/>
      <c r="F12168" s="19"/>
      <c r="G12168" s="20"/>
    </row>
    <row r="12169" spans="1:8">
      <c r="A12169" s="211" t="s">
        <v>503</v>
      </c>
      <c r="B12169" s="216" t="str">
        <f ca="1">_xlfn.CONCAT(B12148,A12169)</f>
        <v>1B0AF63A-T</v>
      </c>
      <c r="C12169" s="17"/>
      <c r="D12169" s="184"/>
      <c r="E12169" s="197"/>
      <c r="F12169" s="19"/>
      <c r="G12169" s="20"/>
    </row>
    <row r="12170" spans="1:8" ht="14.25" thickBot="1">
      <c r="A12170" s="211" t="s">
        <v>504</v>
      </c>
      <c r="B12170" s="216" t="str">
        <f ca="1">_xlfn.CONCAT(B12148,A12170)</f>
        <v>1B0AF63A-U</v>
      </c>
      <c r="C12170" s="17"/>
      <c r="D12170" s="184"/>
      <c r="E12170" s="197"/>
      <c r="F12170" s="19"/>
      <c r="G12170" s="20"/>
    </row>
    <row r="12171" spans="1:8" ht="14.25" thickBot="1">
      <c r="A12171" s="211" t="s">
        <v>505</v>
      </c>
      <c r="B12171" s="216" t="str">
        <f ca="1">_xlfn.CONCAT(B12148,A12171)</f>
        <v>1B0AF63A-V</v>
      </c>
      <c r="C12171" s="17" t="s">
        <v>17</v>
      </c>
      <c r="D12171" s="192" t="s">
        <v>17</v>
      </c>
      <c r="E12171" s="18"/>
      <c r="F12171" s="22" t="s">
        <v>18</v>
      </c>
      <c r="G12171" s="23">
        <f>SUM(G12150:G12170)</f>
        <v>259440</v>
      </c>
    </row>
    <row r="12172" spans="1:8" ht="15.75" thickBot="1">
      <c r="A12172" s="211" t="s">
        <v>506</v>
      </c>
      <c r="B12172" s="216" t="str">
        <f ca="1">_xlfn.CONCAT(B12148,A12172)</f>
        <v>1B0AF63A-W</v>
      </c>
      <c r="C12172" s="10" t="s">
        <v>19</v>
      </c>
      <c r="D12172" s="190"/>
      <c r="E12172" s="11"/>
      <c r="F12172" s="12"/>
      <c r="G12172" s="13"/>
    </row>
    <row r="12173" spans="1:8" ht="14.25" thickBot="1">
      <c r="A12173" s="211" t="s">
        <v>507</v>
      </c>
      <c r="B12173" s="216" t="str">
        <f ca="1">_xlfn.CONCAT(B12148,A12173)</f>
        <v>1B0AF63A-X</v>
      </c>
      <c r="C12173" s="14" t="s">
        <v>1</v>
      </c>
      <c r="D12173" s="15"/>
      <c r="E12173" s="15" t="s">
        <v>20</v>
      </c>
      <c r="F12173" s="16" t="s">
        <v>21</v>
      </c>
      <c r="G12173" s="15" t="s">
        <v>5</v>
      </c>
      <c r="H12173" s="215"/>
    </row>
    <row r="12174" spans="1:8">
      <c r="A12174" s="211" t="s">
        <v>508</v>
      </c>
      <c r="B12174" s="216" t="str">
        <f ca="1">_xlfn.CONCAT(B12148,A12174)</f>
        <v>1B0AF63A-Y</v>
      </c>
      <c r="C12174" s="24" t="s">
        <v>22</v>
      </c>
      <c r="D12174" s="184"/>
      <c r="E12174" s="25">
        <f>_xlfn.XLOOKUP(C12174,'H-MO'!B$7:B$30,'H-MO'!D$7:D$30,,0,1)</f>
        <v>2436.5624999999995</v>
      </c>
      <c r="F12174" s="19">
        <v>0.4</v>
      </c>
      <c r="G12174" s="33">
        <f t="shared" ref="G12174:G12179" si="354">+E12174*F12174</f>
        <v>974.62499999999989</v>
      </c>
    </row>
    <row r="12175" spans="1:8">
      <c r="A12175" s="211" t="s">
        <v>509</v>
      </c>
      <c r="B12175" s="216" t="str">
        <f ca="1">_xlfn.CONCAT(B12148,A12175)</f>
        <v>1B0AF63A-Z</v>
      </c>
      <c r="C12175" s="24" t="s">
        <v>23</v>
      </c>
      <c r="D12175" s="184"/>
      <c r="E12175" s="25">
        <f>_xlfn.XLOOKUP(C12175,'H-MO'!B$7:B$30,'H-MO'!D$7:D$30,,0,1)</f>
        <v>1461.9374999999998</v>
      </c>
      <c r="F12175" s="19">
        <v>0.5</v>
      </c>
      <c r="G12175" s="33">
        <f t="shared" si="354"/>
        <v>730.96874999999989</v>
      </c>
    </row>
    <row r="12176" spans="1:8">
      <c r="A12176" s="211" t="s">
        <v>510</v>
      </c>
      <c r="B12176" s="216" t="str">
        <f ca="1">_xlfn.CONCAT(B12148,A12176)</f>
        <v>1B0AF63A-aa</v>
      </c>
      <c r="C12176" s="24" t="s">
        <v>24</v>
      </c>
      <c r="D12176" s="185"/>
      <c r="E12176" s="25">
        <f>_xlfn.XLOOKUP(C12176,'H-MO'!B$7:B$30,'H-MO'!D$7:D$30,,0,1)</f>
        <v>29238.749999999996</v>
      </c>
      <c r="F12176" s="28">
        <v>0.05</v>
      </c>
      <c r="G12176" s="33">
        <f t="shared" si="354"/>
        <v>1461.9375</v>
      </c>
    </row>
    <row r="12177" spans="1:8">
      <c r="A12177" s="211" t="s">
        <v>511</v>
      </c>
      <c r="B12177" s="216" t="str">
        <f ca="1">_xlfn.CONCAT(B12148,A12177)</f>
        <v>1B0AF63A-ab</v>
      </c>
      <c r="C12177" s="24" t="s">
        <v>25</v>
      </c>
      <c r="D12177" s="185"/>
      <c r="E12177" s="25">
        <f>_xlfn.XLOOKUP(C12177,'H-MO'!B$7:B$30,'H-MO'!D$7:D$30,,0,1)</f>
        <v>2761.4374999999995</v>
      </c>
      <c r="F12177" s="28">
        <v>0.01</v>
      </c>
      <c r="G12177" s="33">
        <f t="shared" si="354"/>
        <v>27.614374999999995</v>
      </c>
    </row>
    <row r="12178" spans="1:8">
      <c r="A12178" s="211" t="s">
        <v>512</v>
      </c>
      <c r="B12178" s="216" t="str">
        <f ca="1">_xlfn.CONCAT(B12148,A12178)</f>
        <v>1B0AF63A-ac</v>
      </c>
      <c r="C12178" s="24"/>
      <c r="D12178" s="185"/>
      <c r="E12178" s="29"/>
      <c r="F12178" s="28"/>
      <c r="G12178" s="33">
        <f t="shared" si="354"/>
        <v>0</v>
      </c>
    </row>
    <row r="12179" spans="1:8" ht="14.25" thickBot="1">
      <c r="A12179" s="211" t="s">
        <v>513</v>
      </c>
      <c r="B12179" s="216" t="str">
        <f ca="1">_xlfn.CONCAT(B12148,A12179)</f>
        <v>1B0AF63A-ad</v>
      </c>
      <c r="C12179" s="24"/>
      <c r="D12179" s="185"/>
      <c r="E12179" s="29"/>
      <c r="F12179" s="28"/>
      <c r="G12179" s="33">
        <f t="shared" si="354"/>
        <v>0</v>
      </c>
    </row>
    <row r="12180" spans="1:8" ht="14.25" thickBot="1">
      <c r="A12180" s="211" t="s">
        <v>514</v>
      </c>
      <c r="B12180" s="216" t="str">
        <f ca="1">_xlfn.CONCAT(B12148,A12180)</f>
        <v>1B0AF63A-ae</v>
      </c>
      <c r="C12180" s="17"/>
      <c r="D12180" s="192"/>
      <c r="E12180" s="18"/>
      <c r="F12180" s="22" t="s">
        <v>26</v>
      </c>
      <c r="G12180" s="23">
        <f>SUM(G12174:G12179)</f>
        <v>3195.1456250000001</v>
      </c>
    </row>
    <row r="12181" spans="1:8" ht="15.75" thickBot="1">
      <c r="A12181" s="211" t="s">
        <v>515</v>
      </c>
      <c r="B12181" s="216" t="str">
        <f ca="1">_xlfn.CONCAT(B12148,A12181)</f>
        <v>1B0AF63A-af</v>
      </c>
      <c r="C12181" s="10" t="s">
        <v>27</v>
      </c>
      <c r="D12181" s="190"/>
      <c r="E12181" s="11"/>
      <c r="F12181" s="12"/>
      <c r="G12181" s="13"/>
    </row>
    <row r="12182" spans="1:8" ht="14.25" thickBot="1">
      <c r="A12182" s="211" t="s">
        <v>516</v>
      </c>
      <c r="B12182" s="216" t="str">
        <f ca="1">_xlfn.CONCAT(B12148,A12182)</f>
        <v>1B0AF63A-ag</v>
      </c>
      <c r="C12182" s="14" t="s">
        <v>1</v>
      </c>
      <c r="D12182" s="15" t="s">
        <v>28</v>
      </c>
      <c r="E12182" s="15" t="s">
        <v>20</v>
      </c>
      <c r="F12182" s="16" t="s">
        <v>21</v>
      </c>
      <c r="G12182" s="15" t="s">
        <v>5</v>
      </c>
      <c r="H12182" s="215"/>
    </row>
    <row r="12183" spans="1:8">
      <c r="A12183" s="211" t="s">
        <v>517</v>
      </c>
      <c r="B12183" s="216" t="str">
        <f ca="1">_xlfn.CONCAT(B12148,A12183)</f>
        <v>1B0AF63A-ah</v>
      </c>
      <c r="C12183" s="30" t="s">
        <v>29</v>
      </c>
      <c r="D12183" s="186">
        <f>'H-MO'!$N$77</f>
        <v>725918.52892505517</v>
      </c>
      <c r="E12183" s="31">
        <f>+D12183/8</f>
        <v>90739.816115631897</v>
      </c>
      <c r="F12183" s="32">
        <v>0.5</v>
      </c>
      <c r="G12183" s="33">
        <f>+E12183*F12183</f>
        <v>45369.908057815948</v>
      </c>
    </row>
    <row r="12184" spans="1:8">
      <c r="A12184" s="211" t="s">
        <v>518</v>
      </c>
      <c r="B12184" s="216" t="str">
        <f ca="1">_xlfn.CONCAT(B12148,A12184)</f>
        <v>1B0AF63A-ai</v>
      </c>
      <c r="C12184" s="34" t="s">
        <v>30</v>
      </c>
      <c r="D12184" s="187">
        <f>'H-MO'!$N$86</f>
        <v>685561.39085756091</v>
      </c>
      <c r="E12184" s="29">
        <f>+D12184/8</f>
        <v>85695.173857195114</v>
      </c>
      <c r="F12184" s="28">
        <v>0</v>
      </c>
      <c r="G12184" s="33">
        <f>+E12184*F12184</f>
        <v>0</v>
      </c>
    </row>
    <row r="12185" spans="1:8" ht="14.25" thickBot="1">
      <c r="A12185" s="211" t="s">
        <v>519</v>
      </c>
      <c r="B12185" s="216" t="str">
        <f ca="1">_xlfn.CONCAT(B12148,A12185)</f>
        <v>1B0AF63A-aj</v>
      </c>
      <c r="C12185" s="34"/>
      <c r="D12185" s="187"/>
      <c r="E12185" s="29"/>
      <c r="F12185" s="28"/>
      <c r="G12185" s="33">
        <f>+E12185*F12185</f>
        <v>0</v>
      </c>
    </row>
    <row r="12186" spans="1:8" ht="14.25" thickBot="1">
      <c r="A12186" s="211" t="s">
        <v>520</v>
      </c>
      <c r="B12186" s="216" t="str">
        <f ca="1">_xlfn.CONCAT(B12148,A12186)</f>
        <v>1B0AF63A-ak</v>
      </c>
      <c r="C12186" s="34"/>
      <c r="D12186" s="185"/>
      <c r="E12186" s="26"/>
      <c r="F12186" s="36" t="s">
        <v>31</v>
      </c>
      <c r="G12186" s="23">
        <f>SUM(G12183:G12185)</f>
        <v>45369.908057815948</v>
      </c>
    </row>
    <row r="12187" spans="1:8" ht="14.25" thickBot="1">
      <c r="A12187" s="211" t="s">
        <v>521</v>
      </c>
      <c r="B12187" s="216" t="str">
        <f ca="1">_xlfn.CONCAT(B12148,A12187)</f>
        <v>1B0AF63A-al</v>
      </c>
      <c r="C12187" s="37"/>
      <c r="E12187" s="38"/>
      <c r="F12187" s="22"/>
      <c r="G12187" s="39"/>
    </row>
    <row r="12188" spans="1:8" ht="16.5" thickBot="1">
      <c r="A12188" s="211" t="s">
        <v>522</v>
      </c>
      <c r="B12188" s="216" t="str">
        <f ca="1">_xlfn.CONCAT(B12148,A12188)</f>
        <v>1B0AF63A-am</v>
      </c>
      <c r="C12188" s="40"/>
      <c r="D12188" s="193"/>
      <c r="E12188" s="41"/>
      <c r="F12188" s="42"/>
      <c r="G12188" s="43">
        <f>+G12171+G12180+G12186</f>
        <v>308005.05368281598</v>
      </c>
    </row>
    <row r="12189" spans="1:8" ht="21.75" thickBot="1">
      <c r="B12189" s="212" t="s">
        <v>550</v>
      </c>
      <c r="C12189" s="2"/>
      <c r="D12189" s="183"/>
      <c r="F12189" s="4"/>
      <c r="G12189" s="5"/>
    </row>
    <row r="12190" spans="1:8" ht="18.75">
      <c r="A12190" s="213"/>
      <c r="B12190" s="214">
        <v>277</v>
      </c>
      <c r="C12190" s="242" t="str">
        <f ca="1">_xlfn.XLOOKUP(B12190,Cantidades!$A$10:$A$314,Cantidades!$C$10:$C$314,,0,1)</f>
        <v>Suministro e instalacion de cable desnudo #8 AWG</v>
      </c>
      <c r="D12190" s="243"/>
      <c r="E12190" s="243"/>
      <c r="F12190" s="243"/>
      <c r="G12190" s="244"/>
      <c r="H12190" s="213"/>
    </row>
    <row r="12191" spans="1:8" ht="19.5" thickBot="1">
      <c r="A12191" s="215"/>
      <c r="B12191" s="216" t="s">
        <v>550</v>
      </c>
      <c r="C12191" s="177"/>
      <c r="D12191" s="189"/>
      <c r="E12191" s="178"/>
      <c r="F12191" s="179" t="s">
        <v>636</v>
      </c>
      <c r="G12191" s="209" t="str">
        <f ca="1">B12192</f>
        <v>2A4D3339-</v>
      </c>
      <c r="H12191" s="215"/>
    </row>
    <row r="12192" spans="1:8" ht="15.75" thickBot="1">
      <c r="B12192" s="212" t="str">
        <f ca="1">_xlfn.XLOOKUP(C12190,Cantidades!$C$1:$C$314,Cantidades!$B$1:$B$314,"",0,1)</f>
        <v>2A4D3339-</v>
      </c>
      <c r="C12192" s="10" t="s">
        <v>0</v>
      </c>
      <c r="D12192" s="190"/>
      <c r="E12192" s="11"/>
      <c r="F12192" s="12"/>
      <c r="G12192" s="13"/>
    </row>
    <row r="12193" spans="1:8" ht="14.25" thickBot="1">
      <c r="A12193" s="215"/>
      <c r="B12193" s="216" t="s">
        <v>550</v>
      </c>
      <c r="C12193" s="14" t="s">
        <v>1</v>
      </c>
      <c r="D12193" s="15" t="s">
        <v>2</v>
      </c>
      <c r="E12193" s="15" t="s">
        <v>3</v>
      </c>
      <c r="F12193" s="16" t="s">
        <v>4</v>
      </c>
      <c r="G12193" s="15" t="s">
        <v>5</v>
      </c>
      <c r="H12193" s="215"/>
    </row>
    <row r="12194" spans="1:8" ht="15">
      <c r="A12194" s="211" t="s">
        <v>484</v>
      </c>
      <c r="B12194" s="216" t="str">
        <f ca="1">_xlfn.CONCAT(B12192,A12194)</f>
        <v>2A4D3339-A</v>
      </c>
      <c r="C12194" s="17" t="str">
        <f>_xlfn.XLOOKUP(H12194,'Materiales unitario'!$A$1:$A$2500,'Materiales unitario'!B$1:B$2500,,0,1)</f>
        <v xml:space="preserve">Cable de cobre desnudo #8 AWG </v>
      </c>
      <c r="D12194" s="184" t="str">
        <f>_xlfn.XLOOKUP(H12194,'Materiales unitario'!A$1:A$2500,'Materiales unitario'!C$1:C$2500,,0,1)</f>
        <v>ml</v>
      </c>
      <c r="E12194" s="197">
        <f>_xlfn.XLOOKUP(H12194,'Materiales unitario'!$A$1:$A$2500,'Materiales unitario'!D$1:D$2500,,0,1)</f>
        <v>6600</v>
      </c>
      <c r="F12194" s="19">
        <v>1</v>
      </c>
      <c r="G12194" s="20">
        <f>+E12194*F12194</f>
        <v>6600</v>
      </c>
      <c r="H12194" s="217" t="s">
        <v>1693</v>
      </c>
    </row>
    <row r="12195" spans="1:8" ht="15">
      <c r="A12195" s="211" t="s">
        <v>485</v>
      </c>
      <c r="B12195" s="216" t="str">
        <f ca="1">_xlfn.CONCAT(B12192,A12195)</f>
        <v>2A4D3339-B</v>
      </c>
      <c r="C12195" s="17"/>
      <c r="D12195" s="184"/>
      <c r="E12195" s="197"/>
      <c r="F12195" s="19"/>
      <c r="G12195" s="20"/>
      <c r="H12195" s="217"/>
    </row>
    <row r="12196" spans="1:8">
      <c r="A12196" s="211" t="s">
        <v>486</v>
      </c>
      <c r="B12196" s="216" t="str">
        <f ca="1">_xlfn.CONCAT(B12192,A12196)</f>
        <v>2A4D3339-C</v>
      </c>
      <c r="C12196" s="17"/>
      <c r="D12196" s="184"/>
      <c r="E12196" s="197"/>
      <c r="F12196" s="19"/>
      <c r="G12196" s="20"/>
    </row>
    <row r="12197" spans="1:8">
      <c r="A12197" s="211" t="s">
        <v>487</v>
      </c>
      <c r="B12197" s="216" t="str">
        <f ca="1">_xlfn.CONCAT(B12192,A12197)</f>
        <v>2A4D3339-D</v>
      </c>
      <c r="C12197" s="17"/>
      <c r="D12197" s="184"/>
      <c r="E12197" s="197"/>
      <c r="F12197" s="19"/>
      <c r="G12197" s="20"/>
    </row>
    <row r="12198" spans="1:8">
      <c r="A12198" s="211" t="s">
        <v>488</v>
      </c>
      <c r="B12198" s="216" t="str">
        <f ca="1">_xlfn.CONCAT(B12192,A12198)</f>
        <v>2A4D3339-E</v>
      </c>
      <c r="C12198" s="17"/>
      <c r="D12198" s="184"/>
      <c r="E12198" s="197"/>
      <c r="F12198" s="19"/>
      <c r="G12198" s="20"/>
    </row>
    <row r="12199" spans="1:8">
      <c r="A12199" s="211" t="s">
        <v>489</v>
      </c>
      <c r="B12199" s="216" t="str">
        <f ca="1">_xlfn.CONCAT(B12192,A12199)</f>
        <v>2A4D3339-F</v>
      </c>
      <c r="C12199" s="17"/>
      <c r="D12199" s="184"/>
      <c r="E12199" s="197"/>
      <c r="F12199" s="19"/>
      <c r="G12199" s="20"/>
    </row>
    <row r="12200" spans="1:8">
      <c r="A12200" s="211" t="s">
        <v>490</v>
      </c>
      <c r="B12200" s="216" t="str">
        <f ca="1">_xlfn.CONCAT(B12192,A12200)</f>
        <v>2A4D3339-G</v>
      </c>
      <c r="C12200" s="17"/>
      <c r="D12200" s="184"/>
      <c r="E12200" s="197"/>
      <c r="F12200" s="19"/>
      <c r="G12200" s="20"/>
    </row>
    <row r="12201" spans="1:8">
      <c r="A12201" s="211" t="s">
        <v>491</v>
      </c>
      <c r="B12201" s="216" t="str">
        <f ca="1">_xlfn.CONCAT(B12192,A12201)</f>
        <v>2A4D3339-H</v>
      </c>
      <c r="C12201" s="17"/>
      <c r="D12201" s="184"/>
      <c r="E12201" s="197"/>
      <c r="F12201" s="19"/>
      <c r="G12201" s="20"/>
    </row>
    <row r="12202" spans="1:8">
      <c r="A12202" s="211" t="s">
        <v>492</v>
      </c>
      <c r="B12202" s="216" t="str">
        <f ca="1">_xlfn.CONCAT(B12192,A12202)</f>
        <v>2A4D3339-I</v>
      </c>
      <c r="C12202" s="17"/>
      <c r="D12202" s="184"/>
      <c r="E12202" s="197"/>
      <c r="F12202" s="19"/>
      <c r="G12202" s="20"/>
    </row>
    <row r="12203" spans="1:8">
      <c r="A12203" s="211" t="s">
        <v>493</v>
      </c>
      <c r="B12203" s="216" t="str">
        <f ca="1">_xlfn.CONCAT(B12192,A12203)</f>
        <v>2A4D3339-J</v>
      </c>
      <c r="C12203" s="17"/>
      <c r="D12203" s="184"/>
      <c r="E12203" s="197"/>
      <c r="F12203" s="19"/>
      <c r="G12203" s="20"/>
    </row>
    <row r="12204" spans="1:8">
      <c r="A12204" s="211" t="s">
        <v>494</v>
      </c>
      <c r="B12204" s="216" t="str">
        <f ca="1">_xlfn.CONCAT(B12192,A12204)</f>
        <v>2A4D3339-K</v>
      </c>
      <c r="C12204" s="17"/>
      <c r="D12204" s="184"/>
      <c r="E12204" s="197"/>
      <c r="F12204" s="19"/>
      <c r="G12204" s="20"/>
    </row>
    <row r="12205" spans="1:8">
      <c r="A12205" s="211" t="s">
        <v>495</v>
      </c>
      <c r="B12205" s="216" t="str">
        <f ca="1">_xlfn.CONCAT(B12192,A12205)</f>
        <v>2A4D3339-L</v>
      </c>
      <c r="C12205" s="17"/>
      <c r="D12205" s="184"/>
      <c r="E12205" s="197"/>
      <c r="F12205" s="19"/>
      <c r="G12205" s="20"/>
    </row>
    <row r="12206" spans="1:8">
      <c r="A12206" s="211" t="s">
        <v>496</v>
      </c>
      <c r="B12206" s="216" t="str">
        <f ca="1">_xlfn.CONCAT(B12192,A12206)</f>
        <v>2A4D3339-M</v>
      </c>
      <c r="C12206" s="17"/>
      <c r="D12206" s="184"/>
      <c r="E12206" s="197"/>
      <c r="F12206" s="19"/>
      <c r="G12206" s="20"/>
    </row>
    <row r="12207" spans="1:8">
      <c r="A12207" s="211" t="s">
        <v>497</v>
      </c>
      <c r="B12207" s="216" t="str">
        <f ca="1">_xlfn.CONCAT(B12192,A12207)</f>
        <v>2A4D3339-N</v>
      </c>
      <c r="C12207" s="17"/>
      <c r="D12207" s="184"/>
      <c r="E12207" s="197"/>
      <c r="F12207" s="19"/>
      <c r="G12207" s="20"/>
    </row>
    <row r="12208" spans="1:8">
      <c r="A12208" s="211" t="s">
        <v>498</v>
      </c>
      <c r="B12208" s="216" t="str">
        <f ca="1">_xlfn.CONCAT(B12192,A12208)</f>
        <v>2A4D3339-O</v>
      </c>
      <c r="C12208" s="17"/>
      <c r="D12208" s="184"/>
      <c r="E12208" s="197"/>
      <c r="F12208" s="19"/>
      <c r="G12208" s="20"/>
    </row>
    <row r="12209" spans="1:8">
      <c r="A12209" s="211" t="s">
        <v>499</v>
      </c>
      <c r="B12209" s="216" t="str">
        <f ca="1">_xlfn.CONCAT(B12192,A12209)</f>
        <v>2A4D3339-P</v>
      </c>
      <c r="C12209" s="17"/>
      <c r="D12209" s="184"/>
      <c r="E12209" s="197"/>
      <c r="F12209" s="19"/>
      <c r="G12209" s="20"/>
    </row>
    <row r="12210" spans="1:8">
      <c r="A12210" s="211" t="s">
        <v>500</v>
      </c>
      <c r="B12210" s="216" t="str">
        <f ca="1">_xlfn.CONCAT(B12192,A12210)</f>
        <v>2A4D3339-Q</v>
      </c>
      <c r="C12210" s="17"/>
      <c r="D12210" s="184"/>
      <c r="E12210" s="197"/>
      <c r="F12210" s="19"/>
      <c r="G12210" s="20"/>
    </row>
    <row r="12211" spans="1:8">
      <c r="A12211" s="211" t="s">
        <v>501</v>
      </c>
      <c r="B12211" s="216" t="str">
        <f ca="1">_xlfn.CONCAT(B12192,A12211)</f>
        <v>2A4D3339-R</v>
      </c>
      <c r="C12211" s="17"/>
      <c r="D12211" s="184"/>
      <c r="E12211" s="197"/>
      <c r="F12211" s="19"/>
      <c r="G12211" s="20"/>
    </row>
    <row r="12212" spans="1:8">
      <c r="A12212" s="211" t="s">
        <v>502</v>
      </c>
      <c r="B12212" s="216" t="str">
        <f ca="1">_xlfn.CONCAT(B12192,A12212)</f>
        <v>2A4D3339-S</v>
      </c>
      <c r="C12212" s="17"/>
      <c r="D12212" s="184"/>
      <c r="E12212" s="197"/>
      <c r="F12212" s="19"/>
      <c r="G12212" s="20"/>
    </row>
    <row r="12213" spans="1:8">
      <c r="A12213" s="211" t="s">
        <v>503</v>
      </c>
      <c r="B12213" s="216" t="str">
        <f ca="1">_xlfn.CONCAT(B12192,A12213)</f>
        <v>2A4D3339-T</v>
      </c>
      <c r="C12213" s="17"/>
      <c r="D12213" s="184"/>
      <c r="E12213" s="197"/>
      <c r="F12213" s="19"/>
      <c r="G12213" s="20"/>
    </row>
    <row r="12214" spans="1:8" ht="14.25" thickBot="1">
      <c r="A12214" s="211" t="s">
        <v>504</v>
      </c>
      <c r="B12214" s="216" t="str">
        <f ca="1">_xlfn.CONCAT(B12192,A12214)</f>
        <v>2A4D3339-U</v>
      </c>
      <c r="C12214" s="17"/>
      <c r="D12214" s="184"/>
      <c r="E12214" s="197"/>
      <c r="F12214" s="19"/>
      <c r="G12214" s="20"/>
    </row>
    <row r="12215" spans="1:8" ht="14.25" thickBot="1">
      <c r="A12215" s="211" t="s">
        <v>505</v>
      </c>
      <c r="B12215" s="216" t="str">
        <f ca="1">_xlfn.CONCAT(B12192,A12215)</f>
        <v>2A4D3339-V</v>
      </c>
      <c r="C12215" s="17" t="s">
        <v>17</v>
      </c>
      <c r="D12215" s="192" t="s">
        <v>17</v>
      </c>
      <c r="E12215" s="18"/>
      <c r="F12215" s="22" t="s">
        <v>18</v>
      </c>
      <c r="G12215" s="23">
        <f>SUM(G12194:G12214)</f>
        <v>6600</v>
      </c>
    </row>
    <row r="12216" spans="1:8" ht="15.75" thickBot="1">
      <c r="A12216" s="211" t="s">
        <v>506</v>
      </c>
      <c r="B12216" s="216" t="str">
        <f ca="1">_xlfn.CONCAT(B12192,A12216)</f>
        <v>2A4D3339-W</v>
      </c>
      <c r="C12216" s="10" t="s">
        <v>19</v>
      </c>
      <c r="D12216" s="190"/>
      <c r="E12216" s="11"/>
      <c r="F12216" s="12"/>
      <c r="G12216" s="13"/>
    </row>
    <row r="12217" spans="1:8" ht="14.25" thickBot="1">
      <c r="A12217" s="211" t="s">
        <v>507</v>
      </c>
      <c r="B12217" s="216" t="str">
        <f ca="1">_xlfn.CONCAT(B12192,A12217)</f>
        <v>2A4D3339-X</v>
      </c>
      <c r="C12217" s="14" t="s">
        <v>1</v>
      </c>
      <c r="D12217" s="15"/>
      <c r="E12217" s="15" t="s">
        <v>20</v>
      </c>
      <c r="F12217" s="16" t="s">
        <v>21</v>
      </c>
      <c r="G12217" s="15" t="s">
        <v>5</v>
      </c>
      <c r="H12217" s="215"/>
    </row>
    <row r="12218" spans="1:8">
      <c r="A12218" s="211" t="s">
        <v>508</v>
      </c>
      <c r="B12218" s="216" t="str">
        <f ca="1">_xlfn.CONCAT(B12192,A12218)</f>
        <v>2A4D3339-Y</v>
      </c>
      <c r="C12218" s="24" t="s">
        <v>22</v>
      </c>
      <c r="D12218" s="184"/>
      <c r="E12218" s="25">
        <f>_xlfn.XLOOKUP(C12218,'H-MO'!B$7:B$30,'H-MO'!D$7:D$30,,0,1)</f>
        <v>2436.5624999999995</v>
      </c>
      <c r="F12218" s="19">
        <v>0.3</v>
      </c>
      <c r="G12218" s="33">
        <f t="shared" ref="G12218:G12223" si="355">+E12218*F12218</f>
        <v>730.96874999999989</v>
      </c>
    </row>
    <row r="12219" spans="1:8">
      <c r="A12219" s="211" t="s">
        <v>509</v>
      </c>
      <c r="B12219" s="216" t="str">
        <f ca="1">_xlfn.CONCAT(B12192,A12219)</f>
        <v>2A4D3339-Z</v>
      </c>
      <c r="C12219" s="24" t="s">
        <v>23</v>
      </c>
      <c r="D12219" s="184"/>
      <c r="E12219" s="25">
        <f>_xlfn.XLOOKUP(C12219,'H-MO'!B$7:B$30,'H-MO'!D$7:D$30,,0,1)</f>
        <v>1461.9374999999998</v>
      </c>
      <c r="F12219" s="19">
        <v>0.1</v>
      </c>
      <c r="G12219" s="33">
        <f t="shared" si="355"/>
        <v>146.19374999999999</v>
      </c>
    </row>
    <row r="12220" spans="1:8">
      <c r="A12220" s="211" t="s">
        <v>510</v>
      </c>
      <c r="B12220" s="216" t="str">
        <f ca="1">_xlfn.CONCAT(B12192,A12220)</f>
        <v>2A4D3339-aa</v>
      </c>
      <c r="C12220" s="24" t="s">
        <v>24</v>
      </c>
      <c r="D12220" s="185"/>
      <c r="E12220" s="25">
        <f>_xlfn.XLOOKUP(C12220,'H-MO'!B$7:B$30,'H-MO'!D$7:D$30,,0,1)</f>
        <v>29238.749999999996</v>
      </c>
      <c r="F12220" s="28">
        <v>2E-3</v>
      </c>
      <c r="G12220" s="33">
        <f t="shared" si="355"/>
        <v>58.477499999999992</v>
      </c>
    </row>
    <row r="12221" spans="1:8">
      <c r="A12221" s="211" t="s">
        <v>511</v>
      </c>
      <c r="B12221" s="216" t="str">
        <f ca="1">_xlfn.CONCAT(B12192,A12221)</f>
        <v>2A4D3339-ab</v>
      </c>
      <c r="C12221" s="24" t="s">
        <v>25</v>
      </c>
      <c r="D12221" s="185"/>
      <c r="E12221" s="25">
        <f>_xlfn.XLOOKUP(C12221,'H-MO'!B$7:B$30,'H-MO'!D$7:D$30,,0,1)</f>
        <v>2761.4374999999995</v>
      </c>
      <c r="F12221" s="28">
        <v>0.01</v>
      </c>
      <c r="G12221" s="33">
        <f t="shared" si="355"/>
        <v>27.614374999999995</v>
      </c>
    </row>
    <row r="12222" spans="1:8">
      <c r="A12222" s="211" t="s">
        <v>512</v>
      </c>
      <c r="B12222" s="216" t="str">
        <f ca="1">_xlfn.CONCAT(B12192,A12222)</f>
        <v>2A4D3339-ac</v>
      </c>
      <c r="C12222" s="24"/>
      <c r="D12222" s="185"/>
      <c r="E12222" s="29"/>
      <c r="F12222" s="28"/>
      <c r="G12222" s="33">
        <f t="shared" si="355"/>
        <v>0</v>
      </c>
    </row>
    <row r="12223" spans="1:8" ht="14.25" thickBot="1">
      <c r="A12223" s="211" t="s">
        <v>513</v>
      </c>
      <c r="B12223" s="216" t="str">
        <f ca="1">_xlfn.CONCAT(B12192,A12223)</f>
        <v>2A4D3339-ad</v>
      </c>
      <c r="C12223" s="24"/>
      <c r="D12223" s="185"/>
      <c r="E12223" s="29"/>
      <c r="F12223" s="28"/>
      <c r="G12223" s="33">
        <f t="shared" si="355"/>
        <v>0</v>
      </c>
    </row>
    <row r="12224" spans="1:8" ht="14.25" thickBot="1">
      <c r="A12224" s="211" t="s">
        <v>514</v>
      </c>
      <c r="B12224" s="216" t="str">
        <f ca="1">_xlfn.CONCAT(B12192,A12224)</f>
        <v>2A4D3339-ae</v>
      </c>
      <c r="C12224" s="17"/>
      <c r="D12224" s="192"/>
      <c r="E12224" s="18"/>
      <c r="F12224" s="22" t="s">
        <v>26</v>
      </c>
      <c r="G12224" s="23">
        <f>SUM(G12218:G12223)</f>
        <v>963.25437499999987</v>
      </c>
    </row>
    <row r="12225" spans="1:8" ht="15.75" thickBot="1">
      <c r="A12225" s="211" t="s">
        <v>515</v>
      </c>
      <c r="B12225" s="216" t="str">
        <f ca="1">_xlfn.CONCAT(B12192,A12225)</f>
        <v>2A4D3339-af</v>
      </c>
      <c r="C12225" s="10" t="s">
        <v>27</v>
      </c>
      <c r="D12225" s="190"/>
      <c r="E12225" s="11"/>
      <c r="F12225" s="12"/>
      <c r="G12225" s="13"/>
    </row>
    <row r="12226" spans="1:8" ht="14.25" thickBot="1">
      <c r="A12226" s="211" t="s">
        <v>516</v>
      </c>
      <c r="B12226" s="216" t="str">
        <f ca="1">_xlfn.CONCAT(B12192,A12226)</f>
        <v>2A4D3339-ag</v>
      </c>
      <c r="C12226" s="14" t="s">
        <v>1</v>
      </c>
      <c r="D12226" s="15" t="s">
        <v>28</v>
      </c>
      <c r="E12226" s="15" t="s">
        <v>20</v>
      </c>
      <c r="F12226" s="16" t="s">
        <v>21</v>
      </c>
      <c r="G12226" s="15" t="s">
        <v>5</v>
      </c>
      <c r="H12226" s="215"/>
    </row>
    <row r="12227" spans="1:8">
      <c r="A12227" s="211" t="s">
        <v>517</v>
      </c>
      <c r="B12227" s="216" t="str">
        <f ca="1">_xlfn.CONCAT(B12192,A12227)</f>
        <v>2A4D3339-ah</v>
      </c>
      <c r="C12227" s="30" t="s">
        <v>29</v>
      </c>
      <c r="D12227" s="186">
        <f>'H-MO'!$N$77</f>
        <v>725918.52892505517</v>
      </c>
      <c r="E12227" s="31">
        <f>+D12227/8</f>
        <v>90739.816115631897</v>
      </c>
      <c r="F12227" s="32">
        <v>3.6999999999999998E-2</v>
      </c>
      <c r="G12227" s="33">
        <f>+E12227*F12227</f>
        <v>3357.37319627838</v>
      </c>
    </row>
    <row r="12228" spans="1:8">
      <c r="A12228" s="211" t="s">
        <v>518</v>
      </c>
      <c r="B12228" s="216" t="str">
        <f ca="1">_xlfn.CONCAT(B12192,A12228)</f>
        <v>2A4D3339-ai</v>
      </c>
      <c r="C12228" s="34" t="s">
        <v>30</v>
      </c>
      <c r="D12228" s="187">
        <f>'H-MO'!$N$86</f>
        <v>685561.39085756091</v>
      </c>
      <c r="E12228" s="29">
        <f>+D12228/8</f>
        <v>85695.173857195114</v>
      </c>
      <c r="F12228" s="28">
        <v>0</v>
      </c>
      <c r="G12228" s="33">
        <f>+E12228*F12228</f>
        <v>0</v>
      </c>
    </row>
    <row r="12229" spans="1:8" ht="14.25" thickBot="1">
      <c r="A12229" s="211" t="s">
        <v>519</v>
      </c>
      <c r="B12229" s="216" t="str">
        <f ca="1">_xlfn.CONCAT(B12192,A12229)</f>
        <v>2A4D3339-aj</v>
      </c>
      <c r="C12229" s="34"/>
      <c r="D12229" s="187"/>
      <c r="E12229" s="29"/>
      <c r="F12229" s="28"/>
      <c r="G12229" s="33">
        <f>+E12229*F12229</f>
        <v>0</v>
      </c>
    </row>
    <row r="12230" spans="1:8" ht="14.25" thickBot="1">
      <c r="A12230" s="211" t="s">
        <v>520</v>
      </c>
      <c r="B12230" s="216" t="str">
        <f ca="1">_xlfn.CONCAT(B12192,A12230)</f>
        <v>2A4D3339-ak</v>
      </c>
      <c r="C12230" s="34"/>
      <c r="D12230" s="185"/>
      <c r="E12230" s="26"/>
      <c r="F12230" s="36" t="s">
        <v>31</v>
      </c>
      <c r="G12230" s="23">
        <f>SUM(G12227:G12229)</f>
        <v>3357.37319627838</v>
      </c>
    </row>
    <row r="12231" spans="1:8" ht="14.25" thickBot="1">
      <c r="A12231" s="211" t="s">
        <v>521</v>
      </c>
      <c r="B12231" s="216" t="str">
        <f ca="1">_xlfn.CONCAT(B12192,A12231)</f>
        <v>2A4D3339-al</v>
      </c>
      <c r="C12231" s="37"/>
      <c r="E12231" s="38"/>
      <c r="F12231" s="22"/>
      <c r="G12231" s="39"/>
    </row>
    <row r="12232" spans="1:8" ht="16.5" thickBot="1">
      <c r="A12232" s="211" t="s">
        <v>522</v>
      </c>
      <c r="B12232" s="216" t="str">
        <f ca="1">_xlfn.CONCAT(B12192,A12232)</f>
        <v>2A4D3339-am</v>
      </c>
      <c r="C12232" s="40"/>
      <c r="D12232" s="193"/>
      <c r="E12232" s="41"/>
      <c r="F12232" s="42"/>
      <c r="G12232" s="43">
        <f>+G12215+G12224+G12230</f>
        <v>10920.627571278379</v>
      </c>
    </row>
    <row r="12233" spans="1:8" ht="21.75" thickBot="1">
      <c r="B12233" s="212" t="s">
        <v>550</v>
      </c>
      <c r="C12233" s="2"/>
      <c r="D12233" s="183"/>
      <c r="F12233" s="4"/>
      <c r="G12233" s="5"/>
    </row>
    <row r="12234" spans="1:8" ht="18.75">
      <c r="A12234" s="213"/>
      <c r="B12234" s="214">
        <v>278</v>
      </c>
      <c r="C12234" s="242" t="str">
        <f ca="1">_xlfn.XLOOKUP(B12234,Cantidades!$A$10:$A$314,Cantidades!$C$10:$C$314,,0,1)</f>
        <v>Suministro e instalacion de cable desnudo #4 AWG</v>
      </c>
      <c r="D12234" s="243"/>
      <c r="E12234" s="243"/>
      <c r="F12234" s="243"/>
      <c r="G12234" s="244"/>
      <c r="H12234" s="213"/>
    </row>
    <row r="12235" spans="1:8" ht="19.5" thickBot="1">
      <c r="A12235" s="215"/>
      <c r="B12235" s="216" t="s">
        <v>550</v>
      </c>
      <c r="C12235" s="177"/>
      <c r="D12235" s="189"/>
      <c r="E12235" s="178"/>
      <c r="F12235" s="179" t="s">
        <v>636</v>
      </c>
      <c r="G12235" s="209" t="str">
        <f ca="1">B12236</f>
        <v>2A4D444B-</v>
      </c>
      <c r="H12235" s="215"/>
    </row>
    <row r="12236" spans="1:8" ht="15.75" thickBot="1">
      <c r="B12236" s="212" t="str">
        <f ca="1">_xlfn.XLOOKUP(C12234,Cantidades!$C$1:$C$314,Cantidades!$B$1:$B$314,"",0,1)</f>
        <v>2A4D444B-</v>
      </c>
      <c r="C12236" s="10" t="s">
        <v>0</v>
      </c>
      <c r="D12236" s="190"/>
      <c r="E12236" s="11"/>
      <c r="F12236" s="12"/>
      <c r="G12236" s="13"/>
    </row>
    <row r="12237" spans="1:8" ht="14.25" thickBot="1">
      <c r="A12237" s="215"/>
      <c r="B12237" s="216" t="s">
        <v>550</v>
      </c>
      <c r="C12237" s="14" t="s">
        <v>1</v>
      </c>
      <c r="D12237" s="15" t="s">
        <v>2</v>
      </c>
      <c r="E12237" s="15" t="s">
        <v>3</v>
      </c>
      <c r="F12237" s="16" t="s">
        <v>4</v>
      </c>
      <c r="G12237" s="15" t="s">
        <v>5</v>
      </c>
      <c r="H12237" s="215"/>
    </row>
    <row r="12238" spans="1:8" ht="15">
      <c r="A12238" s="211" t="s">
        <v>484</v>
      </c>
      <c r="B12238" s="216" t="str">
        <f ca="1">_xlfn.CONCAT(B12236,A12238)</f>
        <v>2A4D444B-A</v>
      </c>
      <c r="C12238" s="17" t="str">
        <f>_xlfn.XLOOKUP(H12238,'Materiales unitario'!$A$1:$A$2500,'Materiales unitario'!B$1:B$2500,,0,1)</f>
        <v xml:space="preserve">Cable de cobre desnudo #4 AWG </v>
      </c>
      <c r="D12238" s="184" t="str">
        <f>_xlfn.XLOOKUP(H12238,'Materiales unitario'!A$1:A$2500,'Materiales unitario'!C$1:C$2500,,0,1)</f>
        <v>ml</v>
      </c>
      <c r="E12238" s="197">
        <f>_xlfn.XLOOKUP(H12238,'Materiales unitario'!$A$1:$A$2500,'Materiales unitario'!D$1:D$2500,,0,1)</f>
        <v>12592.499999999998</v>
      </c>
      <c r="F12238" s="19">
        <v>1</v>
      </c>
      <c r="G12238" s="20">
        <f>+E12238*F12238</f>
        <v>12592.499999999998</v>
      </c>
      <c r="H12238" s="217" t="s">
        <v>276</v>
      </c>
    </row>
    <row r="12239" spans="1:8" ht="15">
      <c r="A12239" s="211" t="s">
        <v>485</v>
      </c>
      <c r="B12239" s="216" t="str">
        <f ca="1">_xlfn.CONCAT(B12236,A12239)</f>
        <v>2A4D444B-B</v>
      </c>
      <c r="C12239" s="17"/>
      <c r="D12239" s="184"/>
      <c r="E12239" s="197"/>
      <c r="F12239" s="19"/>
      <c r="G12239" s="20"/>
      <c r="H12239" s="217"/>
    </row>
    <row r="12240" spans="1:8">
      <c r="A12240" s="211" t="s">
        <v>486</v>
      </c>
      <c r="B12240" s="216" t="str">
        <f ca="1">_xlfn.CONCAT(B12236,A12240)</f>
        <v>2A4D444B-C</v>
      </c>
      <c r="C12240" s="17"/>
      <c r="D12240" s="184"/>
      <c r="E12240" s="197"/>
      <c r="F12240" s="19"/>
      <c r="G12240" s="20"/>
    </row>
    <row r="12241" spans="1:7">
      <c r="A12241" s="211" t="s">
        <v>487</v>
      </c>
      <c r="B12241" s="216" t="str">
        <f ca="1">_xlfn.CONCAT(B12236,A12241)</f>
        <v>2A4D444B-D</v>
      </c>
      <c r="C12241" s="17"/>
      <c r="D12241" s="184"/>
      <c r="E12241" s="197"/>
      <c r="F12241" s="19"/>
      <c r="G12241" s="20"/>
    </row>
    <row r="12242" spans="1:7">
      <c r="A12242" s="211" t="s">
        <v>488</v>
      </c>
      <c r="B12242" s="216" t="str">
        <f ca="1">_xlfn.CONCAT(B12236,A12242)</f>
        <v>2A4D444B-E</v>
      </c>
      <c r="C12242" s="17"/>
      <c r="D12242" s="184"/>
      <c r="E12242" s="197"/>
      <c r="F12242" s="19"/>
      <c r="G12242" s="20"/>
    </row>
    <row r="12243" spans="1:7">
      <c r="A12243" s="211" t="s">
        <v>489</v>
      </c>
      <c r="B12243" s="216" t="str">
        <f ca="1">_xlfn.CONCAT(B12236,A12243)</f>
        <v>2A4D444B-F</v>
      </c>
      <c r="C12243" s="17"/>
      <c r="D12243" s="184"/>
      <c r="E12243" s="197"/>
      <c r="F12243" s="19"/>
      <c r="G12243" s="20"/>
    </row>
    <row r="12244" spans="1:7">
      <c r="A12244" s="211" t="s">
        <v>490</v>
      </c>
      <c r="B12244" s="216" t="str">
        <f ca="1">_xlfn.CONCAT(B12236,A12244)</f>
        <v>2A4D444B-G</v>
      </c>
      <c r="C12244" s="17"/>
      <c r="D12244" s="184"/>
      <c r="E12244" s="197"/>
      <c r="F12244" s="19"/>
      <c r="G12244" s="20"/>
    </row>
    <row r="12245" spans="1:7">
      <c r="A12245" s="211" t="s">
        <v>491</v>
      </c>
      <c r="B12245" s="216" t="str">
        <f ca="1">_xlfn.CONCAT(B12236,A12245)</f>
        <v>2A4D444B-H</v>
      </c>
      <c r="C12245" s="17"/>
      <c r="D12245" s="184"/>
      <c r="E12245" s="197"/>
      <c r="F12245" s="19"/>
      <c r="G12245" s="20"/>
    </row>
    <row r="12246" spans="1:7">
      <c r="A12246" s="211" t="s">
        <v>492</v>
      </c>
      <c r="B12246" s="216" t="str">
        <f ca="1">_xlfn.CONCAT(B12236,A12246)</f>
        <v>2A4D444B-I</v>
      </c>
      <c r="C12246" s="17"/>
      <c r="D12246" s="184"/>
      <c r="E12246" s="197"/>
      <c r="F12246" s="19"/>
      <c r="G12246" s="20"/>
    </row>
    <row r="12247" spans="1:7">
      <c r="A12247" s="211" t="s">
        <v>493</v>
      </c>
      <c r="B12247" s="216" t="str">
        <f ca="1">_xlfn.CONCAT(B12236,A12247)</f>
        <v>2A4D444B-J</v>
      </c>
      <c r="C12247" s="17"/>
      <c r="D12247" s="184"/>
      <c r="E12247" s="197"/>
      <c r="F12247" s="19"/>
      <c r="G12247" s="20"/>
    </row>
    <row r="12248" spans="1:7">
      <c r="A12248" s="211" t="s">
        <v>494</v>
      </c>
      <c r="B12248" s="216" t="str">
        <f ca="1">_xlfn.CONCAT(B12236,A12248)</f>
        <v>2A4D444B-K</v>
      </c>
      <c r="C12248" s="17"/>
      <c r="D12248" s="184"/>
      <c r="E12248" s="197"/>
      <c r="F12248" s="19"/>
      <c r="G12248" s="20"/>
    </row>
    <row r="12249" spans="1:7">
      <c r="A12249" s="211" t="s">
        <v>495</v>
      </c>
      <c r="B12249" s="216" t="str">
        <f ca="1">_xlfn.CONCAT(B12236,A12249)</f>
        <v>2A4D444B-L</v>
      </c>
      <c r="C12249" s="17"/>
      <c r="D12249" s="184"/>
      <c r="E12249" s="197"/>
      <c r="F12249" s="19"/>
      <c r="G12249" s="20"/>
    </row>
    <row r="12250" spans="1:7">
      <c r="A12250" s="211" t="s">
        <v>496</v>
      </c>
      <c r="B12250" s="216" t="str">
        <f ca="1">_xlfn.CONCAT(B12236,A12250)</f>
        <v>2A4D444B-M</v>
      </c>
      <c r="C12250" s="17"/>
      <c r="D12250" s="184"/>
      <c r="E12250" s="197"/>
      <c r="F12250" s="19"/>
      <c r="G12250" s="20"/>
    </row>
    <row r="12251" spans="1:7">
      <c r="A12251" s="211" t="s">
        <v>497</v>
      </c>
      <c r="B12251" s="216" t="str">
        <f ca="1">_xlfn.CONCAT(B12236,A12251)</f>
        <v>2A4D444B-N</v>
      </c>
      <c r="C12251" s="17"/>
      <c r="D12251" s="184"/>
      <c r="E12251" s="197"/>
      <c r="F12251" s="19"/>
      <c r="G12251" s="20"/>
    </row>
    <row r="12252" spans="1:7">
      <c r="A12252" s="211" t="s">
        <v>498</v>
      </c>
      <c r="B12252" s="216" t="str">
        <f ca="1">_xlfn.CONCAT(B12236,A12252)</f>
        <v>2A4D444B-O</v>
      </c>
      <c r="C12252" s="17"/>
      <c r="D12252" s="184"/>
      <c r="E12252" s="197"/>
      <c r="F12252" s="19"/>
      <c r="G12252" s="20"/>
    </row>
    <row r="12253" spans="1:7">
      <c r="A12253" s="211" t="s">
        <v>499</v>
      </c>
      <c r="B12253" s="216" t="str">
        <f ca="1">_xlfn.CONCAT(B12236,A12253)</f>
        <v>2A4D444B-P</v>
      </c>
      <c r="C12253" s="17"/>
      <c r="D12253" s="184"/>
      <c r="E12253" s="197"/>
      <c r="F12253" s="19"/>
      <c r="G12253" s="20"/>
    </row>
    <row r="12254" spans="1:7">
      <c r="A12254" s="211" t="s">
        <v>500</v>
      </c>
      <c r="B12254" s="216" t="str">
        <f ca="1">_xlfn.CONCAT(B12236,A12254)</f>
        <v>2A4D444B-Q</v>
      </c>
      <c r="C12254" s="17"/>
      <c r="D12254" s="184"/>
      <c r="E12254" s="197"/>
      <c r="F12254" s="19"/>
      <c r="G12254" s="20"/>
    </row>
    <row r="12255" spans="1:7">
      <c r="A12255" s="211" t="s">
        <v>501</v>
      </c>
      <c r="B12255" s="216" t="str">
        <f ca="1">_xlfn.CONCAT(B12236,A12255)</f>
        <v>2A4D444B-R</v>
      </c>
      <c r="C12255" s="17"/>
      <c r="D12255" s="184"/>
      <c r="E12255" s="197"/>
      <c r="F12255" s="19"/>
      <c r="G12255" s="20"/>
    </row>
    <row r="12256" spans="1:7">
      <c r="A12256" s="211" t="s">
        <v>502</v>
      </c>
      <c r="B12256" s="216" t="str">
        <f ca="1">_xlfn.CONCAT(B12236,A12256)</f>
        <v>2A4D444B-S</v>
      </c>
      <c r="C12256" s="17"/>
      <c r="D12256" s="184"/>
      <c r="E12256" s="197"/>
      <c r="F12256" s="19"/>
      <c r="G12256" s="20"/>
    </row>
    <row r="12257" spans="1:8">
      <c r="A12257" s="211" t="s">
        <v>503</v>
      </c>
      <c r="B12257" s="216" t="str">
        <f ca="1">_xlfn.CONCAT(B12236,A12257)</f>
        <v>2A4D444B-T</v>
      </c>
      <c r="C12257" s="17"/>
      <c r="D12257" s="184"/>
      <c r="E12257" s="197"/>
      <c r="F12257" s="19"/>
      <c r="G12257" s="20"/>
    </row>
    <row r="12258" spans="1:8" ht="14.25" thickBot="1">
      <c r="A12258" s="211" t="s">
        <v>504</v>
      </c>
      <c r="B12258" s="216" t="str">
        <f ca="1">_xlfn.CONCAT(B12236,A12258)</f>
        <v>2A4D444B-U</v>
      </c>
      <c r="C12258" s="17"/>
      <c r="D12258" s="184"/>
      <c r="E12258" s="197"/>
      <c r="F12258" s="19"/>
      <c r="G12258" s="20"/>
    </row>
    <row r="12259" spans="1:8" ht="14.25" thickBot="1">
      <c r="A12259" s="211" t="s">
        <v>505</v>
      </c>
      <c r="B12259" s="216" t="str">
        <f ca="1">_xlfn.CONCAT(B12236,A12259)</f>
        <v>2A4D444B-V</v>
      </c>
      <c r="C12259" s="17" t="s">
        <v>17</v>
      </c>
      <c r="D12259" s="192" t="s">
        <v>17</v>
      </c>
      <c r="E12259" s="18"/>
      <c r="F12259" s="22" t="s">
        <v>18</v>
      </c>
      <c r="G12259" s="23">
        <f>SUM(G12238:G12258)</f>
        <v>12592.499999999998</v>
      </c>
    </row>
    <row r="12260" spans="1:8" ht="15.75" thickBot="1">
      <c r="A12260" s="211" t="s">
        <v>506</v>
      </c>
      <c r="B12260" s="216" t="str">
        <f ca="1">_xlfn.CONCAT(B12236,A12260)</f>
        <v>2A4D444B-W</v>
      </c>
      <c r="C12260" s="10" t="s">
        <v>19</v>
      </c>
      <c r="D12260" s="190"/>
      <c r="E12260" s="11"/>
      <c r="F12260" s="12"/>
      <c r="G12260" s="13"/>
    </row>
    <row r="12261" spans="1:8" ht="14.25" thickBot="1">
      <c r="A12261" s="211" t="s">
        <v>507</v>
      </c>
      <c r="B12261" s="216" t="str">
        <f ca="1">_xlfn.CONCAT(B12236,A12261)</f>
        <v>2A4D444B-X</v>
      </c>
      <c r="C12261" s="14" t="s">
        <v>1</v>
      </c>
      <c r="D12261" s="15"/>
      <c r="E12261" s="15" t="s">
        <v>20</v>
      </c>
      <c r="F12261" s="16" t="s">
        <v>21</v>
      </c>
      <c r="G12261" s="15" t="s">
        <v>5</v>
      </c>
      <c r="H12261" s="215"/>
    </row>
    <row r="12262" spans="1:8">
      <c r="A12262" s="211" t="s">
        <v>508</v>
      </c>
      <c r="B12262" s="216" t="str">
        <f ca="1">_xlfn.CONCAT(B12236,A12262)</f>
        <v>2A4D444B-Y</v>
      </c>
      <c r="C12262" s="24" t="s">
        <v>22</v>
      </c>
      <c r="D12262" s="184"/>
      <c r="E12262" s="25">
        <f>_xlfn.XLOOKUP(C12262,'H-MO'!B$7:B$30,'H-MO'!D$7:D$30,,0,1)</f>
        <v>2436.5624999999995</v>
      </c>
      <c r="F12262" s="19">
        <v>0.3</v>
      </c>
      <c r="G12262" s="33">
        <f t="shared" ref="G12262:G12267" si="356">+E12262*F12262</f>
        <v>730.96874999999989</v>
      </c>
    </row>
    <row r="12263" spans="1:8">
      <c r="A12263" s="211" t="s">
        <v>509</v>
      </c>
      <c r="B12263" s="216" t="str">
        <f ca="1">_xlfn.CONCAT(B12236,A12263)</f>
        <v>2A4D444B-Z</v>
      </c>
      <c r="C12263" s="24" t="s">
        <v>23</v>
      </c>
      <c r="D12263" s="184"/>
      <c r="E12263" s="25">
        <f>_xlfn.XLOOKUP(C12263,'H-MO'!B$7:B$30,'H-MO'!D$7:D$30,,0,1)</f>
        <v>1461.9374999999998</v>
      </c>
      <c r="F12263" s="19">
        <v>0.1</v>
      </c>
      <c r="G12263" s="33">
        <f t="shared" si="356"/>
        <v>146.19374999999999</v>
      </c>
    </row>
    <row r="12264" spans="1:8">
      <c r="A12264" s="211" t="s">
        <v>510</v>
      </c>
      <c r="B12264" s="216" t="str">
        <f ca="1">_xlfn.CONCAT(B12236,A12264)</f>
        <v>2A4D444B-aa</v>
      </c>
      <c r="C12264" s="24" t="s">
        <v>24</v>
      </c>
      <c r="D12264" s="185"/>
      <c r="E12264" s="25">
        <f>_xlfn.XLOOKUP(C12264,'H-MO'!B$7:B$30,'H-MO'!D$7:D$30,,0,1)</f>
        <v>29238.749999999996</v>
      </c>
      <c r="F12264" s="28">
        <v>2E-3</v>
      </c>
      <c r="G12264" s="33">
        <f t="shared" si="356"/>
        <v>58.477499999999992</v>
      </c>
    </row>
    <row r="12265" spans="1:8">
      <c r="A12265" s="211" t="s">
        <v>511</v>
      </c>
      <c r="B12265" s="216" t="str">
        <f ca="1">_xlfn.CONCAT(B12236,A12265)</f>
        <v>2A4D444B-ab</v>
      </c>
      <c r="C12265" s="24" t="s">
        <v>25</v>
      </c>
      <c r="D12265" s="185"/>
      <c r="E12265" s="25">
        <f>_xlfn.XLOOKUP(C12265,'H-MO'!B$7:B$30,'H-MO'!D$7:D$30,,0,1)</f>
        <v>2761.4374999999995</v>
      </c>
      <c r="F12265" s="28">
        <v>0.01</v>
      </c>
      <c r="G12265" s="33">
        <f t="shared" si="356"/>
        <v>27.614374999999995</v>
      </c>
    </row>
    <row r="12266" spans="1:8">
      <c r="A12266" s="211" t="s">
        <v>512</v>
      </c>
      <c r="B12266" s="216" t="str">
        <f ca="1">_xlfn.CONCAT(B12236,A12266)</f>
        <v>2A4D444B-ac</v>
      </c>
      <c r="C12266" s="24"/>
      <c r="D12266" s="185"/>
      <c r="E12266" s="29"/>
      <c r="F12266" s="28"/>
      <c r="G12266" s="33">
        <f t="shared" si="356"/>
        <v>0</v>
      </c>
    </row>
    <row r="12267" spans="1:8" ht="14.25" thickBot="1">
      <c r="A12267" s="211" t="s">
        <v>513</v>
      </c>
      <c r="B12267" s="216" t="str">
        <f ca="1">_xlfn.CONCAT(B12236,A12267)</f>
        <v>2A4D444B-ad</v>
      </c>
      <c r="C12267" s="24"/>
      <c r="D12267" s="185"/>
      <c r="E12267" s="29"/>
      <c r="F12267" s="28"/>
      <c r="G12267" s="33">
        <f t="shared" si="356"/>
        <v>0</v>
      </c>
    </row>
    <row r="12268" spans="1:8" ht="14.25" thickBot="1">
      <c r="A12268" s="211" t="s">
        <v>514</v>
      </c>
      <c r="B12268" s="216" t="str">
        <f ca="1">_xlfn.CONCAT(B12236,A12268)</f>
        <v>2A4D444B-ae</v>
      </c>
      <c r="C12268" s="17"/>
      <c r="D12268" s="192"/>
      <c r="E12268" s="18"/>
      <c r="F12268" s="22" t="s">
        <v>26</v>
      </c>
      <c r="G12268" s="23">
        <f>SUM(G12262:G12267)</f>
        <v>963.25437499999987</v>
      </c>
    </row>
    <row r="12269" spans="1:8" ht="15.75" thickBot="1">
      <c r="A12269" s="211" t="s">
        <v>515</v>
      </c>
      <c r="B12269" s="216" t="str">
        <f ca="1">_xlfn.CONCAT(B12236,A12269)</f>
        <v>2A4D444B-af</v>
      </c>
      <c r="C12269" s="10" t="s">
        <v>27</v>
      </c>
      <c r="D12269" s="190"/>
      <c r="E12269" s="11"/>
      <c r="F12269" s="12"/>
      <c r="G12269" s="13"/>
    </row>
    <row r="12270" spans="1:8" ht="14.25" thickBot="1">
      <c r="A12270" s="211" t="s">
        <v>516</v>
      </c>
      <c r="B12270" s="216" t="str">
        <f ca="1">_xlfn.CONCAT(B12236,A12270)</f>
        <v>2A4D444B-ag</v>
      </c>
      <c r="C12270" s="14" t="s">
        <v>1</v>
      </c>
      <c r="D12270" s="15" t="s">
        <v>28</v>
      </c>
      <c r="E12270" s="15" t="s">
        <v>20</v>
      </c>
      <c r="F12270" s="16" t="s">
        <v>21</v>
      </c>
      <c r="G12270" s="15" t="s">
        <v>5</v>
      </c>
      <c r="H12270" s="215"/>
    </row>
    <row r="12271" spans="1:8">
      <c r="A12271" s="211" t="s">
        <v>517</v>
      </c>
      <c r="B12271" s="216" t="str">
        <f ca="1">_xlfn.CONCAT(B12236,A12271)</f>
        <v>2A4D444B-ah</v>
      </c>
      <c r="C12271" s="30" t="s">
        <v>29</v>
      </c>
      <c r="D12271" s="186">
        <f>'H-MO'!$N$77</f>
        <v>725918.52892505517</v>
      </c>
      <c r="E12271" s="31">
        <f>+D12271/8</f>
        <v>90739.816115631897</v>
      </c>
      <c r="F12271" s="32">
        <v>7.0000000000000007E-2</v>
      </c>
      <c r="G12271" s="33">
        <f>+E12271*F12271</f>
        <v>6351.7871280942336</v>
      </c>
    </row>
    <row r="12272" spans="1:8">
      <c r="A12272" s="211" t="s">
        <v>518</v>
      </c>
      <c r="B12272" s="216" t="str">
        <f ca="1">_xlfn.CONCAT(B12236,A12272)</f>
        <v>2A4D444B-ai</v>
      </c>
      <c r="C12272" s="34" t="s">
        <v>30</v>
      </c>
      <c r="D12272" s="187">
        <f>'H-MO'!$N$86</f>
        <v>685561.39085756091</v>
      </c>
      <c r="E12272" s="29">
        <f>+D12272/8</f>
        <v>85695.173857195114</v>
      </c>
      <c r="F12272" s="28">
        <v>0</v>
      </c>
      <c r="G12272" s="33">
        <f>+E12272*F12272</f>
        <v>0</v>
      </c>
    </row>
    <row r="12273" spans="1:8" ht="14.25" thickBot="1">
      <c r="A12273" s="211" t="s">
        <v>519</v>
      </c>
      <c r="B12273" s="216" t="str">
        <f ca="1">_xlfn.CONCAT(B12236,A12273)</f>
        <v>2A4D444B-aj</v>
      </c>
      <c r="C12273" s="34"/>
      <c r="D12273" s="187"/>
      <c r="E12273" s="29"/>
      <c r="F12273" s="28"/>
      <c r="G12273" s="33">
        <f>+E12273*F12273</f>
        <v>0</v>
      </c>
    </row>
    <row r="12274" spans="1:8" ht="14.25" thickBot="1">
      <c r="A12274" s="211" t="s">
        <v>520</v>
      </c>
      <c r="B12274" s="216" t="str">
        <f ca="1">_xlfn.CONCAT(B12236,A12274)</f>
        <v>2A4D444B-ak</v>
      </c>
      <c r="C12274" s="34"/>
      <c r="D12274" s="185"/>
      <c r="E12274" s="26"/>
      <c r="F12274" s="36" t="s">
        <v>31</v>
      </c>
      <c r="G12274" s="23">
        <f>SUM(G12271:G12273)</f>
        <v>6351.7871280942336</v>
      </c>
    </row>
    <row r="12275" spans="1:8" ht="14.25" thickBot="1">
      <c r="A12275" s="211" t="s">
        <v>521</v>
      </c>
      <c r="B12275" s="216" t="str">
        <f ca="1">_xlfn.CONCAT(B12236,A12275)</f>
        <v>2A4D444B-al</v>
      </c>
      <c r="C12275" s="37"/>
      <c r="E12275" s="38"/>
      <c r="F12275" s="22"/>
      <c r="G12275" s="39"/>
    </row>
    <row r="12276" spans="1:8" ht="16.5" thickBot="1">
      <c r="A12276" s="211" t="s">
        <v>522</v>
      </c>
      <c r="B12276" s="216" t="str">
        <f ca="1">_xlfn.CONCAT(B12236,A12276)</f>
        <v>2A4D444B-am</v>
      </c>
      <c r="C12276" s="40"/>
      <c r="D12276" s="193"/>
      <c r="E12276" s="41"/>
      <c r="F12276" s="42"/>
      <c r="G12276" s="43">
        <f>+G12259+G12268+G12274</f>
        <v>19907.541503094231</v>
      </c>
    </row>
    <row r="12277" spans="1:8" ht="21.75" thickBot="1">
      <c r="B12277" s="212" t="s">
        <v>550</v>
      </c>
      <c r="C12277" s="2"/>
      <c r="D12277" s="183"/>
      <c r="F12277" s="4"/>
      <c r="G12277" s="5"/>
    </row>
    <row r="12278" spans="1:8" ht="18.75">
      <c r="A12278" s="213"/>
      <c r="B12278" s="214">
        <v>279</v>
      </c>
      <c r="C12278" s="242" t="str">
        <f ca="1">_xlfn.XLOOKUP(B12278,Cantidades!$A$10:$A$314,Cantidades!$C$10:$C$314,,0,1)</f>
        <v>Caja de paso 15x15x10</v>
      </c>
      <c r="D12278" s="243"/>
      <c r="E12278" s="243"/>
      <c r="F12278" s="243"/>
      <c r="G12278" s="244"/>
      <c r="H12278" s="213"/>
    </row>
    <row r="12279" spans="1:8" ht="19.5" thickBot="1">
      <c r="A12279" s="215"/>
      <c r="B12279" s="216" t="s">
        <v>550</v>
      </c>
      <c r="C12279" s="177"/>
      <c r="D12279" s="189"/>
      <c r="E12279" s="178"/>
      <c r="F12279" s="179" t="s">
        <v>636</v>
      </c>
      <c r="G12279" s="209" t="str">
        <f ca="1">B12280</f>
        <v>1B0F8E98-</v>
      </c>
      <c r="H12279" s="215"/>
    </row>
    <row r="12280" spans="1:8" ht="15.75" thickBot="1">
      <c r="B12280" s="212" t="str">
        <f ca="1">_xlfn.XLOOKUP(C12278,Cantidades!$C$1:$C$314,Cantidades!$B$1:$B$314,"",0,1)</f>
        <v>1B0F8E98-</v>
      </c>
      <c r="C12280" s="10" t="s">
        <v>0</v>
      </c>
      <c r="D12280" s="190"/>
      <c r="E12280" s="11"/>
      <c r="F12280" s="12"/>
      <c r="G12280" s="13"/>
    </row>
    <row r="12281" spans="1:8" ht="14.25" thickBot="1">
      <c r="A12281" s="215"/>
      <c r="B12281" s="216" t="s">
        <v>550</v>
      </c>
      <c r="C12281" s="14" t="s">
        <v>1</v>
      </c>
      <c r="D12281" s="15" t="s">
        <v>2</v>
      </c>
      <c r="E12281" s="15" t="s">
        <v>3</v>
      </c>
      <c r="F12281" s="16" t="s">
        <v>4</v>
      </c>
      <c r="G12281" s="15" t="s">
        <v>5</v>
      </c>
      <c r="H12281" s="215"/>
    </row>
    <row r="12282" spans="1:8" ht="15">
      <c r="A12282" s="211" t="s">
        <v>484</v>
      </c>
      <c r="B12282" s="216" t="str">
        <f ca="1">_xlfn.CONCAT(B12280,A12282)</f>
        <v>1B0F8E98-A</v>
      </c>
      <c r="C12282" s="17" t="str">
        <f>_xlfn.XLOOKUP(H12282,'Materiales unitario'!$A$1:$A$2500,'Materiales unitario'!B$1:B$2500,,0,1)</f>
        <v>Caja de paso metálica 15 x 15 x 10 cm</v>
      </c>
      <c r="D12282" s="184" t="str">
        <f>_xlfn.XLOOKUP(H12282,'Materiales unitario'!A$1:A$2500,'Materiales unitario'!C$1:C$2500,,0,1)</f>
        <v>un</v>
      </c>
      <c r="E12282" s="197">
        <f>_xlfn.XLOOKUP(H12282,'Materiales unitario'!$A$1:$A$2500,'Materiales unitario'!D$1:D$2500,,0,1)</f>
        <v>20900</v>
      </c>
      <c r="F12282" s="19">
        <v>1</v>
      </c>
      <c r="G12282" s="20">
        <f>+E12282*F12282</f>
        <v>20900</v>
      </c>
      <c r="H12282" s="217" t="s">
        <v>1823</v>
      </c>
    </row>
    <row r="12283" spans="1:8" ht="15">
      <c r="A12283" s="211" t="s">
        <v>485</v>
      </c>
      <c r="B12283" s="216" t="str">
        <f ca="1">_xlfn.CONCAT(B12280,A12283)</f>
        <v>1B0F8E98-B</v>
      </c>
      <c r="C12283" s="17" t="str">
        <f>_xlfn.XLOOKUP(H12283,'Materiales unitario'!$A$1:$A$2500,'Materiales unitario'!B$1:B$2500,,0,1)</f>
        <v>Accesorios de anclaje y fijacion.</v>
      </c>
      <c r="D12283" s="184" t="str">
        <f>_xlfn.XLOOKUP(H12283,'Materiales unitario'!A$1:A$2500,'Materiales unitario'!C$1:C$2500,,0,1)</f>
        <v>un</v>
      </c>
      <c r="E12283" s="197">
        <f>_xlfn.XLOOKUP(H12283,'Materiales unitario'!$A$1:$A$2500,'Materiales unitario'!D$1:D$2500,,0,1)</f>
        <v>10000</v>
      </c>
      <c r="F12283" s="19">
        <v>0.3</v>
      </c>
      <c r="G12283" s="20">
        <f>+E12283*F12283</f>
        <v>3000</v>
      </c>
      <c r="H12283" s="217" t="s">
        <v>222</v>
      </c>
    </row>
    <row r="12284" spans="1:8">
      <c r="A12284" s="211" t="s">
        <v>486</v>
      </c>
      <c r="B12284" s="216" t="str">
        <f ca="1">_xlfn.CONCAT(B12280,A12284)</f>
        <v>1B0F8E98-C</v>
      </c>
      <c r="C12284" s="17"/>
      <c r="D12284" s="184"/>
      <c r="E12284" s="197"/>
      <c r="F12284" s="19"/>
      <c r="G12284" s="20"/>
    </row>
    <row r="12285" spans="1:8">
      <c r="A12285" s="211" t="s">
        <v>487</v>
      </c>
      <c r="B12285" s="216" t="str">
        <f ca="1">_xlfn.CONCAT(B12280,A12285)</f>
        <v>1B0F8E98-D</v>
      </c>
      <c r="C12285" s="17"/>
      <c r="D12285" s="184"/>
      <c r="E12285" s="197"/>
      <c r="F12285" s="19"/>
      <c r="G12285" s="20"/>
    </row>
    <row r="12286" spans="1:8">
      <c r="A12286" s="211" t="s">
        <v>488</v>
      </c>
      <c r="B12286" s="216" t="str">
        <f ca="1">_xlfn.CONCAT(B12280,A12286)</f>
        <v>1B0F8E98-E</v>
      </c>
      <c r="C12286" s="17"/>
      <c r="D12286" s="184"/>
      <c r="E12286" s="197"/>
      <c r="F12286" s="19"/>
      <c r="G12286" s="20"/>
    </row>
    <row r="12287" spans="1:8">
      <c r="A12287" s="211" t="s">
        <v>489</v>
      </c>
      <c r="B12287" s="216" t="str">
        <f ca="1">_xlfn.CONCAT(B12280,A12287)</f>
        <v>1B0F8E98-F</v>
      </c>
      <c r="C12287" s="17"/>
      <c r="D12287" s="184"/>
      <c r="E12287" s="197"/>
      <c r="F12287" s="19"/>
      <c r="G12287" s="20"/>
    </row>
    <row r="12288" spans="1:8">
      <c r="A12288" s="211" t="s">
        <v>490</v>
      </c>
      <c r="B12288" s="216" t="str">
        <f ca="1">_xlfn.CONCAT(B12280,A12288)</f>
        <v>1B0F8E98-G</v>
      </c>
      <c r="C12288" s="17"/>
      <c r="D12288" s="184"/>
      <c r="E12288" s="197"/>
      <c r="F12288" s="19"/>
      <c r="G12288" s="20"/>
    </row>
    <row r="12289" spans="1:7">
      <c r="A12289" s="211" t="s">
        <v>491</v>
      </c>
      <c r="B12289" s="216" t="str">
        <f ca="1">_xlfn.CONCAT(B12280,A12289)</f>
        <v>1B0F8E98-H</v>
      </c>
      <c r="C12289" s="17"/>
      <c r="D12289" s="184"/>
      <c r="E12289" s="197"/>
      <c r="F12289" s="19"/>
      <c r="G12289" s="20"/>
    </row>
    <row r="12290" spans="1:7">
      <c r="A12290" s="211" t="s">
        <v>492</v>
      </c>
      <c r="B12290" s="216" t="str">
        <f ca="1">_xlfn.CONCAT(B12280,A12290)</f>
        <v>1B0F8E98-I</v>
      </c>
      <c r="C12290" s="17"/>
      <c r="D12290" s="184"/>
      <c r="E12290" s="197"/>
      <c r="F12290" s="19"/>
      <c r="G12290" s="20"/>
    </row>
    <row r="12291" spans="1:7">
      <c r="A12291" s="211" t="s">
        <v>493</v>
      </c>
      <c r="B12291" s="216" t="str">
        <f ca="1">_xlfn.CONCAT(B12280,A12291)</f>
        <v>1B0F8E98-J</v>
      </c>
      <c r="C12291" s="17"/>
      <c r="D12291" s="184"/>
      <c r="E12291" s="197"/>
      <c r="F12291" s="19"/>
      <c r="G12291" s="20"/>
    </row>
    <row r="12292" spans="1:7">
      <c r="A12292" s="211" t="s">
        <v>494</v>
      </c>
      <c r="B12292" s="216" t="str">
        <f ca="1">_xlfn.CONCAT(B12280,A12292)</f>
        <v>1B0F8E98-K</v>
      </c>
      <c r="C12292" s="17"/>
      <c r="D12292" s="184"/>
      <c r="E12292" s="197"/>
      <c r="F12292" s="19"/>
      <c r="G12292" s="20"/>
    </row>
    <row r="12293" spans="1:7">
      <c r="A12293" s="211" t="s">
        <v>495</v>
      </c>
      <c r="B12293" s="216" t="str">
        <f ca="1">_xlfn.CONCAT(B12280,A12293)</f>
        <v>1B0F8E98-L</v>
      </c>
      <c r="C12293" s="17"/>
      <c r="D12293" s="184"/>
      <c r="E12293" s="197"/>
      <c r="F12293" s="19"/>
      <c r="G12293" s="20"/>
    </row>
    <row r="12294" spans="1:7">
      <c r="A12294" s="211" t="s">
        <v>496</v>
      </c>
      <c r="B12294" s="216" t="str">
        <f ca="1">_xlfn.CONCAT(B12280,A12294)</f>
        <v>1B0F8E98-M</v>
      </c>
      <c r="C12294" s="17"/>
      <c r="D12294" s="184"/>
      <c r="E12294" s="197"/>
      <c r="F12294" s="19"/>
      <c r="G12294" s="20"/>
    </row>
    <row r="12295" spans="1:7">
      <c r="A12295" s="211" t="s">
        <v>497</v>
      </c>
      <c r="B12295" s="216" t="str">
        <f ca="1">_xlfn.CONCAT(B12280,A12295)</f>
        <v>1B0F8E98-N</v>
      </c>
      <c r="C12295" s="17"/>
      <c r="D12295" s="184"/>
      <c r="E12295" s="197"/>
      <c r="F12295" s="19"/>
      <c r="G12295" s="20"/>
    </row>
    <row r="12296" spans="1:7">
      <c r="A12296" s="211" t="s">
        <v>498</v>
      </c>
      <c r="B12296" s="216" t="str">
        <f ca="1">_xlfn.CONCAT(B12280,A12296)</f>
        <v>1B0F8E98-O</v>
      </c>
      <c r="C12296" s="17"/>
      <c r="D12296" s="184"/>
      <c r="E12296" s="197"/>
      <c r="F12296" s="19"/>
      <c r="G12296" s="20"/>
    </row>
    <row r="12297" spans="1:7">
      <c r="A12297" s="211" t="s">
        <v>499</v>
      </c>
      <c r="B12297" s="216" t="str">
        <f ca="1">_xlfn.CONCAT(B12280,A12297)</f>
        <v>1B0F8E98-P</v>
      </c>
      <c r="C12297" s="17"/>
      <c r="D12297" s="184"/>
      <c r="E12297" s="197"/>
      <c r="F12297" s="19"/>
      <c r="G12297" s="20"/>
    </row>
    <row r="12298" spans="1:7">
      <c r="A12298" s="211" t="s">
        <v>500</v>
      </c>
      <c r="B12298" s="216" t="str">
        <f ca="1">_xlfn.CONCAT(B12280,A12298)</f>
        <v>1B0F8E98-Q</v>
      </c>
      <c r="C12298" s="17"/>
      <c r="D12298" s="184"/>
      <c r="E12298" s="197"/>
      <c r="F12298" s="19"/>
      <c r="G12298" s="20"/>
    </row>
    <row r="12299" spans="1:7">
      <c r="A12299" s="211" t="s">
        <v>501</v>
      </c>
      <c r="B12299" s="216" t="str">
        <f ca="1">_xlfn.CONCAT(B12280,A12299)</f>
        <v>1B0F8E98-R</v>
      </c>
      <c r="C12299" s="17"/>
      <c r="D12299" s="184"/>
      <c r="E12299" s="197"/>
      <c r="F12299" s="19"/>
      <c r="G12299" s="20"/>
    </row>
    <row r="12300" spans="1:7">
      <c r="A12300" s="211" t="s">
        <v>502</v>
      </c>
      <c r="B12300" s="216" t="str">
        <f ca="1">_xlfn.CONCAT(B12280,A12300)</f>
        <v>1B0F8E98-S</v>
      </c>
      <c r="C12300" s="17"/>
      <c r="D12300" s="184"/>
      <c r="E12300" s="197"/>
      <c r="F12300" s="19"/>
      <c r="G12300" s="20"/>
    </row>
    <row r="12301" spans="1:7">
      <c r="A12301" s="211" t="s">
        <v>503</v>
      </c>
      <c r="B12301" s="216" t="str">
        <f ca="1">_xlfn.CONCAT(B12280,A12301)</f>
        <v>1B0F8E98-T</v>
      </c>
      <c r="C12301" s="17"/>
      <c r="D12301" s="184"/>
      <c r="E12301" s="197"/>
      <c r="F12301" s="19"/>
      <c r="G12301" s="20"/>
    </row>
    <row r="12302" spans="1:7" ht="14.25" thickBot="1">
      <c r="A12302" s="211" t="s">
        <v>504</v>
      </c>
      <c r="B12302" s="216" t="str">
        <f ca="1">_xlfn.CONCAT(B12280,A12302)</f>
        <v>1B0F8E98-U</v>
      </c>
      <c r="C12302" s="17"/>
      <c r="D12302" s="184"/>
      <c r="E12302" s="197"/>
      <c r="F12302" s="19"/>
      <c r="G12302" s="20"/>
    </row>
    <row r="12303" spans="1:7" ht="14.25" thickBot="1">
      <c r="A12303" s="211" t="s">
        <v>505</v>
      </c>
      <c r="B12303" s="216" t="str">
        <f ca="1">_xlfn.CONCAT(B12280,A12303)</f>
        <v>1B0F8E98-V</v>
      </c>
      <c r="C12303" s="17" t="s">
        <v>17</v>
      </c>
      <c r="D12303" s="192" t="s">
        <v>17</v>
      </c>
      <c r="E12303" s="18"/>
      <c r="F12303" s="22" t="s">
        <v>18</v>
      </c>
      <c r="G12303" s="23">
        <f>SUM(G12282:G12302)</f>
        <v>23900</v>
      </c>
    </row>
    <row r="12304" spans="1:7" ht="15.75" thickBot="1">
      <c r="A12304" s="211" t="s">
        <v>506</v>
      </c>
      <c r="B12304" s="216" t="str">
        <f ca="1">_xlfn.CONCAT(B12280,A12304)</f>
        <v>1B0F8E98-W</v>
      </c>
      <c r="C12304" s="10" t="s">
        <v>19</v>
      </c>
      <c r="D12304" s="190"/>
      <c r="E12304" s="11"/>
      <c r="F12304" s="12"/>
      <c r="G12304" s="13"/>
    </row>
    <row r="12305" spans="1:8" ht="14.25" thickBot="1">
      <c r="A12305" s="211" t="s">
        <v>507</v>
      </c>
      <c r="B12305" s="216" t="str">
        <f ca="1">_xlfn.CONCAT(B12280,A12305)</f>
        <v>1B0F8E98-X</v>
      </c>
      <c r="C12305" s="14" t="s">
        <v>1</v>
      </c>
      <c r="D12305" s="15"/>
      <c r="E12305" s="15" t="s">
        <v>20</v>
      </c>
      <c r="F12305" s="16" t="s">
        <v>21</v>
      </c>
      <c r="G12305" s="15" t="s">
        <v>5</v>
      </c>
      <c r="H12305" s="215"/>
    </row>
    <row r="12306" spans="1:8">
      <c r="A12306" s="211" t="s">
        <v>508</v>
      </c>
      <c r="B12306" s="216" t="str">
        <f ca="1">_xlfn.CONCAT(B12280,A12306)</f>
        <v>1B0F8E98-Y</v>
      </c>
      <c r="C12306" s="24" t="s">
        <v>22</v>
      </c>
      <c r="D12306" s="184"/>
      <c r="E12306" s="25">
        <f>_xlfn.XLOOKUP(C12306,'H-MO'!B$7:B$30,'H-MO'!D$7:D$30,,0,1)</f>
        <v>2436.5624999999995</v>
      </c>
      <c r="F12306" s="19">
        <v>0.25</v>
      </c>
      <c r="G12306" s="33">
        <f t="shared" ref="G12306:G12311" si="357">+E12306*F12306</f>
        <v>609.14062499999989</v>
      </c>
    </row>
    <row r="12307" spans="1:8">
      <c r="A12307" s="211" t="s">
        <v>509</v>
      </c>
      <c r="B12307" s="216" t="str">
        <f ca="1">_xlfn.CONCAT(B12280,A12307)</f>
        <v>1B0F8E98-Z</v>
      </c>
      <c r="C12307" s="24" t="s">
        <v>23</v>
      </c>
      <c r="D12307" s="184"/>
      <c r="E12307" s="25">
        <f>_xlfn.XLOOKUP(C12307,'H-MO'!B$7:B$30,'H-MO'!D$7:D$30,,0,1)</f>
        <v>1461.9374999999998</v>
      </c>
      <c r="F12307" s="19">
        <v>0.2</v>
      </c>
      <c r="G12307" s="33">
        <f t="shared" si="357"/>
        <v>292.38749999999999</v>
      </c>
    </row>
    <row r="12308" spans="1:8">
      <c r="A12308" s="211" t="s">
        <v>510</v>
      </c>
      <c r="B12308" s="216" t="str">
        <f ca="1">_xlfn.CONCAT(B12280,A12308)</f>
        <v>1B0F8E98-aa</v>
      </c>
      <c r="C12308" s="24" t="s">
        <v>24</v>
      </c>
      <c r="D12308" s="185"/>
      <c r="E12308" s="25">
        <f>_xlfn.XLOOKUP(C12308,'H-MO'!B$7:B$30,'H-MO'!D$7:D$30,,0,1)</f>
        <v>29238.749999999996</v>
      </c>
      <c r="F12308" s="28">
        <v>0.05</v>
      </c>
      <c r="G12308" s="33">
        <f t="shared" si="357"/>
        <v>1461.9375</v>
      </c>
    </row>
    <row r="12309" spans="1:8">
      <c r="A12309" s="211" t="s">
        <v>511</v>
      </c>
      <c r="B12309" s="216" t="str">
        <f ca="1">_xlfn.CONCAT(B12280,A12309)</f>
        <v>1B0F8E98-ab</v>
      </c>
      <c r="C12309" s="24" t="s">
        <v>25</v>
      </c>
      <c r="D12309" s="185"/>
      <c r="E12309" s="25">
        <f>_xlfn.XLOOKUP(C12309,'H-MO'!B$7:B$30,'H-MO'!D$7:D$30,,0,1)</f>
        <v>2761.4374999999995</v>
      </c>
      <c r="F12309" s="28">
        <v>0.01</v>
      </c>
      <c r="G12309" s="33">
        <f t="shared" si="357"/>
        <v>27.614374999999995</v>
      </c>
    </row>
    <row r="12310" spans="1:8">
      <c r="A12310" s="211" t="s">
        <v>512</v>
      </c>
      <c r="B12310" s="216" t="str">
        <f ca="1">_xlfn.CONCAT(B12280,A12310)</f>
        <v>1B0F8E98-ac</v>
      </c>
      <c r="C12310" s="24"/>
      <c r="D12310" s="185"/>
      <c r="E12310" s="29"/>
      <c r="F12310" s="28"/>
      <c r="G12310" s="33">
        <f t="shared" si="357"/>
        <v>0</v>
      </c>
    </row>
    <row r="12311" spans="1:8" ht="14.25" thickBot="1">
      <c r="A12311" s="211" t="s">
        <v>513</v>
      </c>
      <c r="B12311" s="216" t="str">
        <f ca="1">_xlfn.CONCAT(B12280,A12311)</f>
        <v>1B0F8E98-ad</v>
      </c>
      <c r="C12311" s="24"/>
      <c r="D12311" s="185"/>
      <c r="E12311" s="29"/>
      <c r="F12311" s="28"/>
      <c r="G12311" s="33">
        <f t="shared" si="357"/>
        <v>0</v>
      </c>
    </row>
    <row r="12312" spans="1:8" ht="14.25" thickBot="1">
      <c r="A12312" s="211" t="s">
        <v>514</v>
      </c>
      <c r="B12312" s="216" t="str">
        <f ca="1">_xlfn.CONCAT(B12280,A12312)</f>
        <v>1B0F8E98-ae</v>
      </c>
      <c r="C12312" s="17"/>
      <c r="D12312" s="192"/>
      <c r="E12312" s="18"/>
      <c r="F12312" s="22" t="s">
        <v>26</v>
      </c>
      <c r="G12312" s="23">
        <f>SUM(G12306:G12311)</f>
        <v>2391.08</v>
      </c>
    </row>
    <row r="12313" spans="1:8" ht="15.75" thickBot="1">
      <c r="A12313" s="211" t="s">
        <v>515</v>
      </c>
      <c r="B12313" s="216" t="str">
        <f ca="1">_xlfn.CONCAT(B12280,A12313)</f>
        <v>1B0F8E98-af</v>
      </c>
      <c r="C12313" s="10" t="s">
        <v>27</v>
      </c>
      <c r="D12313" s="190"/>
      <c r="E12313" s="11"/>
      <c r="F12313" s="12"/>
      <c r="G12313" s="13"/>
    </row>
    <row r="12314" spans="1:8" ht="14.25" thickBot="1">
      <c r="A12314" s="211" t="s">
        <v>516</v>
      </c>
      <c r="B12314" s="216" t="str">
        <f ca="1">_xlfn.CONCAT(B12280,A12314)</f>
        <v>1B0F8E98-ag</v>
      </c>
      <c r="C12314" s="14" t="s">
        <v>1</v>
      </c>
      <c r="D12314" s="15" t="s">
        <v>28</v>
      </c>
      <c r="E12314" s="15" t="s">
        <v>20</v>
      </c>
      <c r="F12314" s="16" t="s">
        <v>21</v>
      </c>
      <c r="G12314" s="15" t="s">
        <v>5</v>
      </c>
      <c r="H12314" s="215"/>
    </row>
    <row r="12315" spans="1:8">
      <c r="A12315" s="211" t="s">
        <v>517</v>
      </c>
      <c r="B12315" s="216" t="str">
        <f ca="1">_xlfn.CONCAT(B12280,A12315)</f>
        <v>1B0F8E98-ah</v>
      </c>
      <c r="C12315" s="30" t="s">
        <v>29</v>
      </c>
      <c r="D12315" s="186">
        <f>'H-MO'!$N$77</f>
        <v>725918.52892505517</v>
      </c>
      <c r="E12315" s="31">
        <f>+D12315/8</f>
        <v>90739.816115631897</v>
      </c>
      <c r="F12315" s="32">
        <v>0.19</v>
      </c>
      <c r="G12315" s="33">
        <f>+E12315*F12315</f>
        <v>17240.565061970061</v>
      </c>
    </row>
    <row r="12316" spans="1:8">
      <c r="A12316" s="211" t="s">
        <v>518</v>
      </c>
      <c r="B12316" s="216" t="str">
        <f ca="1">_xlfn.CONCAT(B12280,A12316)</f>
        <v>1B0F8E98-ai</v>
      </c>
      <c r="C12316" s="34" t="s">
        <v>30</v>
      </c>
      <c r="D12316" s="187">
        <f>'H-MO'!$N$86</f>
        <v>685561.39085756091</v>
      </c>
      <c r="E12316" s="29">
        <f>+D12316/8</f>
        <v>85695.173857195114</v>
      </c>
      <c r="F12316" s="28">
        <v>0</v>
      </c>
      <c r="G12316" s="33">
        <f>+E12316*F12316</f>
        <v>0</v>
      </c>
    </row>
    <row r="12317" spans="1:8" ht="14.25" thickBot="1">
      <c r="A12317" s="211" t="s">
        <v>519</v>
      </c>
      <c r="B12317" s="216" t="str">
        <f ca="1">_xlfn.CONCAT(B12280,A12317)</f>
        <v>1B0F8E98-aj</v>
      </c>
      <c r="C12317" s="34"/>
      <c r="D12317" s="187"/>
      <c r="E12317" s="29"/>
      <c r="F12317" s="28"/>
      <c r="G12317" s="33">
        <f>+E12317*F12317</f>
        <v>0</v>
      </c>
    </row>
    <row r="12318" spans="1:8" ht="14.25" thickBot="1">
      <c r="A12318" s="211" t="s">
        <v>520</v>
      </c>
      <c r="B12318" s="216" t="str">
        <f ca="1">_xlfn.CONCAT(B12280,A12318)</f>
        <v>1B0F8E98-ak</v>
      </c>
      <c r="C12318" s="34"/>
      <c r="D12318" s="185"/>
      <c r="E12318" s="26"/>
      <c r="F12318" s="36" t="s">
        <v>31</v>
      </c>
      <c r="G12318" s="23">
        <f>SUM(G12315:G12317)</f>
        <v>17240.565061970061</v>
      </c>
    </row>
    <row r="12319" spans="1:8" ht="14.25" thickBot="1">
      <c r="A12319" s="211" t="s">
        <v>521</v>
      </c>
      <c r="B12319" s="216" t="str">
        <f ca="1">_xlfn.CONCAT(B12280,A12319)</f>
        <v>1B0F8E98-al</v>
      </c>
      <c r="C12319" s="37"/>
      <c r="E12319" s="38"/>
      <c r="F12319" s="22"/>
      <c r="G12319" s="39"/>
    </row>
    <row r="12320" spans="1:8" ht="16.5" thickBot="1">
      <c r="A12320" s="211" t="s">
        <v>522</v>
      </c>
      <c r="B12320" s="216" t="str">
        <f ca="1">_xlfn.CONCAT(B12280,A12320)</f>
        <v>1B0F8E98-am</v>
      </c>
      <c r="C12320" s="40"/>
      <c r="D12320" s="193"/>
      <c r="E12320" s="41"/>
      <c r="F12320" s="42"/>
      <c r="G12320" s="43">
        <f>+G12303+G12312+G12318</f>
        <v>43531.645061970063</v>
      </c>
    </row>
    <row r="12321" spans="1:8" ht="21.75" thickBot="1">
      <c r="B12321" s="212" t="s">
        <v>550</v>
      </c>
      <c r="C12321" s="2"/>
      <c r="D12321" s="183"/>
      <c r="F12321" s="4"/>
      <c r="G12321" s="5"/>
    </row>
    <row r="12322" spans="1:8" ht="18.75">
      <c r="A12322" s="213"/>
      <c r="B12322" s="214">
        <v>280</v>
      </c>
      <c r="C12322" s="242" t="str">
        <f ca="1">_xlfn.XLOOKUP(B12322,Cantidades!$A$10:$A$314,Cantidades!$C$10:$C$314,,0,1)</f>
        <v>Suministro e instalacion de toma 220v con clavija</v>
      </c>
      <c r="D12322" s="243"/>
      <c r="E12322" s="243"/>
      <c r="F12322" s="243"/>
      <c r="G12322" s="244"/>
      <c r="H12322" s="213"/>
    </row>
    <row r="12323" spans="1:8" ht="19.5" thickBot="1">
      <c r="A12323" s="215"/>
      <c r="B12323" s="216" t="s">
        <v>550</v>
      </c>
      <c r="C12323" s="177"/>
      <c r="D12323" s="189"/>
      <c r="E12323" s="178"/>
      <c r="F12323" s="179" t="s">
        <v>636</v>
      </c>
      <c r="G12323" s="209" t="str">
        <f ca="1">B12324</f>
        <v>367B9A5F-</v>
      </c>
      <c r="H12323" s="215"/>
    </row>
    <row r="12324" spans="1:8" ht="15.75" thickBot="1">
      <c r="B12324" s="212" t="str">
        <f ca="1">_xlfn.XLOOKUP(C12322,Cantidades!$C$1:$C$314,Cantidades!$B$1:$B$314,"",0,1)</f>
        <v>367B9A5F-</v>
      </c>
      <c r="C12324" s="10" t="s">
        <v>0</v>
      </c>
      <c r="D12324" s="190"/>
      <c r="E12324" s="11"/>
      <c r="F12324" s="12"/>
      <c r="G12324" s="13"/>
    </row>
    <row r="12325" spans="1:8" ht="14.25" thickBot="1">
      <c r="A12325" s="215"/>
      <c r="B12325" s="216" t="s">
        <v>550</v>
      </c>
      <c r="C12325" s="14" t="s">
        <v>1</v>
      </c>
      <c r="D12325" s="15" t="s">
        <v>2</v>
      </c>
      <c r="E12325" s="15" t="s">
        <v>3</v>
      </c>
      <c r="F12325" s="16" t="s">
        <v>4</v>
      </c>
      <c r="G12325" s="15" t="s">
        <v>5</v>
      </c>
      <c r="H12325" s="215"/>
    </row>
    <row r="12326" spans="1:8">
      <c r="A12326" s="211" t="s">
        <v>484</v>
      </c>
      <c r="B12326" s="216" t="str">
        <f ca="1">_xlfn.CONCAT(B12324,A12326)</f>
        <v>367B9A5F-A</v>
      </c>
      <c r="C12326" s="17" t="str">
        <f>_xlfn.XLOOKUP(H12326,'Materiales unitario'!$A$1:$A$2500,'Materiales unitario'!B$1:B$2500,,0,1)</f>
        <v>Toma Incrustar bifásica 2 x 20A - 250V.</v>
      </c>
      <c r="D12326" s="184" t="str">
        <f>_xlfn.XLOOKUP(H12326,'Materiales unitario'!A$1:A$2500,'Materiales unitario'!C$1:C$2500,,0,1)</f>
        <v>un</v>
      </c>
      <c r="E12326" s="197">
        <f>_xlfn.XLOOKUP(H12326,'Materiales unitario'!$A$1:$A$2500,'Materiales unitario'!D$1:D$2500,,0,1)</f>
        <v>11900</v>
      </c>
      <c r="F12326" s="19">
        <v>1</v>
      </c>
      <c r="G12326" s="20">
        <f t="shared" ref="G12326:G12327" si="358">+E12326*F12326</f>
        <v>11900</v>
      </c>
      <c r="H12326" s="211" t="s">
        <v>378</v>
      </c>
    </row>
    <row r="12327" spans="1:8">
      <c r="A12327" s="211" t="s">
        <v>485</v>
      </c>
      <c r="B12327" s="216" t="str">
        <f ca="1">_xlfn.CONCAT(B12324,A12327)</f>
        <v>367B9A5F-B</v>
      </c>
      <c r="C12327" s="17" t="str">
        <f>_xlfn.XLOOKUP(H12327,'Materiales unitario'!$A$1:$A$2500,'Materiales unitario'!B$1:B$2500,,0,1)</f>
        <v>Clavija de pata trabada 220v</v>
      </c>
      <c r="D12327" s="184" t="str">
        <f>_xlfn.XLOOKUP(H12327,'Materiales unitario'!A$1:A$2500,'Materiales unitario'!C$1:C$2500,,0,1)</f>
        <v>un</v>
      </c>
      <c r="E12327" s="197">
        <f>_xlfn.XLOOKUP(H12327,'Materiales unitario'!$A$1:$A$2500,'Materiales unitario'!D$1:D$2500,,0,1)</f>
        <v>14300</v>
      </c>
      <c r="F12327" s="19">
        <v>1</v>
      </c>
      <c r="G12327" s="20">
        <f t="shared" si="358"/>
        <v>14300</v>
      </c>
      <c r="H12327" s="211" t="s">
        <v>1827</v>
      </c>
    </row>
    <row r="12328" spans="1:8">
      <c r="A12328" s="211" t="s">
        <v>486</v>
      </c>
      <c r="B12328" s="216" t="str">
        <f ca="1">_xlfn.CONCAT(B12324,A12328)</f>
        <v>367B9A5F-C</v>
      </c>
      <c r="C12328" s="17"/>
      <c r="D12328" s="184"/>
      <c r="E12328" s="197"/>
      <c r="F12328" s="19"/>
      <c r="G12328" s="20"/>
    </row>
    <row r="12329" spans="1:8">
      <c r="A12329" s="211" t="s">
        <v>487</v>
      </c>
      <c r="B12329" s="216" t="str">
        <f ca="1">_xlfn.CONCAT(B12324,A12329)</f>
        <v>367B9A5F-D</v>
      </c>
      <c r="C12329" s="17"/>
      <c r="D12329" s="184"/>
      <c r="E12329" s="197"/>
      <c r="F12329" s="19"/>
      <c r="G12329" s="20"/>
    </row>
    <row r="12330" spans="1:8">
      <c r="A12330" s="211" t="s">
        <v>488</v>
      </c>
      <c r="B12330" s="216" t="str">
        <f ca="1">_xlfn.CONCAT(B12324,A12330)</f>
        <v>367B9A5F-E</v>
      </c>
      <c r="C12330" s="17"/>
      <c r="D12330" s="184"/>
      <c r="E12330" s="197"/>
      <c r="F12330" s="19"/>
      <c r="G12330" s="20"/>
    </row>
    <row r="12331" spans="1:8">
      <c r="A12331" s="211" t="s">
        <v>489</v>
      </c>
      <c r="B12331" s="216" t="str">
        <f ca="1">_xlfn.CONCAT(B12324,A12331)</f>
        <v>367B9A5F-F</v>
      </c>
      <c r="C12331" s="17"/>
      <c r="D12331" s="184"/>
      <c r="E12331" s="197"/>
      <c r="F12331" s="19"/>
      <c r="G12331" s="20"/>
    </row>
    <row r="12332" spans="1:8">
      <c r="A12332" s="211" t="s">
        <v>490</v>
      </c>
      <c r="B12332" s="216" t="str">
        <f ca="1">_xlfn.CONCAT(B12324,A12332)</f>
        <v>367B9A5F-G</v>
      </c>
      <c r="C12332" s="17"/>
      <c r="D12332" s="184"/>
      <c r="E12332" s="197"/>
      <c r="F12332" s="19"/>
      <c r="G12332" s="20"/>
    </row>
    <row r="12333" spans="1:8">
      <c r="A12333" s="211" t="s">
        <v>491</v>
      </c>
      <c r="B12333" s="216" t="str">
        <f ca="1">_xlfn.CONCAT(B12324,A12333)</f>
        <v>367B9A5F-H</v>
      </c>
      <c r="C12333" s="17"/>
      <c r="D12333" s="184"/>
      <c r="E12333" s="197"/>
      <c r="F12333" s="19"/>
      <c r="G12333" s="20"/>
    </row>
    <row r="12334" spans="1:8">
      <c r="A12334" s="211" t="s">
        <v>492</v>
      </c>
      <c r="B12334" s="216" t="str">
        <f ca="1">_xlfn.CONCAT(B12324,A12334)</f>
        <v>367B9A5F-I</v>
      </c>
      <c r="C12334" s="17"/>
      <c r="D12334" s="184"/>
      <c r="E12334" s="197"/>
      <c r="F12334" s="19"/>
      <c r="G12334" s="20"/>
    </row>
    <row r="12335" spans="1:8">
      <c r="A12335" s="211" t="s">
        <v>493</v>
      </c>
      <c r="B12335" s="216" t="str">
        <f ca="1">_xlfn.CONCAT(B12324,A12335)</f>
        <v>367B9A5F-J</v>
      </c>
      <c r="C12335" s="17"/>
      <c r="D12335" s="184"/>
      <c r="E12335" s="197"/>
      <c r="F12335" s="19"/>
      <c r="G12335" s="20"/>
    </row>
    <row r="12336" spans="1:8">
      <c r="A12336" s="211" t="s">
        <v>494</v>
      </c>
      <c r="B12336" s="216" t="str">
        <f ca="1">_xlfn.CONCAT(B12324,A12336)</f>
        <v>367B9A5F-K</v>
      </c>
      <c r="C12336" s="17"/>
      <c r="D12336" s="184"/>
      <c r="E12336" s="197"/>
      <c r="F12336" s="19"/>
      <c r="G12336" s="20"/>
    </row>
    <row r="12337" spans="1:8">
      <c r="A12337" s="211" t="s">
        <v>495</v>
      </c>
      <c r="B12337" s="216" t="str">
        <f ca="1">_xlfn.CONCAT(B12324,A12337)</f>
        <v>367B9A5F-L</v>
      </c>
      <c r="C12337" s="17"/>
      <c r="D12337" s="184"/>
      <c r="E12337" s="197"/>
      <c r="F12337" s="19"/>
      <c r="G12337" s="20"/>
    </row>
    <row r="12338" spans="1:8">
      <c r="A12338" s="211" t="s">
        <v>496</v>
      </c>
      <c r="B12338" s="216" t="str">
        <f ca="1">_xlfn.CONCAT(B12324,A12338)</f>
        <v>367B9A5F-M</v>
      </c>
      <c r="C12338" s="17"/>
      <c r="D12338" s="184"/>
      <c r="E12338" s="197"/>
      <c r="F12338" s="19"/>
      <c r="G12338" s="20"/>
    </row>
    <row r="12339" spans="1:8">
      <c r="A12339" s="211" t="s">
        <v>497</v>
      </c>
      <c r="B12339" s="216" t="str">
        <f ca="1">_xlfn.CONCAT(B12324,A12339)</f>
        <v>367B9A5F-N</v>
      </c>
      <c r="C12339" s="17"/>
      <c r="D12339" s="184"/>
      <c r="E12339" s="197"/>
      <c r="F12339" s="19"/>
      <c r="G12339" s="20"/>
    </row>
    <row r="12340" spans="1:8">
      <c r="A12340" s="211" t="s">
        <v>498</v>
      </c>
      <c r="B12340" s="216" t="str">
        <f ca="1">_xlfn.CONCAT(B12324,A12340)</f>
        <v>367B9A5F-O</v>
      </c>
      <c r="C12340" s="17"/>
      <c r="D12340" s="184"/>
      <c r="E12340" s="197"/>
      <c r="F12340" s="19"/>
      <c r="G12340" s="20"/>
    </row>
    <row r="12341" spans="1:8">
      <c r="A12341" s="211" t="s">
        <v>499</v>
      </c>
      <c r="B12341" s="216" t="str">
        <f ca="1">_xlfn.CONCAT(B12324,A12341)</f>
        <v>367B9A5F-P</v>
      </c>
      <c r="C12341" s="17"/>
      <c r="D12341" s="184"/>
      <c r="E12341" s="197"/>
      <c r="F12341" s="19"/>
      <c r="G12341" s="20"/>
    </row>
    <row r="12342" spans="1:8">
      <c r="A12342" s="211" t="s">
        <v>500</v>
      </c>
      <c r="B12342" s="216" t="str">
        <f ca="1">_xlfn.CONCAT(B12324,A12342)</f>
        <v>367B9A5F-Q</v>
      </c>
      <c r="C12342" s="17"/>
      <c r="D12342" s="184"/>
      <c r="E12342" s="197"/>
      <c r="F12342" s="19"/>
      <c r="G12342" s="20"/>
    </row>
    <row r="12343" spans="1:8">
      <c r="A12343" s="211" t="s">
        <v>501</v>
      </c>
      <c r="B12343" s="216" t="str">
        <f ca="1">_xlfn.CONCAT(B12324,A12343)</f>
        <v>367B9A5F-R</v>
      </c>
      <c r="C12343" s="17"/>
      <c r="D12343" s="184"/>
      <c r="E12343" s="197"/>
      <c r="F12343" s="19"/>
      <c r="G12343" s="20"/>
    </row>
    <row r="12344" spans="1:8">
      <c r="A12344" s="211" t="s">
        <v>502</v>
      </c>
      <c r="B12344" s="216" t="str">
        <f ca="1">_xlfn.CONCAT(B12324,A12344)</f>
        <v>367B9A5F-S</v>
      </c>
      <c r="C12344" s="17"/>
      <c r="D12344" s="184"/>
      <c r="E12344" s="197"/>
      <c r="F12344" s="19"/>
      <c r="G12344" s="20"/>
    </row>
    <row r="12345" spans="1:8">
      <c r="A12345" s="211" t="s">
        <v>503</v>
      </c>
      <c r="B12345" s="216" t="str">
        <f ca="1">_xlfn.CONCAT(B12324,A12345)</f>
        <v>367B9A5F-T</v>
      </c>
      <c r="C12345" s="17"/>
      <c r="D12345" s="184"/>
      <c r="E12345" s="197"/>
      <c r="F12345" s="19"/>
      <c r="G12345" s="20"/>
    </row>
    <row r="12346" spans="1:8" ht="14.25" thickBot="1">
      <c r="A12346" s="211" t="s">
        <v>504</v>
      </c>
      <c r="B12346" s="216" t="str">
        <f ca="1">_xlfn.CONCAT(B12324,A12346)</f>
        <v>367B9A5F-U</v>
      </c>
      <c r="C12346" s="17"/>
      <c r="D12346" s="184"/>
      <c r="E12346" s="197"/>
      <c r="F12346" s="19"/>
      <c r="G12346" s="20"/>
    </row>
    <row r="12347" spans="1:8" ht="14.25" thickBot="1">
      <c r="A12347" s="211" t="s">
        <v>505</v>
      </c>
      <c r="B12347" s="216" t="str">
        <f ca="1">_xlfn.CONCAT(B12324,A12347)</f>
        <v>367B9A5F-V</v>
      </c>
      <c r="C12347" s="17" t="s">
        <v>17</v>
      </c>
      <c r="D12347" s="192" t="s">
        <v>17</v>
      </c>
      <c r="E12347" s="18"/>
      <c r="F12347" s="22" t="s">
        <v>18</v>
      </c>
      <c r="G12347" s="23">
        <f>SUM(G12326:G12346)</f>
        <v>26200</v>
      </c>
    </row>
    <row r="12348" spans="1:8" ht="15.75" thickBot="1">
      <c r="A12348" s="211" t="s">
        <v>506</v>
      </c>
      <c r="B12348" s="216" t="str">
        <f ca="1">_xlfn.CONCAT(B12324,A12348)</f>
        <v>367B9A5F-W</v>
      </c>
      <c r="C12348" s="10" t="s">
        <v>19</v>
      </c>
      <c r="D12348" s="190"/>
      <c r="E12348" s="11"/>
      <c r="F12348" s="12"/>
      <c r="G12348" s="13"/>
    </row>
    <row r="12349" spans="1:8" ht="14.25" thickBot="1">
      <c r="A12349" s="211" t="s">
        <v>507</v>
      </c>
      <c r="B12349" s="216" t="str">
        <f ca="1">_xlfn.CONCAT(B12324,A12349)</f>
        <v>367B9A5F-X</v>
      </c>
      <c r="C12349" s="14" t="s">
        <v>1</v>
      </c>
      <c r="D12349" s="15"/>
      <c r="E12349" s="15" t="s">
        <v>20</v>
      </c>
      <c r="F12349" s="16" t="s">
        <v>21</v>
      </c>
      <c r="G12349" s="15" t="s">
        <v>5</v>
      </c>
      <c r="H12349" s="215"/>
    </row>
    <row r="12350" spans="1:8">
      <c r="A12350" s="211" t="s">
        <v>508</v>
      </c>
      <c r="B12350" s="216" t="str">
        <f ca="1">_xlfn.CONCAT(B12324,A12350)</f>
        <v>367B9A5F-Y</v>
      </c>
      <c r="C12350" s="24" t="s">
        <v>22</v>
      </c>
      <c r="D12350" s="184"/>
      <c r="E12350" s="25">
        <f>_xlfn.XLOOKUP(C12350,'H-MO'!B$7:B$30,'H-MO'!D$7:D$30,,0,1)</f>
        <v>2436.5624999999995</v>
      </c>
      <c r="F12350" s="19">
        <v>0.05</v>
      </c>
      <c r="G12350" s="33">
        <f t="shared" ref="G12350:G12355" si="359">+E12350*F12350</f>
        <v>121.82812499999999</v>
      </c>
    </row>
    <row r="12351" spans="1:8">
      <c r="A12351" s="211" t="s">
        <v>509</v>
      </c>
      <c r="B12351" s="216" t="str">
        <f ca="1">_xlfn.CONCAT(B12324,A12351)</f>
        <v>367B9A5F-Z</v>
      </c>
      <c r="C12351" s="24" t="s">
        <v>23</v>
      </c>
      <c r="D12351" s="184"/>
      <c r="E12351" s="25">
        <f>_xlfn.XLOOKUP(C12351,'H-MO'!B$7:B$30,'H-MO'!D$7:D$30,,0,1)</f>
        <v>1461.9374999999998</v>
      </c>
      <c r="F12351" s="19">
        <v>9.8000000000000004E-2</v>
      </c>
      <c r="G12351" s="33">
        <f t="shared" si="359"/>
        <v>143.26987499999998</v>
      </c>
    </row>
    <row r="12352" spans="1:8">
      <c r="A12352" s="211" t="s">
        <v>510</v>
      </c>
      <c r="B12352" s="216" t="str">
        <f ca="1">_xlfn.CONCAT(B12324,A12352)</f>
        <v>367B9A5F-aa</v>
      </c>
      <c r="C12352" s="24" t="s">
        <v>24</v>
      </c>
      <c r="D12352" s="185"/>
      <c r="E12352" s="25">
        <f>_xlfn.XLOOKUP(C12352,'H-MO'!B$7:B$30,'H-MO'!D$7:D$30,,0,1)</f>
        <v>29238.749999999996</v>
      </c>
      <c r="F12352" s="28">
        <v>2E-3</v>
      </c>
      <c r="G12352" s="33">
        <f t="shared" si="359"/>
        <v>58.477499999999992</v>
      </c>
    </row>
    <row r="12353" spans="1:8">
      <c r="A12353" s="211" t="s">
        <v>511</v>
      </c>
      <c r="B12353" s="216" t="str">
        <f ca="1">_xlfn.CONCAT(B12324,A12353)</f>
        <v>367B9A5F-ab</v>
      </c>
      <c r="C12353" s="24" t="s">
        <v>25</v>
      </c>
      <c r="D12353" s="185"/>
      <c r="E12353" s="25">
        <f>_xlfn.XLOOKUP(C12353,'H-MO'!B$7:B$30,'H-MO'!D$7:D$30,,0,1)</f>
        <v>2761.4374999999995</v>
      </c>
      <c r="F12353" s="28">
        <v>0.02</v>
      </c>
      <c r="G12353" s="33">
        <f t="shared" si="359"/>
        <v>55.228749999999991</v>
      </c>
    </row>
    <row r="12354" spans="1:8">
      <c r="A12354" s="211" t="s">
        <v>512</v>
      </c>
      <c r="B12354" s="216" t="str">
        <f ca="1">_xlfn.CONCAT(B12324,A12354)</f>
        <v>367B9A5F-ac</v>
      </c>
      <c r="C12354" s="24"/>
      <c r="D12354" s="185"/>
      <c r="E12354" s="29"/>
      <c r="F12354" s="28"/>
      <c r="G12354" s="33">
        <f t="shared" si="359"/>
        <v>0</v>
      </c>
    </row>
    <row r="12355" spans="1:8" ht="14.25" thickBot="1">
      <c r="A12355" s="211" t="s">
        <v>513</v>
      </c>
      <c r="B12355" s="216" t="str">
        <f ca="1">_xlfn.CONCAT(B12324,A12355)</f>
        <v>367B9A5F-ad</v>
      </c>
      <c r="C12355" s="24"/>
      <c r="D12355" s="185"/>
      <c r="E12355" s="29"/>
      <c r="F12355" s="28"/>
      <c r="G12355" s="33">
        <f t="shared" si="359"/>
        <v>0</v>
      </c>
    </row>
    <row r="12356" spans="1:8" ht="14.25" thickBot="1">
      <c r="A12356" s="211" t="s">
        <v>514</v>
      </c>
      <c r="B12356" s="216" t="str">
        <f ca="1">_xlfn.CONCAT(B12324,A12356)</f>
        <v>367B9A5F-ae</v>
      </c>
      <c r="C12356" s="17"/>
      <c r="D12356" s="192"/>
      <c r="E12356" s="18"/>
      <c r="F12356" s="22" t="s">
        <v>26</v>
      </c>
      <c r="G12356" s="23">
        <f>SUM(G12350:G12355)</f>
        <v>378.80424999999991</v>
      </c>
    </row>
    <row r="12357" spans="1:8" ht="15.75" thickBot="1">
      <c r="A12357" s="211" t="s">
        <v>515</v>
      </c>
      <c r="B12357" s="216" t="str">
        <f ca="1">_xlfn.CONCAT(B12324,A12357)</f>
        <v>367B9A5F-af</v>
      </c>
      <c r="C12357" s="10" t="s">
        <v>27</v>
      </c>
      <c r="D12357" s="190"/>
      <c r="E12357" s="11"/>
      <c r="F12357" s="12"/>
      <c r="G12357" s="13"/>
    </row>
    <row r="12358" spans="1:8" ht="14.25" thickBot="1">
      <c r="A12358" s="211" t="s">
        <v>516</v>
      </c>
      <c r="B12358" s="216" t="str">
        <f ca="1">_xlfn.CONCAT(B12324,A12358)</f>
        <v>367B9A5F-ag</v>
      </c>
      <c r="C12358" s="14" t="s">
        <v>1</v>
      </c>
      <c r="D12358" s="15" t="s">
        <v>28</v>
      </c>
      <c r="E12358" s="15" t="s">
        <v>20</v>
      </c>
      <c r="F12358" s="16" t="s">
        <v>21</v>
      </c>
      <c r="G12358" s="15" t="s">
        <v>5</v>
      </c>
      <c r="H12358" s="215"/>
    </row>
    <row r="12359" spans="1:8">
      <c r="A12359" s="211" t="s">
        <v>517</v>
      </c>
      <c r="B12359" s="216" t="str">
        <f ca="1">_xlfn.CONCAT(B12324,A12359)</f>
        <v>367B9A5F-ah</v>
      </c>
      <c r="C12359" s="30" t="s">
        <v>29</v>
      </c>
      <c r="D12359" s="186">
        <f>'H-MO'!$N$77</f>
        <v>725918.52892505517</v>
      </c>
      <c r="E12359" s="31">
        <f>+D12359/8</f>
        <v>90739.816115631897</v>
      </c>
      <c r="F12359" s="32">
        <v>0.05</v>
      </c>
      <c r="G12359" s="33">
        <f>+E12359*F12359</f>
        <v>4536.9908057815946</v>
      </c>
    </row>
    <row r="12360" spans="1:8">
      <c r="A12360" s="211" t="s">
        <v>518</v>
      </c>
      <c r="B12360" s="216" t="str">
        <f ca="1">_xlfn.CONCAT(B12324,A12360)</f>
        <v>367B9A5F-ai</v>
      </c>
      <c r="C12360" s="34" t="s">
        <v>30</v>
      </c>
      <c r="D12360" s="187">
        <f>'H-MO'!$N$86</f>
        <v>685561.39085756091</v>
      </c>
      <c r="E12360" s="29">
        <f>+D12360/8</f>
        <v>85695.173857195114</v>
      </c>
      <c r="F12360" s="28">
        <v>0</v>
      </c>
      <c r="G12360" s="33">
        <f>+E12360*F12360</f>
        <v>0</v>
      </c>
    </row>
    <row r="12361" spans="1:8" ht="14.25" thickBot="1">
      <c r="A12361" s="211" t="s">
        <v>519</v>
      </c>
      <c r="B12361" s="216" t="str">
        <f ca="1">_xlfn.CONCAT(B12324,A12361)</f>
        <v>367B9A5F-aj</v>
      </c>
      <c r="C12361" s="34"/>
      <c r="D12361" s="187"/>
      <c r="E12361" s="29"/>
      <c r="F12361" s="28"/>
      <c r="G12361" s="33">
        <f>+E12361*F12361</f>
        <v>0</v>
      </c>
    </row>
    <row r="12362" spans="1:8" ht="14.25" thickBot="1">
      <c r="A12362" s="211" t="s">
        <v>520</v>
      </c>
      <c r="B12362" s="216" t="str">
        <f ca="1">_xlfn.CONCAT(B12324,A12362)</f>
        <v>367B9A5F-ak</v>
      </c>
      <c r="C12362" s="34"/>
      <c r="D12362" s="185"/>
      <c r="E12362" s="26"/>
      <c r="F12362" s="36" t="s">
        <v>31</v>
      </c>
      <c r="G12362" s="23">
        <f>SUM(G12359:G12361)</f>
        <v>4536.9908057815946</v>
      </c>
    </row>
    <row r="12363" spans="1:8" ht="14.25" thickBot="1">
      <c r="A12363" s="211" t="s">
        <v>521</v>
      </c>
      <c r="B12363" s="216" t="str">
        <f ca="1">_xlfn.CONCAT(B12324,A12363)</f>
        <v>367B9A5F-al</v>
      </c>
      <c r="C12363" s="37"/>
      <c r="E12363" s="38"/>
      <c r="F12363" s="22"/>
      <c r="G12363" s="39"/>
    </row>
    <row r="12364" spans="1:8" ht="16.5" thickBot="1">
      <c r="A12364" s="211" t="s">
        <v>522</v>
      </c>
      <c r="B12364" s="216" t="str">
        <f ca="1">_xlfn.CONCAT(B12324,A12364)</f>
        <v>367B9A5F-am</v>
      </c>
      <c r="C12364" s="40"/>
      <c r="D12364" s="193"/>
      <c r="E12364" s="41"/>
      <c r="F12364" s="42"/>
      <c r="G12364" s="43">
        <f>+G12347+G12356+G12362</f>
        <v>31115.795055781597</v>
      </c>
    </row>
    <row r="12365" spans="1:8" ht="21.75" thickBot="1">
      <c r="B12365" s="212" t="s">
        <v>550</v>
      </c>
      <c r="C12365" s="2"/>
      <c r="D12365" s="183"/>
      <c r="F12365" s="4"/>
      <c r="G12365" s="5"/>
    </row>
    <row r="12366" spans="1:8" ht="18.75">
      <c r="A12366" s="213"/>
      <c r="B12366" s="214">
        <v>281</v>
      </c>
      <c r="C12366" s="242" t="str">
        <f ca="1">_xlfn.XLOOKUP(B12366,Cantidades!$A$10:$A$314,Cantidades!$C$10:$C$314,,0,1)</f>
        <v>Suministro e instalacion de panel led ecolight 12W</v>
      </c>
      <c r="D12366" s="243"/>
      <c r="E12366" s="243"/>
      <c r="F12366" s="243"/>
      <c r="G12366" s="244"/>
      <c r="H12366" s="213"/>
    </row>
    <row r="12367" spans="1:8" ht="19.5" thickBot="1">
      <c r="A12367" s="215"/>
      <c r="B12367" s="216" t="s">
        <v>550</v>
      </c>
      <c r="C12367" s="177"/>
      <c r="D12367" s="189"/>
      <c r="E12367" s="178"/>
      <c r="F12367" s="179" t="s">
        <v>636</v>
      </c>
      <c r="G12367" s="209" t="str">
        <f ca="1">B12368</f>
        <v>940E37D-</v>
      </c>
      <c r="H12367" s="215"/>
    </row>
    <row r="12368" spans="1:8" ht="15.75" thickBot="1">
      <c r="B12368" s="212" t="str">
        <f ca="1">_xlfn.XLOOKUP(C12366,Cantidades!$C$1:$C$314,Cantidades!$B$1:$B$314,"",0,1)</f>
        <v>940E37D-</v>
      </c>
      <c r="C12368" s="10" t="s">
        <v>0</v>
      </c>
      <c r="D12368" s="190"/>
      <c r="E12368" s="11"/>
      <c r="F12368" s="12"/>
      <c r="G12368" s="13"/>
    </row>
    <row r="12369" spans="1:8" ht="14.25" thickBot="1">
      <c r="A12369" s="215"/>
      <c r="B12369" s="216" t="s">
        <v>550</v>
      </c>
      <c r="C12369" s="14" t="s">
        <v>1</v>
      </c>
      <c r="D12369" s="15" t="s">
        <v>2</v>
      </c>
      <c r="E12369" s="15" t="s">
        <v>3</v>
      </c>
      <c r="F12369" s="16" t="s">
        <v>4</v>
      </c>
      <c r="G12369" s="15" t="s">
        <v>5</v>
      </c>
      <c r="H12369" s="215"/>
    </row>
    <row r="12370" spans="1:8" ht="15">
      <c r="A12370" s="211" t="s">
        <v>484</v>
      </c>
      <c r="B12370" s="216" t="str">
        <f ca="1">_xlfn.CONCAT(B12368,A12370)</f>
        <v>940E37D-A</v>
      </c>
      <c r="C12370" s="17" t="str">
        <f>_xlfn.XLOOKUP(H12370,'Materiales unitario'!$A$1:$A$2500,'Materiales unitario'!B$1:B$2500,,0,1)</f>
        <v>Panel led Ecoligth ECO168SLIMV12</v>
      </c>
      <c r="D12370" s="184" t="str">
        <f>_xlfn.XLOOKUP(H12370,'Materiales unitario'!A$1:A$2500,'Materiales unitario'!C$1:C$2500,,0,1)</f>
        <v>un</v>
      </c>
      <c r="E12370" s="197">
        <f>_xlfn.XLOOKUP(H12370,'Materiales unitario'!$A$1:$A$2500,'Materiales unitario'!D$1:D$2500,,0,1)</f>
        <v>17040</v>
      </c>
      <c r="F12370" s="19">
        <v>1</v>
      </c>
      <c r="G12370" s="20">
        <f>+E12370*F12370</f>
        <v>17040</v>
      </c>
      <c r="H12370" s="217" t="s">
        <v>1831</v>
      </c>
    </row>
    <row r="12371" spans="1:8" ht="15">
      <c r="A12371" s="211" t="s">
        <v>485</v>
      </c>
      <c r="B12371" s="216" t="str">
        <f ca="1">_xlfn.CONCAT(B12368,A12371)</f>
        <v>940E37D-B</v>
      </c>
      <c r="C12371" s="17" t="str">
        <f>_xlfn.XLOOKUP(H12371,'Materiales unitario'!$A$1:$A$2500,'Materiales unitario'!B$1:B$2500,,0,1)</f>
        <v>Conector de resorte naranja "N" 22-16 AWG</v>
      </c>
      <c r="D12371" s="184" t="str">
        <f>_xlfn.XLOOKUP(H12371,'Materiales unitario'!A$1:A$2500,'Materiales unitario'!C$1:C$2500,,0,1)</f>
        <v>un</v>
      </c>
      <c r="E12371" s="197">
        <f>_xlfn.XLOOKUP(H12371,'Materiales unitario'!$A$1:$A$2500,'Materiales unitario'!D$1:D$2500,,0,1)</f>
        <v>150</v>
      </c>
      <c r="F12371" s="19">
        <v>2</v>
      </c>
      <c r="G12371" s="20">
        <f>+E12371*F12371</f>
        <v>300</v>
      </c>
      <c r="H12371" s="217" t="s">
        <v>682</v>
      </c>
    </row>
    <row r="12372" spans="1:8" ht="15">
      <c r="A12372" s="211" t="s">
        <v>486</v>
      </c>
      <c r="B12372" s="216" t="str">
        <f ca="1">_xlfn.CONCAT(B12368,A12372)</f>
        <v>940E37D-C</v>
      </c>
      <c r="C12372" s="17" t="str">
        <f>_xlfn.XLOOKUP(H12372,'Materiales unitario'!$A$1:$A$2500,'Materiales unitario'!B$1:B$2500,,0,1)</f>
        <v>Cable flexible encauchetado ST-C 3x16 AWG</v>
      </c>
      <c r="D12372" s="184" t="str">
        <f>_xlfn.XLOOKUP(H12372,'Materiales unitario'!A$1:A$2500,'Materiales unitario'!C$1:C$2500,,0,1)</f>
        <v>ml</v>
      </c>
      <c r="E12372" s="197">
        <f>_xlfn.XLOOKUP(H12372,'Materiales unitario'!$A$1:$A$2500,'Materiales unitario'!D$1:D$2500,,0,1)</f>
        <v>4730</v>
      </c>
      <c r="F12372" s="19">
        <v>3</v>
      </c>
      <c r="G12372" s="20">
        <f>+E12372*F12372</f>
        <v>14190</v>
      </c>
      <c r="H12372" s="217" t="s">
        <v>278</v>
      </c>
    </row>
    <row r="12373" spans="1:8" ht="15">
      <c r="A12373" s="211" t="s">
        <v>487</v>
      </c>
      <c r="B12373" s="216" t="str">
        <f ca="1">_xlfn.CONCAT(B12368,A12373)</f>
        <v>940E37D-D</v>
      </c>
      <c r="C12373" s="17" t="str">
        <f>_xlfn.XLOOKUP(H12373,'Materiales unitario'!$A$1:$A$2500,'Materiales unitario'!B$1:B$2500,,0,1)</f>
        <v>Marquillas para circuito</v>
      </c>
      <c r="D12373" s="184" t="str">
        <f>_xlfn.XLOOKUP(H12373,'Materiales unitario'!A$1:A$2500,'Materiales unitario'!C$1:C$2500,,0,1)</f>
        <v>un</v>
      </c>
      <c r="E12373" s="197">
        <f>_xlfn.XLOOKUP(H12373,'Materiales unitario'!$A$1:$A$2500,'Materiales unitario'!D$1:D$2500,,0,1)</f>
        <v>1000</v>
      </c>
      <c r="F12373" s="19">
        <v>1</v>
      </c>
      <c r="G12373" s="20">
        <f>+E12373*F12373</f>
        <v>1000</v>
      </c>
      <c r="H12373" s="217" t="s">
        <v>339</v>
      </c>
    </row>
    <row r="12374" spans="1:8" ht="15">
      <c r="A12374" s="211" t="s">
        <v>488</v>
      </c>
      <c r="B12374" s="216" t="str">
        <f ca="1">_xlfn.CONCAT(B12368,A12374)</f>
        <v>940E37D-E</v>
      </c>
      <c r="C12374" s="17" t="str">
        <f>_xlfn.XLOOKUP(H12374,'Materiales unitario'!$A$1:$A$2500,'Materiales unitario'!B$1:B$2500,,0,1)</f>
        <v>Prensaestopa de 10 a 14 mm ø1/2"</v>
      </c>
      <c r="D12374" s="184" t="str">
        <f>_xlfn.XLOOKUP(H12374,'Materiales unitario'!A$1:A$2500,'Materiales unitario'!C$1:C$2500,,0,1)</f>
        <v>un</v>
      </c>
      <c r="E12374" s="197">
        <f>_xlfn.XLOOKUP(H12374,'Materiales unitario'!$A$1:$A$2500,'Materiales unitario'!D$1:D$2500,,0,1)</f>
        <v>1460</v>
      </c>
      <c r="F12374" s="19">
        <v>1</v>
      </c>
      <c r="G12374" s="20">
        <f>+E12374*F12374</f>
        <v>1460</v>
      </c>
      <c r="H12374" s="217" t="s">
        <v>351</v>
      </c>
    </row>
    <row r="12375" spans="1:8" ht="15">
      <c r="A12375" s="211" t="s">
        <v>489</v>
      </c>
      <c r="B12375" s="216" t="str">
        <f ca="1">_xlfn.CONCAT(B12368,A12375)</f>
        <v>940E37D-F</v>
      </c>
      <c r="C12375" s="17"/>
      <c r="D12375" s="184"/>
      <c r="E12375" s="197"/>
      <c r="F12375" s="19"/>
      <c r="G12375" s="20"/>
      <c r="H12375" s="217"/>
    </row>
    <row r="12376" spans="1:8" ht="15">
      <c r="A12376" s="211" t="s">
        <v>490</v>
      </c>
      <c r="B12376" s="216" t="str">
        <f ca="1">_xlfn.CONCAT(B12368,A12376)</f>
        <v>940E37D-G</v>
      </c>
      <c r="C12376" s="17"/>
      <c r="D12376" s="184"/>
      <c r="E12376" s="197"/>
      <c r="F12376" s="19"/>
      <c r="G12376" s="20"/>
      <c r="H12376" s="217"/>
    </row>
    <row r="12377" spans="1:8" ht="15">
      <c r="A12377" s="211" t="s">
        <v>491</v>
      </c>
      <c r="B12377" s="216" t="str">
        <f ca="1">_xlfn.CONCAT(B12368,A12377)</f>
        <v>940E37D-H</v>
      </c>
      <c r="C12377" s="17"/>
      <c r="D12377" s="184"/>
      <c r="E12377" s="197"/>
      <c r="F12377" s="19"/>
      <c r="G12377" s="20"/>
      <c r="H12377" s="217"/>
    </row>
    <row r="12378" spans="1:8" ht="15">
      <c r="A12378" s="211" t="s">
        <v>492</v>
      </c>
      <c r="B12378" s="216" t="str">
        <f ca="1">_xlfn.CONCAT(B12368,A12378)</f>
        <v>940E37D-I</v>
      </c>
      <c r="C12378" s="17"/>
      <c r="D12378" s="184"/>
      <c r="E12378" s="197"/>
      <c r="F12378" s="19"/>
      <c r="G12378" s="20"/>
      <c r="H12378" s="217"/>
    </row>
    <row r="12379" spans="1:8" ht="15">
      <c r="A12379" s="211" t="s">
        <v>493</v>
      </c>
      <c r="B12379" s="216" t="str">
        <f ca="1">_xlfn.CONCAT(B12368,A12379)</f>
        <v>940E37D-J</v>
      </c>
      <c r="C12379" s="17"/>
      <c r="D12379" s="184"/>
      <c r="E12379" s="197"/>
      <c r="F12379" s="19"/>
      <c r="G12379" s="20"/>
      <c r="H12379" s="217"/>
    </row>
    <row r="12380" spans="1:8" ht="15">
      <c r="A12380" s="211" t="s">
        <v>494</v>
      </c>
      <c r="B12380" s="216" t="str">
        <f ca="1">_xlfn.CONCAT(B12368,A12380)</f>
        <v>940E37D-K</v>
      </c>
      <c r="C12380" s="17"/>
      <c r="D12380" s="184"/>
      <c r="E12380" s="197"/>
      <c r="F12380" s="19"/>
      <c r="G12380" s="20"/>
      <c r="H12380" s="217"/>
    </row>
    <row r="12381" spans="1:8" ht="15">
      <c r="A12381" s="211" t="s">
        <v>495</v>
      </c>
      <c r="B12381" s="216" t="str">
        <f ca="1">_xlfn.CONCAT(B12368,A12381)</f>
        <v>940E37D-L</v>
      </c>
      <c r="C12381" s="17"/>
      <c r="D12381" s="184"/>
      <c r="E12381" s="197"/>
      <c r="F12381" s="19"/>
      <c r="G12381" s="20"/>
      <c r="H12381" s="217"/>
    </row>
    <row r="12382" spans="1:8" ht="15">
      <c r="A12382" s="211" t="s">
        <v>496</v>
      </c>
      <c r="B12382" s="216" t="str">
        <f ca="1">_xlfn.CONCAT(B12368,A12382)</f>
        <v>940E37D-M</v>
      </c>
      <c r="C12382" s="17"/>
      <c r="D12382" s="184"/>
      <c r="E12382" s="197"/>
      <c r="F12382" s="19"/>
      <c r="G12382" s="20"/>
      <c r="H12382" s="217"/>
    </row>
    <row r="12383" spans="1:8">
      <c r="A12383" s="211" t="s">
        <v>497</v>
      </c>
      <c r="B12383" s="216" t="str">
        <f ca="1">_xlfn.CONCAT(B12368,A12383)</f>
        <v>940E37D-N</v>
      </c>
      <c r="C12383" s="17"/>
      <c r="D12383" s="184"/>
      <c r="E12383" s="197"/>
      <c r="F12383" s="19"/>
      <c r="G12383" s="20"/>
    </row>
    <row r="12384" spans="1:8">
      <c r="A12384" s="211" t="s">
        <v>498</v>
      </c>
      <c r="B12384" s="216" t="str">
        <f ca="1">_xlfn.CONCAT(B12368,A12384)</f>
        <v>940E37D-O</v>
      </c>
      <c r="C12384" s="17"/>
      <c r="D12384" s="184"/>
      <c r="E12384" s="197"/>
      <c r="F12384" s="19"/>
      <c r="G12384" s="20"/>
    </row>
    <row r="12385" spans="1:8">
      <c r="A12385" s="211" t="s">
        <v>499</v>
      </c>
      <c r="B12385" s="216" t="str">
        <f ca="1">_xlfn.CONCAT(B12368,A12385)</f>
        <v>940E37D-P</v>
      </c>
      <c r="C12385" s="17"/>
      <c r="D12385" s="184"/>
      <c r="E12385" s="197"/>
      <c r="F12385" s="19"/>
      <c r="G12385" s="20"/>
    </row>
    <row r="12386" spans="1:8">
      <c r="A12386" s="211" t="s">
        <v>500</v>
      </c>
      <c r="B12386" s="216" t="str">
        <f ca="1">_xlfn.CONCAT(B12368,A12386)</f>
        <v>940E37D-Q</v>
      </c>
      <c r="C12386" s="17"/>
      <c r="D12386" s="184"/>
      <c r="E12386" s="197"/>
      <c r="F12386" s="19"/>
      <c r="G12386" s="20"/>
    </row>
    <row r="12387" spans="1:8">
      <c r="A12387" s="211" t="s">
        <v>501</v>
      </c>
      <c r="B12387" s="216" t="str">
        <f ca="1">_xlfn.CONCAT(B12368,A12387)</f>
        <v>940E37D-R</v>
      </c>
      <c r="C12387" s="17"/>
      <c r="D12387" s="184"/>
      <c r="E12387" s="197"/>
      <c r="F12387" s="19"/>
      <c r="G12387" s="20"/>
    </row>
    <row r="12388" spans="1:8">
      <c r="A12388" s="211" t="s">
        <v>502</v>
      </c>
      <c r="B12388" s="216" t="str">
        <f ca="1">_xlfn.CONCAT(B12368,A12388)</f>
        <v>940E37D-S</v>
      </c>
      <c r="C12388" s="17"/>
      <c r="D12388" s="184"/>
      <c r="E12388" s="197"/>
      <c r="F12388" s="19"/>
      <c r="G12388" s="20"/>
    </row>
    <row r="12389" spans="1:8">
      <c r="A12389" s="211" t="s">
        <v>503</v>
      </c>
      <c r="B12389" s="216" t="str">
        <f ca="1">_xlfn.CONCAT(B12368,A12389)</f>
        <v>940E37D-T</v>
      </c>
      <c r="C12389" s="17"/>
      <c r="D12389" s="184"/>
      <c r="E12389" s="197"/>
      <c r="F12389" s="19"/>
      <c r="G12389" s="20"/>
    </row>
    <row r="12390" spans="1:8" ht="14.25" thickBot="1">
      <c r="A12390" s="211" t="s">
        <v>504</v>
      </c>
      <c r="B12390" s="216" t="str">
        <f ca="1">_xlfn.CONCAT(B12368,A12390)</f>
        <v>940E37D-U</v>
      </c>
      <c r="C12390" s="17"/>
      <c r="D12390" s="184"/>
      <c r="E12390" s="197"/>
      <c r="F12390" s="19"/>
      <c r="G12390" s="20"/>
    </row>
    <row r="12391" spans="1:8" ht="14.25" thickBot="1">
      <c r="A12391" s="211" t="s">
        <v>505</v>
      </c>
      <c r="B12391" s="216" t="str">
        <f ca="1">_xlfn.CONCAT(B12368,A12391)</f>
        <v>940E37D-V</v>
      </c>
      <c r="C12391" s="17" t="s">
        <v>17</v>
      </c>
      <c r="D12391" s="192" t="s">
        <v>17</v>
      </c>
      <c r="E12391" s="18"/>
      <c r="F12391" s="22" t="s">
        <v>18</v>
      </c>
      <c r="G12391" s="23">
        <f>SUM(G12370:G12390)</f>
        <v>33990</v>
      </c>
    </row>
    <row r="12392" spans="1:8" ht="15.75" thickBot="1">
      <c r="A12392" s="211" t="s">
        <v>506</v>
      </c>
      <c r="B12392" s="216" t="str">
        <f ca="1">_xlfn.CONCAT(B12368,A12392)</f>
        <v>940E37D-W</v>
      </c>
      <c r="C12392" s="10" t="s">
        <v>19</v>
      </c>
      <c r="D12392" s="190"/>
      <c r="E12392" s="11"/>
      <c r="F12392" s="12"/>
      <c r="G12392" s="13"/>
    </row>
    <row r="12393" spans="1:8" ht="14.25" thickBot="1">
      <c r="A12393" s="211" t="s">
        <v>507</v>
      </c>
      <c r="B12393" s="216" t="str">
        <f ca="1">_xlfn.CONCAT(B12368,A12393)</f>
        <v>940E37D-X</v>
      </c>
      <c r="C12393" s="14" t="s">
        <v>1</v>
      </c>
      <c r="D12393" s="15"/>
      <c r="E12393" s="15" t="s">
        <v>20</v>
      </c>
      <c r="F12393" s="16" t="s">
        <v>21</v>
      </c>
      <c r="G12393" s="15" t="s">
        <v>5</v>
      </c>
      <c r="H12393" s="215"/>
    </row>
    <row r="12394" spans="1:8">
      <c r="A12394" s="211" t="s">
        <v>508</v>
      </c>
      <c r="B12394" s="216" t="str">
        <f ca="1">_xlfn.CONCAT(B12368,A12394)</f>
        <v>940E37D-Y</v>
      </c>
      <c r="C12394" s="24" t="s">
        <v>22</v>
      </c>
      <c r="D12394" s="184"/>
      <c r="E12394" s="25">
        <f>_xlfn.XLOOKUP(C12394,'H-MO'!B$7:B$30,'H-MO'!D$7:D$30,,0,1)</f>
        <v>2436.5624999999995</v>
      </c>
      <c r="F12394" s="19">
        <v>0.04</v>
      </c>
      <c r="G12394" s="33">
        <f t="shared" ref="G12394:G12399" si="360">+E12394*F12394</f>
        <v>97.462499999999977</v>
      </c>
    </row>
    <row r="12395" spans="1:8">
      <c r="A12395" s="211" t="s">
        <v>509</v>
      </c>
      <c r="B12395" s="216" t="str">
        <f ca="1">_xlfn.CONCAT(B12368,A12395)</f>
        <v>940E37D-Z</v>
      </c>
      <c r="C12395" s="24" t="s">
        <v>23</v>
      </c>
      <c r="D12395" s="184"/>
      <c r="E12395" s="25">
        <f>_xlfn.XLOOKUP(C12395,'H-MO'!B$7:B$30,'H-MO'!D$7:D$30,,0,1)</f>
        <v>1461.9374999999998</v>
      </c>
      <c r="F12395" s="19">
        <v>0.03</v>
      </c>
      <c r="G12395" s="33">
        <f t="shared" si="360"/>
        <v>43.858124999999994</v>
      </c>
    </row>
    <row r="12396" spans="1:8">
      <c r="A12396" s="211" t="s">
        <v>510</v>
      </c>
      <c r="B12396" s="216" t="str">
        <f ca="1">_xlfn.CONCAT(B12368,A12396)</f>
        <v>940E37D-aa</v>
      </c>
      <c r="C12396" s="24" t="s">
        <v>24</v>
      </c>
      <c r="D12396" s="185"/>
      <c r="E12396" s="25">
        <f>_xlfn.XLOOKUP(C12396,'H-MO'!B$7:B$30,'H-MO'!D$7:D$30,,0,1)</f>
        <v>29238.749999999996</v>
      </c>
      <c r="F12396" s="28">
        <v>7.0000000000000001E-3</v>
      </c>
      <c r="G12396" s="33">
        <f t="shared" si="360"/>
        <v>204.67124999999999</v>
      </c>
    </row>
    <row r="12397" spans="1:8">
      <c r="A12397" s="211" t="s">
        <v>511</v>
      </c>
      <c r="B12397" s="216" t="str">
        <f ca="1">_xlfn.CONCAT(B12368,A12397)</f>
        <v>940E37D-ab</v>
      </c>
      <c r="C12397" s="24" t="s">
        <v>25</v>
      </c>
      <c r="D12397" s="185"/>
      <c r="E12397" s="25">
        <f>_xlfn.XLOOKUP(C12397,'H-MO'!B$7:B$30,'H-MO'!D$7:D$30,,0,1)</f>
        <v>2761.4374999999995</v>
      </c>
      <c r="F12397" s="28">
        <v>0.1</v>
      </c>
      <c r="G12397" s="33">
        <f t="shared" si="360"/>
        <v>276.14374999999995</v>
      </c>
    </row>
    <row r="12398" spans="1:8">
      <c r="A12398" s="211" t="s">
        <v>512</v>
      </c>
      <c r="B12398" s="216" t="str">
        <f ca="1">_xlfn.CONCAT(B12368,A12398)</f>
        <v>940E37D-ac</v>
      </c>
      <c r="C12398" s="24"/>
      <c r="D12398" s="185"/>
      <c r="E12398" s="29"/>
      <c r="F12398" s="28"/>
      <c r="G12398" s="33">
        <f t="shared" si="360"/>
        <v>0</v>
      </c>
    </row>
    <row r="12399" spans="1:8" ht="14.25" thickBot="1">
      <c r="A12399" s="211" t="s">
        <v>513</v>
      </c>
      <c r="B12399" s="216" t="str">
        <f ca="1">_xlfn.CONCAT(B12368,A12399)</f>
        <v>940E37D-ad</v>
      </c>
      <c r="C12399" s="24"/>
      <c r="D12399" s="185"/>
      <c r="E12399" s="29"/>
      <c r="F12399" s="28"/>
      <c r="G12399" s="33">
        <f t="shared" si="360"/>
        <v>0</v>
      </c>
    </row>
    <row r="12400" spans="1:8" ht="14.25" thickBot="1">
      <c r="A12400" s="211" t="s">
        <v>514</v>
      </c>
      <c r="B12400" s="216" t="str">
        <f ca="1">_xlfn.CONCAT(B12368,A12400)</f>
        <v>940E37D-ae</v>
      </c>
      <c r="C12400" s="17"/>
      <c r="D12400" s="192"/>
      <c r="E12400" s="18"/>
      <c r="F12400" s="22" t="s">
        <v>26</v>
      </c>
      <c r="G12400" s="23">
        <f>SUM(G12394:G12399)</f>
        <v>622.13562499999989</v>
      </c>
    </row>
    <row r="12401" spans="1:8" ht="15.75" thickBot="1">
      <c r="A12401" s="211" t="s">
        <v>515</v>
      </c>
      <c r="B12401" s="216" t="str">
        <f ca="1">_xlfn.CONCAT(B12368,A12401)</f>
        <v>940E37D-af</v>
      </c>
      <c r="C12401" s="10" t="s">
        <v>27</v>
      </c>
      <c r="D12401" s="190"/>
      <c r="E12401" s="11"/>
      <c r="F12401" s="12"/>
      <c r="G12401" s="13"/>
    </row>
    <row r="12402" spans="1:8" ht="14.25" thickBot="1">
      <c r="A12402" s="211" t="s">
        <v>516</v>
      </c>
      <c r="B12402" s="216" t="str">
        <f ca="1">_xlfn.CONCAT(B12368,A12402)</f>
        <v>940E37D-ag</v>
      </c>
      <c r="C12402" s="14" t="s">
        <v>1</v>
      </c>
      <c r="D12402" s="15" t="s">
        <v>28</v>
      </c>
      <c r="E12402" s="15" t="s">
        <v>20</v>
      </c>
      <c r="F12402" s="16" t="s">
        <v>21</v>
      </c>
      <c r="G12402" s="15" t="s">
        <v>5</v>
      </c>
      <c r="H12402" s="215"/>
    </row>
    <row r="12403" spans="1:8">
      <c r="A12403" s="211" t="s">
        <v>517</v>
      </c>
      <c r="B12403" s="216" t="str">
        <f ca="1">_xlfn.CONCAT(B12368,A12403)</f>
        <v>940E37D-ah</v>
      </c>
      <c r="C12403" s="30" t="s">
        <v>29</v>
      </c>
      <c r="D12403" s="186">
        <f>'H-MO'!$N$77</f>
        <v>725918.52892505517</v>
      </c>
      <c r="E12403" s="31">
        <f>+D12403/8</f>
        <v>90739.816115631897</v>
      </c>
      <c r="F12403" s="32">
        <v>0.09</v>
      </c>
      <c r="G12403" s="33">
        <f>+E12403*F12403</f>
        <v>8166.5834504068707</v>
      </c>
    </row>
    <row r="12404" spans="1:8">
      <c r="A12404" s="211" t="s">
        <v>518</v>
      </c>
      <c r="B12404" s="216" t="str">
        <f ca="1">_xlfn.CONCAT(B12368,A12404)</f>
        <v>940E37D-ai</v>
      </c>
      <c r="C12404" s="34" t="s">
        <v>30</v>
      </c>
      <c r="D12404" s="187">
        <f>'H-MO'!$N$86</f>
        <v>685561.39085756091</v>
      </c>
      <c r="E12404" s="29">
        <f>+D12404/8</f>
        <v>85695.173857195114</v>
      </c>
      <c r="F12404" s="28">
        <v>0</v>
      </c>
      <c r="G12404" s="33">
        <f>+E12404*F12404</f>
        <v>0</v>
      </c>
    </row>
    <row r="12405" spans="1:8" ht="14.25" thickBot="1">
      <c r="A12405" s="211" t="s">
        <v>519</v>
      </c>
      <c r="B12405" s="216" t="str">
        <f ca="1">_xlfn.CONCAT(B12368,A12405)</f>
        <v>940E37D-aj</v>
      </c>
      <c r="C12405" s="34"/>
      <c r="D12405" s="187"/>
      <c r="E12405" s="29"/>
      <c r="F12405" s="28"/>
      <c r="G12405" s="33">
        <f>+E12405*F12405</f>
        <v>0</v>
      </c>
    </row>
    <row r="12406" spans="1:8" ht="14.25" thickBot="1">
      <c r="A12406" s="211" t="s">
        <v>520</v>
      </c>
      <c r="B12406" s="216" t="str">
        <f ca="1">_xlfn.CONCAT(B12368,A12406)</f>
        <v>940E37D-ak</v>
      </c>
      <c r="C12406" s="34"/>
      <c r="D12406" s="185"/>
      <c r="E12406" s="26"/>
      <c r="F12406" s="36" t="s">
        <v>31</v>
      </c>
      <c r="G12406" s="23">
        <f>SUM(G12403:G12405)</f>
        <v>8166.5834504068707</v>
      </c>
    </row>
    <row r="12407" spans="1:8" ht="14.25" thickBot="1">
      <c r="A12407" s="211" t="s">
        <v>521</v>
      </c>
      <c r="B12407" s="216" t="str">
        <f ca="1">_xlfn.CONCAT(B12368,A12407)</f>
        <v>940E37D-al</v>
      </c>
      <c r="C12407" s="37"/>
      <c r="E12407" s="38"/>
      <c r="F12407" s="22"/>
      <c r="G12407" s="39"/>
    </row>
    <row r="12408" spans="1:8" ht="16.5" thickBot="1">
      <c r="A12408" s="211" t="s">
        <v>522</v>
      </c>
      <c r="B12408" s="216" t="str">
        <f ca="1">_xlfn.CONCAT(B12368,A12408)</f>
        <v>940E37D-am</v>
      </c>
      <c r="C12408" s="40"/>
      <c r="D12408" s="193"/>
      <c r="E12408" s="41"/>
      <c r="F12408" s="42"/>
      <c r="G12408" s="43">
        <f>+G12391+G12400+G12406</f>
        <v>42778.719075406872</v>
      </c>
    </row>
    <row r="12409" spans="1:8" ht="21.75" thickBot="1">
      <c r="B12409" s="212" t="s">
        <v>550</v>
      </c>
      <c r="C12409" s="2"/>
      <c r="D12409" s="183"/>
      <c r="F12409" s="4"/>
      <c r="G12409" s="5"/>
    </row>
    <row r="12410" spans="1:8" ht="18.75">
      <c r="A12410" s="213"/>
      <c r="B12410" s="214">
        <v>282</v>
      </c>
      <c r="C12410" s="242" t="str">
        <f ca="1">_xlfn.XLOOKUP(B12410,Cantidades!$A$10:$A$314,Cantidades!$C$10:$C$314,,0,1)</f>
        <v>Suministro e instalacion de acometida en 3x6 + 1x6 Cu.</v>
      </c>
      <c r="D12410" s="243"/>
      <c r="E12410" s="243"/>
      <c r="F12410" s="243"/>
      <c r="G12410" s="244"/>
    </row>
    <row r="12411" spans="1:8" ht="19.5" thickBot="1">
      <c r="A12411" s="215"/>
      <c r="B12411" s="216" t="s">
        <v>550</v>
      </c>
      <c r="C12411" s="177"/>
      <c r="D12411" s="189"/>
      <c r="E12411" s="178"/>
      <c r="F12411" s="179" t="s">
        <v>636</v>
      </c>
      <c r="G12411" s="209" t="str">
        <f ca="1">B12412</f>
        <v>2245B70A-</v>
      </c>
    </row>
    <row r="12412" spans="1:8" ht="15.75" thickBot="1">
      <c r="B12412" s="212" t="str">
        <f ca="1">_xlfn.XLOOKUP(C12410,Cantidades!$C$1:$C$314,Cantidades!$B$1:$B$314,"",0,1)</f>
        <v>2245B70A-</v>
      </c>
      <c r="C12412" s="10" t="s">
        <v>0</v>
      </c>
      <c r="D12412" s="190"/>
      <c r="E12412" s="11"/>
      <c r="F12412" s="12"/>
      <c r="G12412" s="13"/>
    </row>
    <row r="12413" spans="1:8" ht="14.25" thickBot="1">
      <c r="A12413" s="215"/>
      <c r="B12413" s="216" t="s">
        <v>550</v>
      </c>
      <c r="C12413" s="14" t="s">
        <v>1</v>
      </c>
      <c r="D12413" s="15" t="s">
        <v>2</v>
      </c>
      <c r="E12413" s="15" t="s">
        <v>3</v>
      </c>
      <c r="F12413" s="16" t="s">
        <v>4</v>
      </c>
      <c r="G12413" s="15" t="s">
        <v>5</v>
      </c>
    </row>
    <row r="12414" spans="1:8">
      <c r="A12414" s="211" t="s">
        <v>484</v>
      </c>
      <c r="B12414" s="216" t="str">
        <f ca="1">_xlfn.CONCAT(B12412,A12414)</f>
        <v>2245B70A-A</v>
      </c>
      <c r="C12414" s="17" t="str">
        <f>_xlfn.XLOOKUP(H12414,'Materiales unitario'!$A$1:$A$2500,'Materiales unitario'!B$1:B$2500,,0,1)</f>
        <v>Cable de cobre aislado #6 AWG-THHN/THWN Color negro</v>
      </c>
      <c r="D12414" s="184" t="str">
        <f>_xlfn.XLOOKUP(H12414,'Materiales unitario'!A$1:A$2500,'Materiales unitario'!C$1:C$2500,,0,1)</f>
        <v>ml</v>
      </c>
      <c r="E12414" s="197">
        <f>_xlfn.XLOOKUP(H12414,'Materiales unitario'!$A$1:$A$2500,'Materiales unitario'!D$1:D$2500,,0,1)</f>
        <v>10300</v>
      </c>
      <c r="F12414" s="19">
        <v>4.2</v>
      </c>
      <c r="G12414" s="20">
        <f>+E12414*F12414</f>
        <v>43260</v>
      </c>
      <c r="H12414" s="211" t="s">
        <v>273</v>
      </c>
    </row>
    <row r="12415" spans="1:8">
      <c r="A12415" s="211" t="s">
        <v>485</v>
      </c>
      <c r="B12415" s="216" t="str">
        <f ca="1">_xlfn.CONCAT(B12412,A12415)</f>
        <v>2245B70A-B</v>
      </c>
      <c r="C12415" s="17" t="str">
        <f>_xlfn.XLOOKUP(H12415,'Materiales unitario'!$A$1:$A$2500,'Materiales unitario'!B$1:B$2500,,0,1)</f>
        <v>Borna terminal estañada de ojo tipo pala #6 AWG</v>
      </c>
      <c r="D12415" s="184" t="str">
        <f>_xlfn.XLOOKUP(H12415,'Materiales unitario'!A$1:A$2500,'Materiales unitario'!C$1:C$2500,,0,1)</f>
        <v>un</v>
      </c>
      <c r="E12415" s="197">
        <f>_xlfn.XLOOKUP(H12415,'Materiales unitario'!$A$1:$A$2500,'Materiales unitario'!D$1:D$2500,,0,1)</f>
        <v>1800</v>
      </c>
      <c r="F12415" s="19">
        <v>1</v>
      </c>
      <c r="G12415" s="20">
        <f>+E12415*F12415</f>
        <v>1800</v>
      </c>
      <c r="H12415" s="211" t="s">
        <v>254</v>
      </c>
    </row>
    <row r="12416" spans="1:8">
      <c r="A12416" s="211" t="s">
        <v>486</v>
      </c>
      <c r="B12416" s="216" t="str">
        <f ca="1">_xlfn.CONCAT(B12412,A12416)</f>
        <v>2245B70A-C</v>
      </c>
      <c r="C12416" s="17" t="str">
        <f>_xlfn.XLOOKUP(H12416,'Materiales unitario'!$A$1:$A$2500,'Materiales unitario'!B$1:B$2500,,0,1)</f>
        <v>Termoencogible</v>
      </c>
      <c r="D12416" s="184" t="str">
        <f>_xlfn.XLOOKUP(H12416,'Materiales unitario'!A$1:A$2500,'Materiales unitario'!C$1:C$2500,,0,1)</f>
        <v>un</v>
      </c>
      <c r="E12416" s="197">
        <f>_xlfn.XLOOKUP(H12416,'Materiales unitario'!$A$1:$A$2500,'Materiales unitario'!D$1:D$2500,,0,1)</f>
        <v>5000</v>
      </c>
      <c r="F12416" s="19">
        <v>0.1</v>
      </c>
      <c r="G12416" s="20">
        <f>+E12416*F12416</f>
        <v>500</v>
      </c>
      <c r="H12416" s="211" t="s">
        <v>373</v>
      </c>
    </row>
    <row r="12417" spans="1:8">
      <c r="A12417" s="211" t="s">
        <v>487</v>
      </c>
      <c r="B12417" s="216" t="str">
        <f ca="1">_xlfn.CONCAT(B12412,A12417)</f>
        <v>2245B70A-D</v>
      </c>
      <c r="C12417" s="17"/>
      <c r="D12417" s="184"/>
      <c r="E12417" s="197"/>
      <c r="F12417" s="19"/>
      <c r="G12417" s="20"/>
    </row>
    <row r="12418" spans="1:8" ht="15">
      <c r="A12418" s="211" t="s">
        <v>488</v>
      </c>
      <c r="B12418" s="216" t="str">
        <f ca="1">_xlfn.CONCAT(B12412,A12418)</f>
        <v>2245B70A-E</v>
      </c>
      <c r="C12418" s="17"/>
      <c r="D12418" s="184"/>
      <c r="E12418" s="197"/>
      <c r="F12418" s="19"/>
      <c r="G12418" s="20"/>
      <c r="H12418" s="217"/>
    </row>
    <row r="12419" spans="1:8" ht="15">
      <c r="A12419" s="211" t="s">
        <v>489</v>
      </c>
      <c r="B12419" s="216" t="str">
        <f ca="1">_xlfn.CONCAT(B12412,A12419)</f>
        <v>2245B70A-F</v>
      </c>
      <c r="C12419" s="17"/>
      <c r="D12419" s="184"/>
      <c r="E12419" s="197"/>
      <c r="F12419" s="19"/>
      <c r="G12419" s="20"/>
      <c r="H12419" s="217"/>
    </row>
    <row r="12420" spans="1:8" ht="15">
      <c r="A12420" s="211" t="s">
        <v>490</v>
      </c>
      <c r="B12420" s="216" t="str">
        <f ca="1">_xlfn.CONCAT(B12412,A12420)</f>
        <v>2245B70A-G</v>
      </c>
      <c r="C12420" s="17"/>
      <c r="D12420" s="184"/>
      <c r="E12420" s="197"/>
      <c r="F12420" s="19"/>
      <c r="G12420" s="20"/>
      <c r="H12420" s="217"/>
    </row>
    <row r="12421" spans="1:8" ht="15">
      <c r="A12421" s="211" t="s">
        <v>491</v>
      </c>
      <c r="B12421" s="216" t="str">
        <f ca="1">_xlfn.CONCAT(B12412,A12421)</f>
        <v>2245B70A-H</v>
      </c>
      <c r="C12421" s="17"/>
      <c r="D12421" s="184"/>
      <c r="E12421" s="197"/>
      <c r="F12421" s="19"/>
      <c r="G12421" s="20"/>
      <c r="H12421" s="217"/>
    </row>
    <row r="12422" spans="1:8" ht="15">
      <c r="A12422" s="211" t="s">
        <v>492</v>
      </c>
      <c r="B12422" s="216" t="str">
        <f ca="1">_xlfn.CONCAT(B12412,A12422)</f>
        <v>2245B70A-I</v>
      </c>
      <c r="C12422" s="17"/>
      <c r="D12422" s="184"/>
      <c r="E12422" s="197"/>
      <c r="F12422" s="19"/>
      <c r="G12422" s="20"/>
      <c r="H12422" s="217"/>
    </row>
    <row r="12423" spans="1:8" ht="15">
      <c r="A12423" s="211" t="s">
        <v>493</v>
      </c>
      <c r="B12423" s="216" t="str">
        <f ca="1">_xlfn.CONCAT(B12412,A12423)</f>
        <v>2245B70A-J</v>
      </c>
      <c r="C12423" s="17"/>
      <c r="D12423" s="184"/>
      <c r="E12423" s="197"/>
      <c r="F12423" s="19"/>
      <c r="G12423" s="20"/>
      <c r="H12423" s="217"/>
    </row>
    <row r="12424" spans="1:8" ht="15">
      <c r="A12424" s="211" t="s">
        <v>494</v>
      </c>
      <c r="B12424" s="216" t="str">
        <f ca="1">_xlfn.CONCAT(B12412,A12424)</f>
        <v>2245B70A-K</v>
      </c>
      <c r="C12424" s="17"/>
      <c r="D12424" s="184"/>
      <c r="E12424" s="197"/>
      <c r="F12424" s="19"/>
      <c r="G12424" s="20"/>
      <c r="H12424" s="217"/>
    </row>
    <row r="12425" spans="1:8" ht="15">
      <c r="A12425" s="211" t="s">
        <v>495</v>
      </c>
      <c r="B12425" s="216" t="str">
        <f ca="1">_xlfn.CONCAT(B12412,A12425)</f>
        <v>2245B70A-L</v>
      </c>
      <c r="C12425" s="17"/>
      <c r="D12425" s="184"/>
      <c r="E12425" s="197"/>
      <c r="F12425" s="19"/>
      <c r="G12425" s="20"/>
      <c r="H12425" s="217"/>
    </row>
    <row r="12426" spans="1:8" ht="15">
      <c r="A12426" s="211" t="s">
        <v>496</v>
      </c>
      <c r="B12426" s="216" t="str">
        <f ca="1">_xlfn.CONCAT(B12412,A12426)</f>
        <v>2245B70A-M</v>
      </c>
      <c r="C12426" s="17"/>
      <c r="D12426" s="184"/>
      <c r="E12426" s="197"/>
      <c r="F12426" s="19"/>
      <c r="G12426" s="20"/>
      <c r="H12426" s="217"/>
    </row>
    <row r="12427" spans="1:8" ht="15">
      <c r="A12427" s="211" t="s">
        <v>497</v>
      </c>
      <c r="B12427" s="216" t="str">
        <f ca="1">_xlfn.CONCAT(B12412,A12427)</f>
        <v>2245B70A-N</v>
      </c>
      <c r="C12427" s="17"/>
      <c r="D12427" s="184"/>
      <c r="E12427" s="197"/>
      <c r="F12427" s="19"/>
      <c r="G12427" s="20"/>
      <c r="H12427" s="217"/>
    </row>
    <row r="12428" spans="1:8">
      <c r="A12428" s="211" t="s">
        <v>498</v>
      </c>
      <c r="B12428" s="216" t="str">
        <f ca="1">_xlfn.CONCAT(B12412,A12428)</f>
        <v>2245B70A-O</v>
      </c>
      <c r="C12428" s="17"/>
      <c r="D12428" s="184"/>
      <c r="E12428" s="197"/>
      <c r="F12428" s="19"/>
      <c r="G12428" s="20"/>
    </row>
    <row r="12429" spans="1:8">
      <c r="A12429" s="211" t="s">
        <v>499</v>
      </c>
      <c r="B12429" s="216" t="str">
        <f ca="1">_xlfn.CONCAT(B12412,A12429)</f>
        <v>2245B70A-P</v>
      </c>
      <c r="C12429" s="17"/>
      <c r="D12429" s="184"/>
      <c r="E12429" s="197"/>
      <c r="F12429" s="19"/>
      <c r="G12429" s="20"/>
    </row>
    <row r="12430" spans="1:8">
      <c r="A12430" s="211" t="s">
        <v>500</v>
      </c>
      <c r="B12430" s="216" t="str">
        <f ca="1">_xlfn.CONCAT(B12412,A12430)</f>
        <v>2245B70A-Q</v>
      </c>
      <c r="C12430" s="17"/>
      <c r="D12430" s="184"/>
      <c r="E12430" s="197"/>
      <c r="F12430" s="19"/>
      <c r="G12430" s="20"/>
    </row>
    <row r="12431" spans="1:8">
      <c r="A12431" s="211" t="s">
        <v>501</v>
      </c>
      <c r="B12431" s="216" t="str">
        <f ca="1">_xlfn.CONCAT(B12412,A12431)</f>
        <v>2245B70A-R</v>
      </c>
      <c r="C12431" s="17"/>
      <c r="D12431" s="184"/>
      <c r="E12431" s="197"/>
      <c r="F12431" s="19"/>
      <c r="G12431" s="20"/>
    </row>
    <row r="12432" spans="1:8">
      <c r="A12432" s="211" t="s">
        <v>502</v>
      </c>
      <c r="B12432" s="216" t="str">
        <f ca="1">_xlfn.CONCAT(B12412,A12432)</f>
        <v>2245B70A-S</v>
      </c>
      <c r="C12432" s="17"/>
      <c r="D12432" s="184"/>
      <c r="E12432" s="197"/>
      <c r="F12432" s="19"/>
      <c r="G12432" s="20"/>
    </row>
    <row r="12433" spans="1:8">
      <c r="A12433" s="211" t="s">
        <v>503</v>
      </c>
      <c r="B12433" s="216" t="str">
        <f ca="1">_xlfn.CONCAT(B12412,A12433)</f>
        <v>2245B70A-T</v>
      </c>
      <c r="C12433" s="17"/>
      <c r="D12433" s="184"/>
      <c r="E12433" s="197"/>
      <c r="F12433" s="19"/>
      <c r="G12433" s="20"/>
    </row>
    <row r="12434" spans="1:8" ht="14.25" thickBot="1">
      <c r="A12434" s="211" t="s">
        <v>504</v>
      </c>
      <c r="B12434" s="216" t="str">
        <f ca="1">_xlfn.CONCAT(B12412,A12434)</f>
        <v>2245B70A-U</v>
      </c>
      <c r="C12434" s="17"/>
      <c r="D12434" s="184"/>
      <c r="E12434" s="197"/>
      <c r="F12434" s="19"/>
      <c r="G12434" s="20"/>
    </row>
    <row r="12435" spans="1:8" ht="14.25" thickBot="1">
      <c r="A12435" s="211" t="s">
        <v>505</v>
      </c>
      <c r="B12435" s="216" t="str">
        <f ca="1">_xlfn.CONCAT(B12412,A12435)</f>
        <v>2245B70A-V</v>
      </c>
      <c r="C12435" s="17" t="s">
        <v>17</v>
      </c>
      <c r="D12435" s="192" t="s">
        <v>17</v>
      </c>
      <c r="E12435" s="18"/>
      <c r="F12435" s="22" t="s">
        <v>18</v>
      </c>
      <c r="G12435" s="23">
        <f>SUM(G12414:G12434)</f>
        <v>45560</v>
      </c>
    </row>
    <row r="12436" spans="1:8" ht="15.75" thickBot="1">
      <c r="A12436" s="211" t="s">
        <v>506</v>
      </c>
      <c r="B12436" s="216" t="str">
        <f ca="1">_xlfn.CONCAT(B12412,A12436)</f>
        <v>2245B70A-W</v>
      </c>
      <c r="C12436" s="10" t="s">
        <v>19</v>
      </c>
      <c r="D12436" s="190"/>
      <c r="E12436" s="11"/>
      <c r="F12436" s="12"/>
      <c r="G12436" s="13"/>
    </row>
    <row r="12437" spans="1:8" ht="14.25" thickBot="1">
      <c r="A12437" s="211" t="s">
        <v>507</v>
      </c>
      <c r="B12437" s="216" t="str">
        <f ca="1">_xlfn.CONCAT(B12412,A12437)</f>
        <v>2245B70A-X</v>
      </c>
      <c r="C12437" s="14" t="s">
        <v>1</v>
      </c>
      <c r="D12437" s="15"/>
      <c r="E12437" s="15" t="s">
        <v>20</v>
      </c>
      <c r="F12437" s="16" t="s">
        <v>21</v>
      </c>
      <c r="G12437" s="15" t="s">
        <v>5</v>
      </c>
    </row>
    <row r="12438" spans="1:8">
      <c r="A12438" s="211" t="s">
        <v>508</v>
      </c>
      <c r="B12438" s="216" t="str">
        <f ca="1">_xlfn.CONCAT(B12412,A12438)</f>
        <v>2245B70A-Y</v>
      </c>
      <c r="C12438" s="24" t="s">
        <v>22</v>
      </c>
      <c r="D12438" s="184"/>
      <c r="E12438" s="25">
        <f>_xlfn.XLOOKUP(C12438,'H-MO'!B$7:B$30,'H-MO'!D$7:D$30,,0,1)</f>
        <v>2436.5624999999995</v>
      </c>
      <c r="F12438" s="19">
        <v>0.14000000000000001</v>
      </c>
      <c r="G12438" s="33">
        <f t="shared" ref="G12438:G12443" si="361">+E12438*F12438</f>
        <v>341.11874999999998</v>
      </c>
      <c r="H12438" s="234"/>
    </row>
    <row r="12439" spans="1:8">
      <c r="A12439" s="211" t="s">
        <v>509</v>
      </c>
      <c r="B12439" s="216" t="str">
        <f ca="1">_xlfn.CONCAT(B12412,A12439)</f>
        <v>2245B70A-Z</v>
      </c>
      <c r="C12439" s="24" t="s">
        <v>23</v>
      </c>
      <c r="D12439" s="184"/>
      <c r="E12439" s="25">
        <f>_xlfn.XLOOKUP(C12439,'H-MO'!B$7:B$30,'H-MO'!D$7:D$30,,0,1)</f>
        <v>1461.9374999999998</v>
      </c>
      <c r="F12439" s="19">
        <v>0.03</v>
      </c>
      <c r="G12439" s="33">
        <f t="shared" si="361"/>
        <v>43.858124999999994</v>
      </c>
      <c r="H12439" s="234"/>
    </row>
    <row r="12440" spans="1:8">
      <c r="A12440" s="211" t="s">
        <v>510</v>
      </c>
      <c r="B12440" s="216" t="str">
        <f ca="1">_xlfn.CONCAT(B12412,A12440)</f>
        <v>2245B70A-aa</v>
      </c>
      <c r="C12440" s="24" t="s">
        <v>24</v>
      </c>
      <c r="D12440" s="185"/>
      <c r="E12440" s="25">
        <f>_xlfn.XLOOKUP(C12440,'H-MO'!B$7:B$30,'H-MO'!D$7:D$30,,0,1)</f>
        <v>29238.749999999996</v>
      </c>
      <c r="F12440" s="28">
        <v>0.03</v>
      </c>
      <c r="G12440" s="33">
        <f t="shared" si="361"/>
        <v>877.16249999999991</v>
      </c>
      <c r="H12440" s="234"/>
    </row>
    <row r="12441" spans="1:8">
      <c r="A12441" s="211" t="s">
        <v>511</v>
      </c>
      <c r="B12441" s="216" t="str">
        <f ca="1">_xlfn.CONCAT(B12412,A12441)</f>
        <v>2245B70A-ab</v>
      </c>
      <c r="C12441" s="24" t="s">
        <v>25</v>
      </c>
      <c r="D12441" s="185"/>
      <c r="E12441" s="25">
        <f>_xlfn.XLOOKUP(C12441,'H-MO'!B$7:B$30,'H-MO'!D$7:D$30,,0,1)</f>
        <v>2761.4374999999995</v>
      </c>
      <c r="F12441" s="28">
        <v>0.1</v>
      </c>
      <c r="G12441" s="33">
        <f t="shared" si="361"/>
        <v>276.14374999999995</v>
      </c>
      <c r="H12441" s="234"/>
    </row>
    <row r="12442" spans="1:8">
      <c r="A12442" s="211" t="s">
        <v>512</v>
      </c>
      <c r="B12442" s="216" t="str">
        <f ca="1">_xlfn.CONCAT(B12412,A12442)</f>
        <v>2245B70A-ac</v>
      </c>
      <c r="C12442" s="24"/>
      <c r="D12442" s="185"/>
      <c r="E12442" s="29"/>
      <c r="F12442" s="28"/>
      <c r="G12442" s="33">
        <f t="shared" si="361"/>
        <v>0</v>
      </c>
      <c r="H12442" s="234"/>
    </row>
    <row r="12443" spans="1:8" ht="14.25" thickBot="1">
      <c r="A12443" s="211" t="s">
        <v>513</v>
      </c>
      <c r="B12443" s="216" t="str">
        <f ca="1">_xlfn.CONCAT(B12412,A12443)</f>
        <v>2245B70A-ad</v>
      </c>
      <c r="C12443" s="24"/>
      <c r="D12443" s="185"/>
      <c r="E12443" s="29"/>
      <c r="F12443" s="28"/>
      <c r="G12443" s="33">
        <f t="shared" si="361"/>
        <v>0</v>
      </c>
      <c r="H12443" s="234"/>
    </row>
    <row r="12444" spans="1:8" ht="14.25" thickBot="1">
      <c r="A12444" s="211" t="s">
        <v>514</v>
      </c>
      <c r="B12444" s="216" t="str">
        <f ca="1">_xlfn.CONCAT(B12412,A12444)</f>
        <v>2245B70A-ae</v>
      </c>
      <c r="C12444" s="17"/>
      <c r="D12444" s="192"/>
      <c r="E12444" s="18"/>
      <c r="F12444" s="22" t="s">
        <v>26</v>
      </c>
      <c r="G12444" s="23">
        <f>SUM(G12438:G12443)</f>
        <v>1538.2831249999997</v>
      </c>
      <c r="H12444" s="234"/>
    </row>
    <row r="12445" spans="1:8" ht="15.75" thickBot="1">
      <c r="A12445" s="211" t="s">
        <v>515</v>
      </c>
      <c r="B12445" s="216" t="str">
        <f ca="1">_xlfn.CONCAT(B12412,A12445)</f>
        <v>2245B70A-af</v>
      </c>
      <c r="C12445" s="10" t="s">
        <v>27</v>
      </c>
      <c r="D12445" s="190"/>
      <c r="E12445" s="11"/>
      <c r="F12445" s="12"/>
      <c r="G12445" s="13"/>
      <c r="H12445" s="234"/>
    </row>
    <row r="12446" spans="1:8" ht="14.25" thickBot="1">
      <c r="A12446" s="211" t="s">
        <v>516</v>
      </c>
      <c r="B12446" s="216" t="str">
        <f ca="1">_xlfn.CONCAT(B12412,A12446)</f>
        <v>2245B70A-ag</v>
      </c>
      <c r="C12446" s="14" t="s">
        <v>1</v>
      </c>
      <c r="D12446" s="15" t="s">
        <v>28</v>
      </c>
      <c r="E12446" s="15" t="s">
        <v>20</v>
      </c>
      <c r="F12446" s="16" t="s">
        <v>21</v>
      </c>
      <c r="G12446" s="15" t="s">
        <v>5</v>
      </c>
      <c r="H12446" s="234"/>
    </row>
    <row r="12447" spans="1:8">
      <c r="A12447" s="211" t="s">
        <v>517</v>
      </c>
      <c r="B12447" s="216" t="str">
        <f ca="1">_xlfn.CONCAT(B12412,A12447)</f>
        <v>2245B70A-ah</v>
      </c>
      <c r="C12447" s="30" t="s">
        <v>29</v>
      </c>
      <c r="D12447" s="186">
        <f>'H-MO'!$N$77</f>
        <v>725918.52892505517</v>
      </c>
      <c r="E12447" s="31">
        <f>+D12447/8</f>
        <v>90739.816115631897</v>
      </c>
      <c r="F12447" s="32">
        <v>0.13200000000000001</v>
      </c>
      <c r="G12447" s="33">
        <f>+E12447*F12447</f>
        <v>11977.655727263411</v>
      </c>
      <c r="H12447" s="234"/>
    </row>
    <row r="12448" spans="1:8">
      <c r="A12448" s="211" t="s">
        <v>518</v>
      </c>
      <c r="B12448" s="216" t="str">
        <f ca="1">_xlfn.CONCAT(B12412,A12448)</f>
        <v>2245B70A-ai</v>
      </c>
      <c r="C12448" s="34" t="s">
        <v>30</v>
      </c>
      <c r="D12448" s="187">
        <f>'H-MO'!$N$86</f>
        <v>685561.39085756091</v>
      </c>
      <c r="E12448" s="29">
        <f>+D12448/8</f>
        <v>85695.173857195114</v>
      </c>
      <c r="F12448" s="28">
        <v>0</v>
      </c>
      <c r="G12448" s="33">
        <f>+E12448*F12448</f>
        <v>0</v>
      </c>
      <c r="H12448" s="234"/>
    </row>
    <row r="12449" spans="1:8" ht="14.25" thickBot="1">
      <c r="A12449" s="211" t="s">
        <v>519</v>
      </c>
      <c r="B12449" s="216" t="str">
        <f ca="1">_xlfn.CONCAT(B12412,A12449)</f>
        <v>2245B70A-aj</v>
      </c>
      <c r="C12449" s="34"/>
      <c r="D12449" s="187"/>
      <c r="E12449" s="29"/>
      <c r="F12449" s="28"/>
      <c r="G12449" s="33">
        <f>+E12449*F12449</f>
        <v>0</v>
      </c>
    </row>
    <row r="12450" spans="1:8" ht="14.25" thickBot="1">
      <c r="A12450" s="211" t="s">
        <v>520</v>
      </c>
      <c r="B12450" s="216" t="str">
        <f ca="1">_xlfn.CONCAT(B12412,A12450)</f>
        <v>2245B70A-ak</v>
      </c>
      <c r="C12450" s="34"/>
      <c r="D12450" s="185"/>
      <c r="E12450" s="26"/>
      <c r="F12450" s="36" t="s">
        <v>31</v>
      </c>
      <c r="G12450" s="23">
        <f>SUM(G12447:G12449)</f>
        <v>11977.655727263411</v>
      </c>
    </row>
    <row r="12451" spans="1:8" ht="14.25" thickBot="1">
      <c r="A12451" s="211" t="s">
        <v>521</v>
      </c>
      <c r="B12451" s="216" t="str">
        <f ca="1">_xlfn.CONCAT(B12412,A12451)</f>
        <v>2245B70A-al</v>
      </c>
      <c r="C12451" s="37"/>
      <c r="E12451" s="38"/>
      <c r="F12451" s="22"/>
      <c r="G12451" s="39"/>
    </row>
    <row r="12452" spans="1:8" ht="16.5" thickBot="1">
      <c r="A12452" s="211" t="s">
        <v>522</v>
      </c>
      <c r="B12452" s="216" t="str">
        <f ca="1">_xlfn.CONCAT(B12412,A12452)</f>
        <v>2245B70A-am</v>
      </c>
      <c r="C12452" s="40"/>
      <c r="D12452" s="193"/>
      <c r="E12452" s="41"/>
      <c r="F12452" s="42"/>
      <c r="G12452" s="43">
        <f>+G12435+G12444+G12450</f>
        <v>59075.938852263411</v>
      </c>
    </row>
    <row r="12453" spans="1:8" ht="21.75" thickBot="1">
      <c r="B12453" s="212" t="s">
        <v>550</v>
      </c>
      <c r="C12453" s="2"/>
      <c r="D12453" s="183"/>
      <c r="F12453" s="4"/>
      <c r="G12453" s="5"/>
    </row>
    <row r="12454" spans="1:8" ht="18.75">
      <c r="A12454" s="213"/>
      <c r="B12454" s="214">
        <v>283</v>
      </c>
      <c r="C12454" s="242" t="str">
        <f ca="1">_xlfn.XLOOKUP(B12454,Cantidades!$A$10:$A$314,Cantidades!$C$10:$C$314,,0,1)</f>
        <v>Suministro e instalacion de acometida en 3x4 + 1x4 Cu.</v>
      </c>
      <c r="D12454" s="243"/>
      <c r="E12454" s="243"/>
      <c r="F12454" s="243"/>
      <c r="G12454" s="244"/>
    </row>
    <row r="12455" spans="1:8" ht="19.5" thickBot="1">
      <c r="A12455" s="215"/>
      <c r="B12455" s="216" t="s">
        <v>550</v>
      </c>
      <c r="C12455" s="177"/>
      <c r="D12455" s="189"/>
      <c r="E12455" s="178"/>
      <c r="F12455" s="179" t="s">
        <v>636</v>
      </c>
      <c r="G12455" s="209" t="str">
        <f ca="1">B12456</f>
        <v>D8F4183-</v>
      </c>
    </row>
    <row r="12456" spans="1:8" ht="15.75" thickBot="1">
      <c r="B12456" s="212" t="str">
        <f ca="1">_xlfn.XLOOKUP(C12454,Cantidades!$C$1:$C$314,Cantidades!$B$1:$B$314,"",0,1)</f>
        <v>D8F4183-</v>
      </c>
      <c r="C12456" s="10" t="s">
        <v>0</v>
      </c>
      <c r="D12456" s="190"/>
      <c r="E12456" s="11"/>
      <c r="F12456" s="12"/>
      <c r="G12456" s="13"/>
    </row>
    <row r="12457" spans="1:8" ht="14.25" thickBot="1">
      <c r="A12457" s="215"/>
      <c r="B12457" s="216" t="s">
        <v>550</v>
      </c>
      <c r="C12457" s="14" t="s">
        <v>1</v>
      </c>
      <c r="D12457" s="15" t="s">
        <v>2</v>
      </c>
      <c r="E12457" s="15" t="s">
        <v>3</v>
      </c>
      <c r="F12457" s="16" t="s">
        <v>4</v>
      </c>
      <c r="G12457" s="15" t="s">
        <v>5</v>
      </c>
    </row>
    <row r="12458" spans="1:8">
      <c r="A12458" s="211" t="s">
        <v>484</v>
      </c>
      <c r="B12458" s="216" t="str">
        <f ca="1">_xlfn.CONCAT(B12456,A12458)</f>
        <v>D8F4183-A</v>
      </c>
      <c r="C12458" s="17" t="str">
        <f>_xlfn.XLOOKUP(H12458,'Materiales unitario'!$A$1:$A$2500,'Materiales unitario'!B$1:B$2500,,0,1)</f>
        <v>Cable de cobre aislado #4 AWG-THHN/THWN Color negro</v>
      </c>
      <c r="D12458" s="184" t="str">
        <f>_xlfn.XLOOKUP(H12458,'Materiales unitario'!A$1:A$2500,'Materiales unitario'!C$1:C$2500,,0,1)</f>
        <v>ml</v>
      </c>
      <c r="E12458" s="197">
        <f>_xlfn.XLOOKUP(H12458,'Materiales unitario'!$A$1:$A$2500,'Materiales unitario'!D$1:D$2500,,0,1)</f>
        <v>16320</v>
      </c>
      <c r="F12458" s="19">
        <v>4.2</v>
      </c>
      <c r="G12458" s="20">
        <f t="shared" ref="G12458" si="362">+E12458*F12458</f>
        <v>68544</v>
      </c>
      <c r="H12458" s="211" t="s">
        <v>271</v>
      </c>
    </row>
    <row r="12459" spans="1:8">
      <c r="A12459" s="211" t="s">
        <v>485</v>
      </c>
      <c r="B12459" s="216" t="str">
        <f ca="1">_xlfn.CONCAT(B12456,A12459)</f>
        <v>D8F4183-B</v>
      </c>
      <c r="C12459" s="17"/>
      <c r="D12459" s="184"/>
      <c r="E12459" s="197"/>
      <c r="F12459" s="19"/>
      <c r="G12459" s="20"/>
      <c r="H12459" s="211" t="s">
        <v>273</v>
      </c>
    </row>
    <row r="12460" spans="1:8">
      <c r="A12460" s="211" t="s">
        <v>486</v>
      </c>
      <c r="B12460" s="216" t="str">
        <f ca="1">_xlfn.CONCAT(B12456,A12460)</f>
        <v>D8F4183-C</v>
      </c>
      <c r="C12460" s="17"/>
      <c r="D12460" s="184"/>
      <c r="E12460" s="197"/>
      <c r="F12460" s="19"/>
      <c r="G12460" s="20"/>
      <c r="H12460" s="211" t="s">
        <v>274</v>
      </c>
    </row>
    <row r="12461" spans="1:8">
      <c r="A12461" s="211" t="s">
        <v>487</v>
      </c>
      <c r="B12461" s="216" t="str">
        <f ca="1">_xlfn.CONCAT(B12456,A12461)</f>
        <v>D8F4183-D</v>
      </c>
      <c r="C12461" s="17"/>
      <c r="D12461" s="184"/>
      <c r="E12461" s="197"/>
      <c r="F12461" s="19"/>
      <c r="G12461" s="20"/>
      <c r="H12461" s="211" t="s">
        <v>253</v>
      </c>
    </row>
    <row r="12462" spans="1:8">
      <c r="A12462" s="211" t="s">
        <v>488</v>
      </c>
      <c r="B12462" s="216" t="str">
        <f ca="1">_xlfn.CONCAT(B12456,A12462)</f>
        <v>D8F4183-E</v>
      </c>
      <c r="C12462" s="17"/>
      <c r="D12462" s="184"/>
      <c r="E12462" s="197"/>
      <c r="F12462" s="19"/>
      <c r="G12462" s="20"/>
      <c r="H12462" s="211" t="s">
        <v>254</v>
      </c>
    </row>
    <row r="12463" spans="1:8">
      <c r="A12463" s="211" t="s">
        <v>489</v>
      </c>
      <c r="B12463" s="216" t="str">
        <f ca="1">_xlfn.CONCAT(B12456,A12463)</f>
        <v>D8F4183-F</v>
      </c>
      <c r="C12463" s="17"/>
      <c r="D12463" s="184"/>
      <c r="E12463" s="197"/>
      <c r="F12463" s="19"/>
      <c r="G12463" s="20"/>
      <c r="H12463" s="211" t="s">
        <v>255</v>
      </c>
    </row>
    <row r="12464" spans="1:8">
      <c r="A12464" s="211" t="s">
        <v>490</v>
      </c>
      <c r="B12464" s="216" t="str">
        <f ca="1">_xlfn.CONCAT(B12456,A12464)</f>
        <v>D8F4183-G</v>
      </c>
      <c r="C12464" s="17"/>
      <c r="D12464" s="184"/>
      <c r="E12464" s="197"/>
      <c r="F12464" s="19"/>
      <c r="G12464" s="20"/>
      <c r="H12464" s="211" t="s">
        <v>373</v>
      </c>
    </row>
    <row r="12465" spans="1:8">
      <c r="A12465" s="211" t="s">
        <v>491</v>
      </c>
      <c r="B12465" s="216" t="str">
        <f ca="1">_xlfn.CONCAT(B12456,A12465)</f>
        <v>D8F4183-H</v>
      </c>
      <c r="C12465" s="17"/>
      <c r="D12465" s="184"/>
      <c r="E12465" s="197"/>
      <c r="F12465" s="19"/>
      <c r="G12465" s="20"/>
    </row>
    <row r="12466" spans="1:8" ht="15">
      <c r="A12466" s="211" t="s">
        <v>492</v>
      </c>
      <c r="B12466" s="216" t="str">
        <f ca="1">_xlfn.CONCAT(B12456,A12466)</f>
        <v>D8F4183-I</v>
      </c>
      <c r="C12466" s="17"/>
      <c r="D12466" s="184"/>
      <c r="E12466" s="197"/>
      <c r="F12466" s="19"/>
      <c r="G12466" s="20"/>
      <c r="H12466" s="217" t="s">
        <v>838</v>
      </c>
    </row>
    <row r="12467" spans="1:8" ht="15">
      <c r="A12467" s="211" t="s">
        <v>493</v>
      </c>
      <c r="B12467" s="216" t="str">
        <f ca="1">_xlfn.CONCAT(B12456,A12467)</f>
        <v>D8F4183-J</v>
      </c>
      <c r="C12467" s="17"/>
      <c r="D12467" s="184"/>
      <c r="E12467" s="197"/>
      <c r="F12467" s="19"/>
      <c r="G12467" s="20"/>
      <c r="H12467" s="217" t="s">
        <v>839</v>
      </c>
    </row>
    <row r="12468" spans="1:8" ht="15">
      <c r="A12468" s="211" t="s">
        <v>494</v>
      </c>
      <c r="B12468" s="216" t="str">
        <f ca="1">_xlfn.CONCAT(B12456,A12468)</f>
        <v>D8F4183-K</v>
      </c>
      <c r="C12468" s="17"/>
      <c r="D12468" s="184"/>
      <c r="E12468" s="197"/>
      <c r="F12468" s="19"/>
      <c r="G12468" s="20"/>
      <c r="H12468" s="217" t="s">
        <v>840</v>
      </c>
    </row>
    <row r="12469" spans="1:8" ht="15">
      <c r="A12469" s="211" t="s">
        <v>495</v>
      </c>
      <c r="B12469" s="216" t="str">
        <f ca="1">_xlfn.CONCAT(B12456,A12469)</f>
        <v>D8F4183-L</v>
      </c>
      <c r="C12469" s="17"/>
      <c r="D12469" s="184"/>
      <c r="E12469" s="197"/>
      <c r="F12469" s="19"/>
      <c r="G12469" s="20"/>
      <c r="H12469" s="217" t="s">
        <v>841</v>
      </c>
    </row>
    <row r="12470" spans="1:8" ht="15">
      <c r="A12470" s="211" t="s">
        <v>496</v>
      </c>
      <c r="B12470" s="216" t="str">
        <f ca="1">_xlfn.CONCAT(B12456,A12470)</f>
        <v>D8F4183-M</v>
      </c>
      <c r="C12470" s="17"/>
      <c r="D12470" s="184"/>
      <c r="E12470" s="197"/>
      <c r="F12470" s="19"/>
      <c r="G12470" s="20"/>
      <c r="H12470" s="217" t="s">
        <v>769</v>
      </c>
    </row>
    <row r="12471" spans="1:8" ht="15">
      <c r="A12471" s="211" t="s">
        <v>497</v>
      </c>
      <c r="B12471" s="216" t="str">
        <f ca="1">_xlfn.CONCAT(B12456,A12471)</f>
        <v>D8F4183-N</v>
      </c>
      <c r="C12471" s="17"/>
      <c r="D12471" s="184"/>
      <c r="E12471" s="197"/>
      <c r="F12471" s="19"/>
      <c r="G12471" s="20"/>
      <c r="H12471" s="217"/>
    </row>
    <row r="12472" spans="1:8">
      <c r="A12472" s="211" t="s">
        <v>498</v>
      </c>
      <c r="B12472" s="216" t="str">
        <f ca="1">_xlfn.CONCAT(B12456,A12472)</f>
        <v>D8F4183-O</v>
      </c>
      <c r="C12472" s="17"/>
      <c r="D12472" s="184"/>
      <c r="E12472" s="197"/>
      <c r="F12472" s="19"/>
      <c r="G12472" s="20"/>
    </row>
    <row r="12473" spans="1:8">
      <c r="A12473" s="211" t="s">
        <v>499</v>
      </c>
      <c r="B12473" s="216" t="str">
        <f ca="1">_xlfn.CONCAT(B12456,A12473)</f>
        <v>D8F4183-P</v>
      </c>
      <c r="C12473" s="17"/>
      <c r="D12473" s="184"/>
      <c r="E12473" s="197"/>
      <c r="F12473" s="19"/>
      <c r="G12473" s="20"/>
    </row>
    <row r="12474" spans="1:8">
      <c r="A12474" s="211" t="s">
        <v>500</v>
      </c>
      <c r="B12474" s="216" t="str">
        <f ca="1">_xlfn.CONCAT(B12456,A12474)</f>
        <v>D8F4183-Q</v>
      </c>
      <c r="C12474" s="17"/>
      <c r="D12474" s="184"/>
      <c r="E12474" s="197"/>
      <c r="F12474" s="19"/>
      <c r="G12474" s="20"/>
    </row>
    <row r="12475" spans="1:8">
      <c r="A12475" s="211" t="s">
        <v>501</v>
      </c>
      <c r="B12475" s="216" t="str">
        <f ca="1">_xlfn.CONCAT(B12456,A12475)</f>
        <v>D8F4183-R</v>
      </c>
      <c r="C12475" s="17"/>
      <c r="D12475" s="184"/>
      <c r="E12475" s="197"/>
      <c r="F12475" s="19"/>
      <c r="G12475" s="20"/>
    </row>
    <row r="12476" spans="1:8">
      <c r="A12476" s="211" t="s">
        <v>502</v>
      </c>
      <c r="B12476" s="216" t="str">
        <f ca="1">_xlfn.CONCAT(B12456,A12476)</f>
        <v>D8F4183-S</v>
      </c>
      <c r="C12476" s="17"/>
      <c r="D12476" s="184"/>
      <c r="E12476" s="197"/>
      <c r="F12476" s="19"/>
      <c r="G12476" s="20"/>
    </row>
    <row r="12477" spans="1:8">
      <c r="A12477" s="211" t="s">
        <v>503</v>
      </c>
      <c r="B12477" s="216" t="str">
        <f ca="1">_xlfn.CONCAT(B12456,A12477)</f>
        <v>D8F4183-T</v>
      </c>
      <c r="C12477" s="17"/>
      <c r="D12477" s="184"/>
      <c r="E12477" s="197"/>
      <c r="F12477" s="19"/>
      <c r="G12477" s="20"/>
    </row>
    <row r="12478" spans="1:8" ht="14.25" thickBot="1">
      <c r="A12478" s="211" t="s">
        <v>504</v>
      </c>
      <c r="B12478" s="216" t="str">
        <f ca="1">_xlfn.CONCAT(B12456,A12478)</f>
        <v>D8F4183-U</v>
      </c>
      <c r="C12478" s="17"/>
      <c r="D12478" s="184"/>
      <c r="E12478" s="197"/>
      <c r="F12478" s="19"/>
      <c r="G12478" s="20"/>
    </row>
    <row r="12479" spans="1:8" ht="14.25" thickBot="1">
      <c r="A12479" s="211" t="s">
        <v>505</v>
      </c>
      <c r="B12479" s="216" t="str">
        <f ca="1">_xlfn.CONCAT(B12456,A12479)</f>
        <v>D8F4183-V</v>
      </c>
      <c r="C12479" s="17" t="s">
        <v>17</v>
      </c>
      <c r="D12479" s="192" t="s">
        <v>17</v>
      </c>
      <c r="E12479" s="18"/>
      <c r="F12479" s="22" t="s">
        <v>18</v>
      </c>
      <c r="G12479" s="23">
        <f>SUM(G12458:G12478)</f>
        <v>68544</v>
      </c>
    </row>
    <row r="12480" spans="1:8" ht="15.75" thickBot="1">
      <c r="A12480" s="211" t="s">
        <v>506</v>
      </c>
      <c r="B12480" s="216" t="str">
        <f ca="1">_xlfn.CONCAT(B12456,A12480)</f>
        <v>D8F4183-W</v>
      </c>
      <c r="C12480" s="10" t="s">
        <v>19</v>
      </c>
      <c r="D12480" s="190"/>
      <c r="E12480" s="11"/>
      <c r="F12480" s="12"/>
      <c r="G12480" s="13"/>
    </row>
    <row r="12481" spans="1:8" ht="14.25" thickBot="1">
      <c r="A12481" s="211" t="s">
        <v>507</v>
      </c>
      <c r="B12481" s="216" t="str">
        <f ca="1">_xlfn.CONCAT(B12456,A12481)</f>
        <v>D8F4183-X</v>
      </c>
      <c r="C12481" s="14" t="s">
        <v>1</v>
      </c>
      <c r="D12481" s="15"/>
      <c r="E12481" s="15" t="s">
        <v>20</v>
      </c>
      <c r="F12481" s="16" t="s">
        <v>21</v>
      </c>
      <c r="G12481" s="15" t="s">
        <v>5</v>
      </c>
    </row>
    <row r="12482" spans="1:8">
      <c r="A12482" s="211" t="s">
        <v>508</v>
      </c>
      <c r="B12482" s="216" t="str">
        <f ca="1">_xlfn.CONCAT(B12456,A12482)</f>
        <v>D8F4183-Y</v>
      </c>
      <c r="C12482" s="24" t="s">
        <v>22</v>
      </c>
      <c r="D12482" s="184"/>
      <c r="E12482" s="25">
        <f>_xlfn.XLOOKUP(C12482,'H-MO'!B$7:B$30,'H-MO'!D$7:D$30,,0,1)</f>
        <v>2436.5624999999995</v>
      </c>
      <c r="F12482" s="19">
        <v>0.16</v>
      </c>
      <c r="G12482" s="33">
        <f t="shared" ref="G12482:G12487" si="363">+E12482*F12482</f>
        <v>389.84999999999991</v>
      </c>
      <c r="H12482" s="234"/>
    </row>
    <row r="12483" spans="1:8">
      <c r="A12483" s="211" t="s">
        <v>509</v>
      </c>
      <c r="B12483" s="216" t="str">
        <f ca="1">_xlfn.CONCAT(B12456,A12483)</f>
        <v>D8F4183-Z</v>
      </c>
      <c r="C12483" s="24" t="s">
        <v>23</v>
      </c>
      <c r="D12483" s="184"/>
      <c r="E12483" s="25">
        <f>_xlfn.XLOOKUP(C12483,'H-MO'!B$7:B$30,'H-MO'!D$7:D$30,,0,1)</f>
        <v>1461.9374999999998</v>
      </c>
      <c r="F12483" s="19">
        <v>0.04</v>
      </c>
      <c r="G12483" s="33">
        <f t="shared" si="363"/>
        <v>58.477499999999992</v>
      </c>
      <c r="H12483" s="234"/>
    </row>
    <row r="12484" spans="1:8">
      <c r="A12484" s="211" t="s">
        <v>510</v>
      </c>
      <c r="B12484" s="216" t="str">
        <f ca="1">_xlfn.CONCAT(B12456,A12484)</f>
        <v>D8F4183-aa</v>
      </c>
      <c r="C12484" s="24" t="s">
        <v>24</v>
      </c>
      <c r="D12484" s="185"/>
      <c r="E12484" s="25">
        <f>_xlfn.XLOOKUP(C12484,'H-MO'!B$7:B$30,'H-MO'!D$7:D$30,,0,1)</f>
        <v>29238.749999999996</v>
      </c>
      <c r="F12484" s="28">
        <v>0.02</v>
      </c>
      <c r="G12484" s="33">
        <f t="shared" si="363"/>
        <v>584.77499999999998</v>
      </c>
      <c r="H12484" s="234"/>
    </row>
    <row r="12485" spans="1:8">
      <c r="A12485" s="211" t="s">
        <v>511</v>
      </c>
      <c r="B12485" s="216" t="str">
        <f ca="1">_xlfn.CONCAT(B12456,A12485)</f>
        <v>D8F4183-ab</v>
      </c>
      <c r="C12485" s="24" t="s">
        <v>25</v>
      </c>
      <c r="D12485" s="185"/>
      <c r="E12485" s="25">
        <f>_xlfn.XLOOKUP(C12485,'H-MO'!B$7:B$30,'H-MO'!D$7:D$30,,0,1)</f>
        <v>2761.4374999999995</v>
      </c>
      <c r="F12485" s="28">
        <v>0.1</v>
      </c>
      <c r="G12485" s="33">
        <f t="shared" si="363"/>
        <v>276.14374999999995</v>
      </c>
      <c r="H12485" s="234"/>
    </row>
    <row r="12486" spans="1:8">
      <c r="A12486" s="211" t="s">
        <v>512</v>
      </c>
      <c r="B12486" s="216" t="str">
        <f ca="1">_xlfn.CONCAT(B12456,A12486)</f>
        <v>D8F4183-ac</v>
      </c>
      <c r="C12486" s="24"/>
      <c r="D12486" s="185"/>
      <c r="E12486" s="29"/>
      <c r="F12486" s="28"/>
      <c r="G12486" s="33">
        <f t="shared" si="363"/>
        <v>0</v>
      </c>
      <c r="H12486" s="234"/>
    </row>
    <row r="12487" spans="1:8" ht="14.25" thickBot="1">
      <c r="A12487" s="211" t="s">
        <v>513</v>
      </c>
      <c r="B12487" s="216" t="str">
        <f ca="1">_xlfn.CONCAT(B12456,A12487)</f>
        <v>D8F4183-ad</v>
      </c>
      <c r="C12487" s="24"/>
      <c r="D12487" s="185"/>
      <c r="E12487" s="29"/>
      <c r="F12487" s="28"/>
      <c r="G12487" s="33">
        <f t="shared" si="363"/>
        <v>0</v>
      </c>
      <c r="H12487" s="234"/>
    </row>
    <row r="12488" spans="1:8" ht="14.25" thickBot="1">
      <c r="A12488" s="211" t="s">
        <v>514</v>
      </c>
      <c r="B12488" s="216" t="str">
        <f ca="1">_xlfn.CONCAT(B12456,A12488)</f>
        <v>D8F4183-ae</v>
      </c>
      <c r="C12488" s="17"/>
      <c r="D12488" s="192"/>
      <c r="E12488" s="18"/>
      <c r="F12488" s="22" t="s">
        <v>26</v>
      </c>
      <c r="G12488" s="23">
        <f>SUM(G12482:G12487)</f>
        <v>1309.2462499999999</v>
      </c>
      <c r="H12488" s="234"/>
    </row>
    <row r="12489" spans="1:8" ht="15.75" thickBot="1">
      <c r="A12489" s="211" t="s">
        <v>515</v>
      </c>
      <c r="B12489" s="216" t="str">
        <f ca="1">_xlfn.CONCAT(B12456,A12489)</f>
        <v>D8F4183-af</v>
      </c>
      <c r="C12489" s="10" t="s">
        <v>27</v>
      </c>
      <c r="D12489" s="190"/>
      <c r="E12489" s="11"/>
      <c r="F12489" s="12"/>
      <c r="G12489" s="13"/>
      <c r="H12489" s="234"/>
    </row>
    <row r="12490" spans="1:8" ht="14.25" thickBot="1">
      <c r="A12490" s="211" t="s">
        <v>516</v>
      </c>
      <c r="B12490" s="216" t="str">
        <f ca="1">_xlfn.CONCAT(B12456,A12490)</f>
        <v>D8F4183-ag</v>
      </c>
      <c r="C12490" s="14" t="s">
        <v>1</v>
      </c>
      <c r="D12490" s="15" t="s">
        <v>28</v>
      </c>
      <c r="E12490" s="15" t="s">
        <v>20</v>
      </c>
      <c r="F12490" s="16" t="s">
        <v>21</v>
      </c>
      <c r="G12490" s="15" t="s">
        <v>5</v>
      </c>
      <c r="H12490" s="234"/>
    </row>
    <row r="12491" spans="1:8">
      <c r="A12491" s="211" t="s">
        <v>517</v>
      </c>
      <c r="B12491" s="216" t="str">
        <f ca="1">_xlfn.CONCAT(B12456,A12491)</f>
        <v>D8F4183-ah</v>
      </c>
      <c r="C12491" s="30" t="s">
        <v>29</v>
      </c>
      <c r="D12491" s="186">
        <f>'H-MO'!$N$77</f>
        <v>725918.52892505517</v>
      </c>
      <c r="E12491" s="31">
        <f>+D12491/8</f>
        <v>90739.816115631897</v>
      </c>
      <c r="F12491" s="32">
        <v>0.16200000000000001</v>
      </c>
      <c r="G12491" s="33">
        <f>+E12491*F12491</f>
        <v>14699.850210732367</v>
      </c>
      <c r="H12491" s="234"/>
    </row>
    <row r="12492" spans="1:8">
      <c r="A12492" s="211" t="s">
        <v>518</v>
      </c>
      <c r="B12492" s="216" t="str">
        <f ca="1">_xlfn.CONCAT(B12456,A12492)</f>
        <v>D8F4183-ai</v>
      </c>
      <c r="C12492" s="34" t="s">
        <v>30</v>
      </c>
      <c r="D12492" s="187">
        <f>'H-MO'!$N$86</f>
        <v>685561.39085756091</v>
      </c>
      <c r="E12492" s="29">
        <f>+D12492/8</f>
        <v>85695.173857195114</v>
      </c>
      <c r="F12492" s="28">
        <v>0</v>
      </c>
      <c r="G12492" s="33">
        <f>+E12492*F12492</f>
        <v>0</v>
      </c>
      <c r="H12492" s="234"/>
    </row>
    <row r="12493" spans="1:8" ht="14.25" thickBot="1">
      <c r="A12493" s="211" t="s">
        <v>519</v>
      </c>
      <c r="B12493" s="216" t="str">
        <f ca="1">_xlfn.CONCAT(B12456,A12493)</f>
        <v>D8F4183-aj</v>
      </c>
      <c r="C12493" s="34"/>
      <c r="D12493" s="187"/>
      <c r="E12493" s="29"/>
      <c r="F12493" s="28"/>
      <c r="G12493" s="33">
        <f>+E12493*F12493</f>
        <v>0</v>
      </c>
    </row>
    <row r="12494" spans="1:8" ht="14.25" thickBot="1">
      <c r="A12494" s="211" t="s">
        <v>520</v>
      </c>
      <c r="B12494" s="216" t="str">
        <f ca="1">_xlfn.CONCAT(B12456,A12494)</f>
        <v>D8F4183-ak</v>
      </c>
      <c r="C12494" s="34"/>
      <c r="D12494" s="185"/>
      <c r="E12494" s="26"/>
      <c r="F12494" s="36" t="s">
        <v>31</v>
      </c>
      <c r="G12494" s="23">
        <f>SUM(G12491:G12493)</f>
        <v>14699.850210732367</v>
      </c>
    </row>
    <row r="12495" spans="1:8" ht="14.25" thickBot="1">
      <c r="A12495" s="211" t="s">
        <v>521</v>
      </c>
      <c r="B12495" s="216" t="str">
        <f ca="1">_xlfn.CONCAT(B12456,A12495)</f>
        <v>D8F4183-al</v>
      </c>
      <c r="C12495" s="37"/>
      <c r="E12495" s="38"/>
      <c r="F12495" s="22"/>
      <c r="G12495" s="39"/>
    </row>
    <row r="12496" spans="1:8" ht="16.5" thickBot="1">
      <c r="A12496" s="211" t="s">
        <v>522</v>
      </c>
      <c r="B12496" s="216" t="str">
        <f ca="1">_xlfn.CONCAT(B12456,A12496)</f>
        <v>D8F4183-am</v>
      </c>
      <c r="C12496" s="40"/>
      <c r="D12496" s="193"/>
      <c r="E12496" s="41"/>
      <c r="F12496" s="42"/>
      <c r="G12496" s="43">
        <f>+G12479+G12488+G12494</f>
        <v>84553.096460732369</v>
      </c>
    </row>
    <row r="12497" spans="1:8" ht="21.75" thickBot="1">
      <c r="B12497" s="212" t="s">
        <v>550</v>
      </c>
      <c r="C12497" s="2"/>
      <c r="D12497" s="183"/>
      <c r="F12497" s="4"/>
      <c r="G12497" s="5"/>
    </row>
    <row r="12498" spans="1:8" ht="18.75">
      <c r="A12498" s="213"/>
      <c r="B12498" s="214">
        <v>284</v>
      </c>
      <c r="C12498" s="242" t="str">
        <f ca="1">_xlfn.XLOOKUP(B12498,Cantidades!$A$10:$A$314,Cantidades!$C$10:$C$314,,0,1)</f>
        <v>Suministro e instalacion de aplique tipo tortuga</v>
      </c>
      <c r="D12498" s="243"/>
      <c r="E12498" s="243"/>
      <c r="F12498" s="243"/>
      <c r="G12498" s="244"/>
      <c r="H12498" s="213"/>
    </row>
    <row r="12499" spans="1:8" ht="19.5" thickBot="1">
      <c r="A12499" s="215"/>
      <c r="B12499" s="216" t="s">
        <v>550</v>
      </c>
      <c r="C12499" s="177"/>
      <c r="D12499" s="189"/>
      <c r="E12499" s="178"/>
      <c r="F12499" s="179" t="s">
        <v>636</v>
      </c>
      <c r="G12499" s="209" t="str">
        <f ca="1">B12500</f>
        <v>1AA56110-</v>
      </c>
      <c r="H12499" s="215"/>
    </row>
    <row r="12500" spans="1:8" ht="15.75" thickBot="1">
      <c r="B12500" s="212" t="str">
        <f ca="1">_xlfn.XLOOKUP(C12498,Cantidades!$C$1:$C$314,Cantidades!$B$1:$B$314,"",0,1)</f>
        <v>1AA56110-</v>
      </c>
      <c r="C12500" s="10" t="s">
        <v>0</v>
      </c>
      <c r="D12500" s="190"/>
      <c r="E12500" s="11"/>
      <c r="F12500" s="12"/>
      <c r="G12500" s="13"/>
    </row>
    <row r="12501" spans="1:8" ht="14.25" thickBot="1">
      <c r="A12501" s="215"/>
      <c r="B12501" s="216" t="s">
        <v>550</v>
      </c>
      <c r="C12501" s="14" t="s">
        <v>1</v>
      </c>
      <c r="D12501" s="15" t="s">
        <v>2</v>
      </c>
      <c r="E12501" s="15" t="s">
        <v>3</v>
      </c>
      <c r="F12501" s="16" t="s">
        <v>4</v>
      </c>
      <c r="G12501" s="15" t="s">
        <v>5</v>
      </c>
      <c r="H12501" s="215"/>
    </row>
    <row r="12502" spans="1:8" ht="15">
      <c r="A12502" s="211" t="s">
        <v>484</v>
      </c>
      <c r="B12502" s="216" t="str">
        <f ca="1">_xlfn.CONCAT(B12500,A12502)</f>
        <v>1AA56110-A</v>
      </c>
      <c r="C12502" s="17" t="str">
        <f>_xlfn.XLOOKUP(H12502,'Materiales unitario'!$A$1:$A$2500,'Materiales unitario'!B$1:B$2500,,0,1)</f>
        <v>Aplique Tortuga Led 960 Lúmenes 12w Luz Blanca Ip65</v>
      </c>
      <c r="D12502" s="184" t="str">
        <f>_xlfn.XLOOKUP(H12502,'Materiales unitario'!A$1:A$2500,'Materiales unitario'!C$1:C$2500,,0,1)</f>
        <v>un</v>
      </c>
      <c r="E12502" s="197">
        <f>_xlfn.XLOOKUP(H12502,'Materiales unitario'!$A$1:$A$2500,'Materiales unitario'!D$1:D$2500,,0,1)</f>
        <v>50490.000000000007</v>
      </c>
      <c r="F12502" s="19">
        <v>1</v>
      </c>
      <c r="G12502" s="20">
        <f>+E12502*F12502</f>
        <v>50490.000000000007</v>
      </c>
      <c r="H12502" s="217" t="s">
        <v>230</v>
      </c>
    </row>
    <row r="12503" spans="1:8" ht="15">
      <c r="A12503" s="211" t="s">
        <v>485</v>
      </c>
      <c r="B12503" s="216" t="str">
        <f ca="1">_xlfn.CONCAT(B12500,A12503)</f>
        <v>1AA56110-B</v>
      </c>
      <c r="C12503" s="17" t="str">
        <f>_xlfn.XLOOKUP(H12503,'Materiales unitario'!$A$1:$A$2500,'Materiales unitario'!B$1:B$2500,,0,1)</f>
        <v>Conector de resorte naranja "N" 22-16 AWG</v>
      </c>
      <c r="D12503" s="184" t="str">
        <f>_xlfn.XLOOKUP(H12503,'Materiales unitario'!A$1:A$2500,'Materiales unitario'!C$1:C$2500,,0,1)</f>
        <v>un</v>
      </c>
      <c r="E12503" s="197">
        <f>_xlfn.XLOOKUP(H12503,'Materiales unitario'!$A$1:$A$2500,'Materiales unitario'!D$1:D$2500,,0,1)</f>
        <v>150</v>
      </c>
      <c r="F12503" s="19">
        <v>2</v>
      </c>
      <c r="G12503" s="20">
        <f>+E12503*F12503</f>
        <v>300</v>
      </c>
      <c r="H12503" s="217" t="s">
        <v>682</v>
      </c>
    </row>
    <row r="12504" spans="1:8" ht="15">
      <c r="A12504" s="211" t="s">
        <v>486</v>
      </c>
      <c r="B12504" s="216" t="str">
        <f ca="1">_xlfn.CONCAT(B12500,A12504)</f>
        <v>1AA56110-C</v>
      </c>
      <c r="C12504" s="17" t="str">
        <f>_xlfn.XLOOKUP(H12504,'Materiales unitario'!$A$1:$A$2500,'Materiales unitario'!B$1:B$2500,,0,1)</f>
        <v>Cable flexible encauchetado ST-C 3x16 AWG</v>
      </c>
      <c r="D12504" s="184" t="str">
        <f>_xlfn.XLOOKUP(H12504,'Materiales unitario'!A$1:A$2500,'Materiales unitario'!C$1:C$2500,,0,1)</f>
        <v>ml</v>
      </c>
      <c r="E12504" s="197">
        <f>_xlfn.XLOOKUP(H12504,'Materiales unitario'!$A$1:$A$2500,'Materiales unitario'!D$1:D$2500,,0,1)</f>
        <v>4730</v>
      </c>
      <c r="F12504" s="19">
        <v>3</v>
      </c>
      <c r="G12504" s="20">
        <f>+E12504*F12504</f>
        <v>14190</v>
      </c>
      <c r="H12504" s="217" t="s">
        <v>278</v>
      </c>
    </row>
    <row r="12505" spans="1:8" ht="15">
      <c r="A12505" s="211" t="s">
        <v>487</v>
      </c>
      <c r="B12505" s="216" t="str">
        <f ca="1">_xlfn.CONCAT(B12500,A12505)</f>
        <v>1AA56110-D</v>
      </c>
      <c r="C12505" s="17" t="str">
        <f>_xlfn.XLOOKUP(H12505,'Materiales unitario'!$A$1:$A$2500,'Materiales unitario'!B$1:B$2500,,0,1)</f>
        <v>Marquillas para circuito</v>
      </c>
      <c r="D12505" s="184" t="str">
        <f>_xlfn.XLOOKUP(H12505,'Materiales unitario'!A$1:A$2500,'Materiales unitario'!C$1:C$2500,,0,1)</f>
        <v>un</v>
      </c>
      <c r="E12505" s="197">
        <f>_xlfn.XLOOKUP(H12505,'Materiales unitario'!$A$1:$A$2500,'Materiales unitario'!D$1:D$2500,,0,1)</f>
        <v>1000</v>
      </c>
      <c r="F12505" s="19">
        <v>1</v>
      </c>
      <c r="G12505" s="20">
        <f>+E12505*F12505</f>
        <v>1000</v>
      </c>
      <c r="H12505" s="217" t="s">
        <v>339</v>
      </c>
    </row>
    <row r="12506" spans="1:8" ht="15">
      <c r="A12506" s="211" t="s">
        <v>488</v>
      </c>
      <c r="B12506" s="216" t="str">
        <f ca="1">_xlfn.CONCAT(B12500,A12506)</f>
        <v>1AA56110-E</v>
      </c>
      <c r="C12506" s="17" t="str">
        <f>_xlfn.XLOOKUP(H12506,'Materiales unitario'!$A$1:$A$2500,'Materiales unitario'!B$1:B$2500,,0,1)</f>
        <v>Prensaestopa de 10 a 14 mm ø1/2"</v>
      </c>
      <c r="D12506" s="184" t="str">
        <f>_xlfn.XLOOKUP(H12506,'Materiales unitario'!A$1:A$2500,'Materiales unitario'!C$1:C$2500,,0,1)</f>
        <v>un</v>
      </c>
      <c r="E12506" s="197">
        <f>_xlfn.XLOOKUP(H12506,'Materiales unitario'!$A$1:$A$2500,'Materiales unitario'!D$1:D$2500,,0,1)</f>
        <v>1460</v>
      </c>
      <c r="F12506" s="19">
        <v>1</v>
      </c>
      <c r="G12506" s="20">
        <f>+E12506*F12506</f>
        <v>1460</v>
      </c>
      <c r="H12506" s="217" t="s">
        <v>351</v>
      </c>
    </row>
    <row r="12507" spans="1:8" ht="15">
      <c r="A12507" s="211" t="s">
        <v>489</v>
      </c>
      <c r="B12507" s="216" t="str">
        <f ca="1">_xlfn.CONCAT(B12500,A12507)</f>
        <v>1AA56110-F</v>
      </c>
      <c r="C12507" s="17"/>
      <c r="D12507" s="184"/>
      <c r="E12507" s="197"/>
      <c r="F12507" s="19"/>
      <c r="G12507" s="20"/>
      <c r="H12507" s="217"/>
    </row>
    <row r="12508" spans="1:8" ht="15">
      <c r="A12508" s="211" t="s">
        <v>490</v>
      </c>
      <c r="B12508" s="216" t="str">
        <f ca="1">_xlfn.CONCAT(B12500,A12508)</f>
        <v>1AA56110-G</v>
      </c>
      <c r="C12508" s="17"/>
      <c r="D12508" s="184"/>
      <c r="E12508" s="197"/>
      <c r="F12508" s="19"/>
      <c r="G12508" s="20"/>
      <c r="H12508" s="217"/>
    </row>
    <row r="12509" spans="1:8" ht="15">
      <c r="A12509" s="211" t="s">
        <v>491</v>
      </c>
      <c r="B12509" s="216" t="str">
        <f ca="1">_xlfn.CONCAT(B12500,A12509)</f>
        <v>1AA56110-H</v>
      </c>
      <c r="C12509" s="17"/>
      <c r="D12509" s="184"/>
      <c r="E12509" s="197"/>
      <c r="F12509" s="19"/>
      <c r="G12509" s="20"/>
      <c r="H12509" s="217"/>
    </row>
    <row r="12510" spans="1:8" ht="15">
      <c r="A12510" s="211" t="s">
        <v>492</v>
      </c>
      <c r="B12510" s="216" t="str">
        <f ca="1">_xlfn.CONCAT(B12500,A12510)</f>
        <v>1AA56110-I</v>
      </c>
      <c r="C12510" s="17"/>
      <c r="D12510" s="184"/>
      <c r="E12510" s="197"/>
      <c r="F12510" s="19"/>
      <c r="G12510" s="20"/>
      <c r="H12510" s="217"/>
    </row>
    <row r="12511" spans="1:8" ht="15">
      <c r="A12511" s="211" t="s">
        <v>493</v>
      </c>
      <c r="B12511" s="216" t="str">
        <f ca="1">_xlfn.CONCAT(B12500,A12511)</f>
        <v>1AA56110-J</v>
      </c>
      <c r="C12511" s="17"/>
      <c r="D12511" s="184"/>
      <c r="E12511" s="197"/>
      <c r="F12511" s="19"/>
      <c r="G12511" s="20"/>
      <c r="H12511" s="217"/>
    </row>
    <row r="12512" spans="1:8" ht="15">
      <c r="A12512" s="211" t="s">
        <v>494</v>
      </c>
      <c r="B12512" s="216" t="str">
        <f ca="1">_xlfn.CONCAT(B12500,A12512)</f>
        <v>1AA56110-K</v>
      </c>
      <c r="C12512" s="17"/>
      <c r="D12512" s="184"/>
      <c r="E12512" s="197"/>
      <c r="F12512" s="19"/>
      <c r="G12512" s="20"/>
      <c r="H12512" s="217"/>
    </row>
    <row r="12513" spans="1:8" ht="15">
      <c r="A12513" s="211" t="s">
        <v>495</v>
      </c>
      <c r="B12513" s="216" t="str">
        <f ca="1">_xlfn.CONCAT(B12500,A12513)</f>
        <v>1AA56110-L</v>
      </c>
      <c r="C12513" s="17"/>
      <c r="D12513" s="184"/>
      <c r="E12513" s="197"/>
      <c r="F12513" s="19"/>
      <c r="G12513" s="20"/>
      <c r="H12513" s="217"/>
    </row>
    <row r="12514" spans="1:8" ht="15">
      <c r="A12514" s="211" t="s">
        <v>496</v>
      </c>
      <c r="B12514" s="216" t="str">
        <f ca="1">_xlfn.CONCAT(B12500,A12514)</f>
        <v>1AA56110-M</v>
      </c>
      <c r="C12514" s="17"/>
      <c r="D12514" s="184"/>
      <c r="E12514" s="197"/>
      <c r="F12514" s="19"/>
      <c r="G12514" s="20"/>
      <c r="H12514" s="217"/>
    </row>
    <row r="12515" spans="1:8">
      <c r="A12515" s="211" t="s">
        <v>497</v>
      </c>
      <c r="B12515" s="216" t="str">
        <f ca="1">_xlfn.CONCAT(B12500,A12515)</f>
        <v>1AA56110-N</v>
      </c>
      <c r="C12515" s="17"/>
      <c r="D12515" s="184"/>
      <c r="E12515" s="197"/>
      <c r="F12515" s="19"/>
      <c r="G12515" s="20"/>
    </row>
    <row r="12516" spans="1:8">
      <c r="A12516" s="211" t="s">
        <v>498</v>
      </c>
      <c r="B12516" s="216" t="str">
        <f ca="1">_xlfn.CONCAT(B12500,A12516)</f>
        <v>1AA56110-O</v>
      </c>
      <c r="C12516" s="17"/>
      <c r="D12516" s="184"/>
      <c r="E12516" s="197"/>
      <c r="F12516" s="19"/>
      <c r="G12516" s="20"/>
    </row>
    <row r="12517" spans="1:8">
      <c r="A12517" s="211" t="s">
        <v>499</v>
      </c>
      <c r="B12517" s="216" t="str">
        <f ca="1">_xlfn.CONCAT(B12500,A12517)</f>
        <v>1AA56110-P</v>
      </c>
      <c r="C12517" s="17"/>
      <c r="D12517" s="184"/>
      <c r="E12517" s="197"/>
      <c r="F12517" s="19"/>
      <c r="G12517" s="20"/>
    </row>
    <row r="12518" spans="1:8">
      <c r="A12518" s="211" t="s">
        <v>500</v>
      </c>
      <c r="B12518" s="216" t="str">
        <f ca="1">_xlfn.CONCAT(B12500,A12518)</f>
        <v>1AA56110-Q</v>
      </c>
      <c r="C12518" s="17"/>
      <c r="D12518" s="184"/>
      <c r="E12518" s="197"/>
      <c r="F12518" s="19"/>
      <c r="G12518" s="20"/>
    </row>
    <row r="12519" spans="1:8">
      <c r="A12519" s="211" t="s">
        <v>501</v>
      </c>
      <c r="B12519" s="216" t="str">
        <f ca="1">_xlfn.CONCAT(B12500,A12519)</f>
        <v>1AA56110-R</v>
      </c>
      <c r="C12519" s="17"/>
      <c r="D12519" s="184"/>
      <c r="E12519" s="197"/>
      <c r="F12519" s="19"/>
      <c r="G12519" s="20"/>
    </row>
    <row r="12520" spans="1:8">
      <c r="A12520" s="211" t="s">
        <v>502</v>
      </c>
      <c r="B12520" s="216" t="str">
        <f ca="1">_xlfn.CONCAT(B12500,A12520)</f>
        <v>1AA56110-S</v>
      </c>
      <c r="C12520" s="17"/>
      <c r="D12520" s="184"/>
      <c r="E12520" s="197"/>
      <c r="F12520" s="19"/>
      <c r="G12520" s="20"/>
    </row>
    <row r="12521" spans="1:8">
      <c r="A12521" s="211" t="s">
        <v>503</v>
      </c>
      <c r="B12521" s="216" t="str">
        <f ca="1">_xlfn.CONCAT(B12500,A12521)</f>
        <v>1AA56110-T</v>
      </c>
      <c r="C12521" s="17"/>
      <c r="D12521" s="184"/>
      <c r="E12521" s="197"/>
      <c r="F12521" s="19"/>
      <c r="G12521" s="20"/>
    </row>
    <row r="12522" spans="1:8" ht="14.25" thickBot="1">
      <c r="A12522" s="211" t="s">
        <v>504</v>
      </c>
      <c r="B12522" s="216" t="str">
        <f ca="1">_xlfn.CONCAT(B12500,A12522)</f>
        <v>1AA56110-U</v>
      </c>
      <c r="C12522" s="17"/>
      <c r="D12522" s="184"/>
      <c r="E12522" s="197"/>
      <c r="F12522" s="19"/>
      <c r="G12522" s="20"/>
    </row>
    <row r="12523" spans="1:8" ht="14.25" thickBot="1">
      <c r="A12523" s="211" t="s">
        <v>505</v>
      </c>
      <c r="B12523" s="216" t="str">
        <f ca="1">_xlfn.CONCAT(B12500,A12523)</f>
        <v>1AA56110-V</v>
      </c>
      <c r="C12523" s="17" t="s">
        <v>17</v>
      </c>
      <c r="D12523" s="192" t="s">
        <v>17</v>
      </c>
      <c r="E12523" s="18"/>
      <c r="F12523" s="22" t="s">
        <v>18</v>
      </c>
      <c r="G12523" s="23">
        <f>SUM(G12502:G12522)</f>
        <v>67440</v>
      </c>
    </row>
    <row r="12524" spans="1:8" ht="15.75" thickBot="1">
      <c r="A12524" s="211" t="s">
        <v>506</v>
      </c>
      <c r="B12524" s="216" t="str">
        <f ca="1">_xlfn.CONCAT(B12500,A12524)</f>
        <v>1AA56110-W</v>
      </c>
      <c r="C12524" s="10" t="s">
        <v>19</v>
      </c>
      <c r="D12524" s="190"/>
      <c r="E12524" s="11"/>
      <c r="F12524" s="12"/>
      <c r="G12524" s="13"/>
    </row>
    <row r="12525" spans="1:8" ht="14.25" thickBot="1">
      <c r="A12525" s="211" t="s">
        <v>507</v>
      </c>
      <c r="B12525" s="216" t="str">
        <f ca="1">_xlfn.CONCAT(B12500,A12525)</f>
        <v>1AA56110-X</v>
      </c>
      <c r="C12525" s="14" t="s">
        <v>1</v>
      </c>
      <c r="D12525" s="15"/>
      <c r="E12525" s="15" t="s">
        <v>20</v>
      </c>
      <c r="F12525" s="16" t="s">
        <v>21</v>
      </c>
      <c r="G12525" s="15" t="s">
        <v>5</v>
      </c>
      <c r="H12525" s="215"/>
    </row>
    <row r="12526" spans="1:8">
      <c r="A12526" s="211" t="s">
        <v>508</v>
      </c>
      <c r="B12526" s="216" t="str">
        <f ca="1">_xlfn.CONCAT(B12500,A12526)</f>
        <v>1AA56110-Y</v>
      </c>
      <c r="C12526" s="24" t="s">
        <v>22</v>
      </c>
      <c r="D12526" s="184"/>
      <c r="E12526" s="25">
        <f>_xlfn.XLOOKUP(C12526,'H-MO'!B$7:B$30,'H-MO'!D$7:D$30,,0,1)</f>
        <v>2436.5624999999995</v>
      </c>
      <c r="F12526" s="19">
        <v>0.04</v>
      </c>
      <c r="G12526" s="33">
        <f t="shared" ref="G12526:G12531" si="364">+E12526*F12526</f>
        <v>97.462499999999977</v>
      </c>
    </row>
    <row r="12527" spans="1:8">
      <c r="A12527" s="211" t="s">
        <v>509</v>
      </c>
      <c r="B12527" s="216" t="str">
        <f ca="1">_xlfn.CONCAT(B12500,A12527)</f>
        <v>1AA56110-Z</v>
      </c>
      <c r="C12527" s="24" t="s">
        <v>23</v>
      </c>
      <c r="D12527" s="184"/>
      <c r="E12527" s="25">
        <f>_xlfn.XLOOKUP(C12527,'H-MO'!B$7:B$30,'H-MO'!D$7:D$30,,0,1)</f>
        <v>1461.9374999999998</v>
      </c>
      <c r="F12527" s="19">
        <v>0.03</v>
      </c>
      <c r="G12527" s="33">
        <f t="shared" si="364"/>
        <v>43.858124999999994</v>
      </c>
    </row>
    <row r="12528" spans="1:8">
      <c r="A12528" s="211" t="s">
        <v>510</v>
      </c>
      <c r="B12528" s="216" t="str">
        <f ca="1">_xlfn.CONCAT(B12500,A12528)</f>
        <v>1AA56110-aa</v>
      </c>
      <c r="C12528" s="24" t="s">
        <v>24</v>
      </c>
      <c r="D12528" s="185"/>
      <c r="E12528" s="25">
        <f>_xlfn.XLOOKUP(C12528,'H-MO'!B$7:B$30,'H-MO'!D$7:D$30,,0,1)</f>
        <v>29238.749999999996</v>
      </c>
      <c r="F12528" s="28">
        <v>7.0000000000000001E-3</v>
      </c>
      <c r="G12528" s="33">
        <f t="shared" si="364"/>
        <v>204.67124999999999</v>
      </c>
    </row>
    <row r="12529" spans="1:8">
      <c r="A12529" s="211" t="s">
        <v>511</v>
      </c>
      <c r="B12529" s="216" t="str">
        <f ca="1">_xlfn.CONCAT(B12500,A12529)</f>
        <v>1AA56110-ab</v>
      </c>
      <c r="C12529" s="24" t="s">
        <v>25</v>
      </c>
      <c r="D12529" s="185"/>
      <c r="E12529" s="25">
        <f>_xlfn.XLOOKUP(C12529,'H-MO'!B$7:B$30,'H-MO'!D$7:D$30,,0,1)</f>
        <v>2761.4374999999995</v>
      </c>
      <c r="F12529" s="28">
        <v>0.1</v>
      </c>
      <c r="G12529" s="33">
        <f t="shared" si="364"/>
        <v>276.14374999999995</v>
      </c>
    </row>
    <row r="12530" spans="1:8">
      <c r="A12530" s="211" t="s">
        <v>512</v>
      </c>
      <c r="B12530" s="216" t="str">
        <f ca="1">_xlfn.CONCAT(B12500,A12530)</f>
        <v>1AA56110-ac</v>
      </c>
      <c r="C12530" s="24"/>
      <c r="D12530" s="185"/>
      <c r="E12530" s="29"/>
      <c r="F12530" s="28"/>
      <c r="G12530" s="33">
        <f t="shared" si="364"/>
        <v>0</v>
      </c>
    </row>
    <row r="12531" spans="1:8" ht="14.25" thickBot="1">
      <c r="A12531" s="211" t="s">
        <v>513</v>
      </c>
      <c r="B12531" s="216" t="str">
        <f ca="1">_xlfn.CONCAT(B12500,A12531)</f>
        <v>1AA56110-ad</v>
      </c>
      <c r="C12531" s="24"/>
      <c r="D12531" s="185"/>
      <c r="E12531" s="29"/>
      <c r="F12531" s="28"/>
      <c r="G12531" s="33">
        <f t="shared" si="364"/>
        <v>0</v>
      </c>
    </row>
    <row r="12532" spans="1:8" ht="14.25" thickBot="1">
      <c r="A12532" s="211" t="s">
        <v>514</v>
      </c>
      <c r="B12532" s="216" t="str">
        <f ca="1">_xlfn.CONCAT(B12500,A12532)</f>
        <v>1AA56110-ae</v>
      </c>
      <c r="C12532" s="17"/>
      <c r="D12532" s="192"/>
      <c r="E12532" s="18"/>
      <c r="F12532" s="22" t="s">
        <v>26</v>
      </c>
      <c r="G12532" s="23">
        <f>SUM(G12526:G12531)</f>
        <v>622.13562499999989</v>
      </c>
    </row>
    <row r="12533" spans="1:8" ht="15.75" thickBot="1">
      <c r="A12533" s="211" t="s">
        <v>515</v>
      </c>
      <c r="B12533" s="216" t="str">
        <f ca="1">_xlfn.CONCAT(B12500,A12533)</f>
        <v>1AA56110-af</v>
      </c>
      <c r="C12533" s="10" t="s">
        <v>27</v>
      </c>
      <c r="D12533" s="190"/>
      <c r="E12533" s="11"/>
      <c r="F12533" s="12"/>
      <c r="G12533" s="13"/>
    </row>
    <row r="12534" spans="1:8" ht="14.25" thickBot="1">
      <c r="A12534" s="211" t="s">
        <v>516</v>
      </c>
      <c r="B12534" s="216" t="str">
        <f ca="1">_xlfn.CONCAT(B12500,A12534)</f>
        <v>1AA56110-ag</v>
      </c>
      <c r="C12534" s="14" t="s">
        <v>1</v>
      </c>
      <c r="D12534" s="15" t="s">
        <v>28</v>
      </c>
      <c r="E12534" s="15" t="s">
        <v>20</v>
      </c>
      <c r="F12534" s="16" t="s">
        <v>21</v>
      </c>
      <c r="G12534" s="15" t="s">
        <v>5</v>
      </c>
      <c r="H12534" s="215"/>
    </row>
    <row r="12535" spans="1:8">
      <c r="A12535" s="211" t="s">
        <v>517</v>
      </c>
      <c r="B12535" s="216" t="str">
        <f ca="1">_xlfn.CONCAT(B12500,A12535)</f>
        <v>1AA56110-ah</v>
      </c>
      <c r="C12535" s="30" t="s">
        <v>29</v>
      </c>
      <c r="D12535" s="186">
        <f>'H-MO'!$N$77</f>
        <v>725918.52892505517</v>
      </c>
      <c r="E12535" s="31">
        <f>+D12535/8</f>
        <v>90739.816115631897</v>
      </c>
      <c r="F12535" s="32">
        <v>0.15</v>
      </c>
      <c r="G12535" s="33">
        <f>+E12535*F12535</f>
        <v>13610.972417344785</v>
      </c>
    </row>
    <row r="12536" spans="1:8">
      <c r="A12536" s="211" t="s">
        <v>518</v>
      </c>
      <c r="B12536" s="216" t="str">
        <f ca="1">_xlfn.CONCAT(B12500,A12536)</f>
        <v>1AA56110-ai</v>
      </c>
      <c r="C12536" s="34" t="s">
        <v>30</v>
      </c>
      <c r="D12536" s="187">
        <f>'H-MO'!$N$86</f>
        <v>685561.39085756091</v>
      </c>
      <c r="E12536" s="29">
        <f>+D12536/8</f>
        <v>85695.173857195114</v>
      </c>
      <c r="F12536" s="28">
        <v>0</v>
      </c>
      <c r="G12536" s="33">
        <f>+E12536*F12536</f>
        <v>0</v>
      </c>
    </row>
    <row r="12537" spans="1:8" ht="14.25" thickBot="1">
      <c r="A12537" s="211" t="s">
        <v>519</v>
      </c>
      <c r="B12537" s="216" t="str">
        <f ca="1">_xlfn.CONCAT(B12500,A12537)</f>
        <v>1AA56110-aj</v>
      </c>
      <c r="C12537" s="34"/>
      <c r="D12537" s="187"/>
      <c r="E12537" s="29"/>
      <c r="F12537" s="28"/>
      <c r="G12537" s="33">
        <f>+E12537*F12537</f>
        <v>0</v>
      </c>
    </row>
    <row r="12538" spans="1:8" ht="14.25" thickBot="1">
      <c r="A12538" s="211" t="s">
        <v>520</v>
      </c>
      <c r="B12538" s="216" t="str">
        <f ca="1">_xlfn.CONCAT(B12500,A12538)</f>
        <v>1AA56110-ak</v>
      </c>
      <c r="C12538" s="34"/>
      <c r="D12538" s="185"/>
      <c r="E12538" s="26"/>
      <c r="F12538" s="36" t="s">
        <v>31</v>
      </c>
      <c r="G12538" s="23">
        <f>SUM(G12535:G12537)</f>
        <v>13610.972417344785</v>
      </c>
    </row>
    <row r="12539" spans="1:8" ht="14.25" thickBot="1">
      <c r="A12539" s="211" t="s">
        <v>521</v>
      </c>
      <c r="B12539" s="216" t="str">
        <f ca="1">_xlfn.CONCAT(B12500,A12539)</f>
        <v>1AA56110-al</v>
      </c>
      <c r="C12539" s="37"/>
      <c r="E12539" s="38"/>
      <c r="F12539" s="22"/>
      <c r="G12539" s="39"/>
    </row>
    <row r="12540" spans="1:8" ht="16.5" thickBot="1">
      <c r="A12540" s="211" t="s">
        <v>522</v>
      </c>
      <c r="B12540" s="216" t="str">
        <f ca="1">_xlfn.CONCAT(B12500,A12540)</f>
        <v>1AA56110-am</v>
      </c>
      <c r="C12540" s="40"/>
      <c r="D12540" s="193"/>
      <c r="E12540" s="41"/>
      <c r="F12540" s="42"/>
      <c r="G12540" s="43">
        <f>+G12523+G12532+G12538</f>
        <v>81673.108042344786</v>
      </c>
    </row>
    <row r="12541" spans="1:8" ht="21.75" thickBot="1">
      <c r="B12541" s="212" t="s">
        <v>550</v>
      </c>
      <c r="C12541" s="2"/>
      <c r="D12541" s="183"/>
      <c r="F12541" s="4"/>
      <c r="G12541" s="5"/>
    </row>
    <row r="12542" spans="1:8" ht="18.75">
      <c r="A12542" s="213"/>
      <c r="B12542" s="214">
        <v>285</v>
      </c>
      <c r="C12542" s="242" t="str">
        <f ca="1">_xlfn.XLOOKUP(B12542,Cantidades!$A$10:$A$314,Cantidades!$C$10:$C$314,,0,1)</f>
        <v>Suministro e instalacion de fusible de expulsion dual</v>
      </c>
      <c r="D12542" s="243"/>
      <c r="E12542" s="243"/>
      <c r="F12542" s="243"/>
      <c r="G12542" s="244"/>
      <c r="H12542" s="213"/>
    </row>
    <row r="12543" spans="1:8" ht="19.5" thickBot="1">
      <c r="A12543" s="215"/>
      <c r="B12543" s="216" t="s">
        <v>550</v>
      </c>
      <c r="C12543" s="177"/>
      <c r="D12543" s="189"/>
      <c r="E12543" s="178"/>
      <c r="F12543" s="179" t="s">
        <v>636</v>
      </c>
      <c r="G12543" s="209" t="str">
        <f ca="1">B12544</f>
        <v>200FF2FC-</v>
      </c>
      <c r="H12543" s="215"/>
    </row>
    <row r="12544" spans="1:8" ht="15.75" thickBot="1">
      <c r="B12544" s="212" t="str">
        <f ca="1">_xlfn.XLOOKUP(C12542,Cantidades!$C$1:$C$314,Cantidades!$B$1:$B$314,"",0,1)</f>
        <v>200FF2FC-</v>
      </c>
      <c r="C12544" s="10" t="s">
        <v>0</v>
      </c>
      <c r="D12544" s="190"/>
      <c r="E12544" s="11"/>
      <c r="F12544" s="12"/>
      <c r="G12544" s="13"/>
    </row>
    <row r="12545" spans="1:8" ht="14.25" thickBot="1">
      <c r="A12545" s="215"/>
      <c r="B12545" s="216" t="s">
        <v>550</v>
      </c>
      <c r="C12545" s="14" t="s">
        <v>1</v>
      </c>
      <c r="D12545" s="15" t="s">
        <v>2</v>
      </c>
      <c r="E12545" s="15" t="s">
        <v>3</v>
      </c>
      <c r="F12545" s="16" t="s">
        <v>4</v>
      </c>
      <c r="G12545" s="15" t="s">
        <v>5</v>
      </c>
      <c r="H12545" s="215"/>
    </row>
    <row r="12546" spans="1:8" ht="15">
      <c r="A12546" s="211" t="s">
        <v>484</v>
      </c>
      <c r="B12546" s="216" t="str">
        <f ca="1">_xlfn.CONCAT(B12544,A12546)</f>
        <v>200FF2FC-A</v>
      </c>
      <c r="C12546" s="17" t="str">
        <f>_xlfn.XLOOKUP(H12546,'Materiales unitario'!$A$1:$A$2500,'Materiales unitario'!B$1:B$2500,,0,1)</f>
        <v>FUSIBLE DE EXPULSIÓN TIPO DUAL SF (SLOW-FAST)</v>
      </c>
      <c r="D12546" s="184" t="str">
        <f>_xlfn.XLOOKUP(H12546,'Materiales unitario'!A$1:A$2500,'Materiales unitario'!C$1:C$2500,,0,1)</f>
        <v>un</v>
      </c>
      <c r="E12546" s="197">
        <f>_xlfn.XLOOKUP(H12546,'Materiales unitario'!$A$1:$A$2500,'Materiales unitario'!D$1:D$2500,,0,1)</f>
        <v>15970</v>
      </c>
      <c r="F12546" s="19">
        <v>1</v>
      </c>
      <c r="G12546" s="20">
        <f>+E12546*F12546</f>
        <v>15970</v>
      </c>
      <c r="H12546" s="217" t="s">
        <v>1841</v>
      </c>
    </row>
    <row r="12547" spans="1:8" ht="15">
      <c r="A12547" s="211" t="s">
        <v>485</v>
      </c>
      <c r="B12547" s="216" t="str">
        <f ca="1">_xlfn.CONCAT(B12544,A12547)</f>
        <v>200FF2FC-B</v>
      </c>
      <c r="C12547" s="17"/>
      <c r="D12547" s="184"/>
      <c r="E12547" s="197"/>
      <c r="F12547" s="19"/>
      <c r="G12547" s="20"/>
      <c r="H12547" s="217"/>
    </row>
    <row r="12548" spans="1:8" ht="15">
      <c r="A12548" s="211" t="s">
        <v>486</v>
      </c>
      <c r="B12548" s="216" t="str">
        <f ca="1">_xlfn.CONCAT(B12544,A12548)</f>
        <v>200FF2FC-C</v>
      </c>
      <c r="C12548" s="17"/>
      <c r="D12548" s="184"/>
      <c r="E12548" s="197"/>
      <c r="F12548" s="19"/>
      <c r="G12548" s="20"/>
      <c r="H12548" s="217"/>
    </row>
    <row r="12549" spans="1:8" ht="15">
      <c r="A12549" s="211" t="s">
        <v>487</v>
      </c>
      <c r="B12549" s="216" t="str">
        <f ca="1">_xlfn.CONCAT(B12544,A12549)</f>
        <v>200FF2FC-D</v>
      </c>
      <c r="C12549" s="17"/>
      <c r="D12549" s="184"/>
      <c r="E12549" s="197"/>
      <c r="F12549" s="19"/>
      <c r="G12549" s="20"/>
      <c r="H12549" s="217"/>
    </row>
    <row r="12550" spans="1:8" ht="15">
      <c r="A12550" s="211" t="s">
        <v>488</v>
      </c>
      <c r="B12550" s="216" t="str">
        <f ca="1">_xlfn.CONCAT(B12544,A12550)</f>
        <v>200FF2FC-E</v>
      </c>
      <c r="C12550" s="17"/>
      <c r="D12550" s="184"/>
      <c r="E12550" s="197"/>
      <c r="F12550" s="19"/>
      <c r="G12550" s="20"/>
      <c r="H12550" s="217"/>
    </row>
    <row r="12551" spans="1:8" ht="15">
      <c r="A12551" s="211" t="s">
        <v>489</v>
      </c>
      <c r="B12551" s="216" t="str">
        <f ca="1">_xlfn.CONCAT(B12544,A12551)</f>
        <v>200FF2FC-F</v>
      </c>
      <c r="C12551" s="17"/>
      <c r="D12551" s="184"/>
      <c r="E12551" s="197"/>
      <c r="F12551" s="19"/>
      <c r="G12551" s="20"/>
      <c r="H12551" s="217"/>
    </row>
    <row r="12552" spans="1:8" ht="15">
      <c r="A12552" s="211" t="s">
        <v>490</v>
      </c>
      <c r="B12552" s="216" t="str">
        <f ca="1">_xlfn.CONCAT(B12544,A12552)</f>
        <v>200FF2FC-G</v>
      </c>
      <c r="C12552" s="17"/>
      <c r="D12552" s="184"/>
      <c r="E12552" s="197"/>
      <c r="F12552" s="19"/>
      <c r="G12552" s="20"/>
      <c r="H12552" s="217"/>
    </row>
    <row r="12553" spans="1:8" ht="15">
      <c r="A12553" s="211" t="s">
        <v>491</v>
      </c>
      <c r="B12553" s="216" t="str">
        <f ca="1">_xlfn.CONCAT(B12544,A12553)</f>
        <v>200FF2FC-H</v>
      </c>
      <c r="C12553" s="17"/>
      <c r="D12553" s="184"/>
      <c r="E12553" s="197"/>
      <c r="F12553" s="19"/>
      <c r="G12553" s="20"/>
      <c r="H12553" s="217"/>
    </row>
    <row r="12554" spans="1:8" ht="15">
      <c r="A12554" s="211" t="s">
        <v>492</v>
      </c>
      <c r="B12554" s="216" t="str">
        <f ca="1">_xlfn.CONCAT(B12544,A12554)</f>
        <v>200FF2FC-I</v>
      </c>
      <c r="C12554" s="17"/>
      <c r="D12554" s="184"/>
      <c r="E12554" s="197"/>
      <c r="F12554" s="19"/>
      <c r="G12554" s="20"/>
      <c r="H12554" s="217"/>
    </row>
    <row r="12555" spans="1:8" ht="15">
      <c r="A12555" s="211" t="s">
        <v>493</v>
      </c>
      <c r="B12555" s="216" t="str">
        <f ca="1">_xlfn.CONCAT(B12544,A12555)</f>
        <v>200FF2FC-J</v>
      </c>
      <c r="C12555" s="17"/>
      <c r="D12555" s="184"/>
      <c r="E12555" s="197"/>
      <c r="F12555" s="19"/>
      <c r="G12555" s="20"/>
      <c r="H12555" s="217"/>
    </row>
    <row r="12556" spans="1:8" ht="15">
      <c r="A12556" s="211" t="s">
        <v>494</v>
      </c>
      <c r="B12556" s="216" t="str">
        <f ca="1">_xlfn.CONCAT(B12544,A12556)</f>
        <v>200FF2FC-K</v>
      </c>
      <c r="C12556" s="17"/>
      <c r="D12556" s="184"/>
      <c r="E12556" s="197"/>
      <c r="F12556" s="19"/>
      <c r="G12556" s="20"/>
      <c r="H12556" s="217"/>
    </row>
    <row r="12557" spans="1:8" ht="15">
      <c r="A12557" s="211" t="s">
        <v>495</v>
      </c>
      <c r="B12557" s="216" t="str">
        <f ca="1">_xlfn.CONCAT(B12544,A12557)</f>
        <v>200FF2FC-L</v>
      </c>
      <c r="C12557" s="17"/>
      <c r="D12557" s="184"/>
      <c r="E12557" s="197"/>
      <c r="F12557" s="19"/>
      <c r="G12557" s="20"/>
      <c r="H12557" s="217"/>
    </row>
    <row r="12558" spans="1:8" ht="15">
      <c r="A12558" s="211" t="s">
        <v>496</v>
      </c>
      <c r="B12558" s="216" t="str">
        <f ca="1">_xlfn.CONCAT(B12544,A12558)</f>
        <v>200FF2FC-M</v>
      </c>
      <c r="C12558" s="17"/>
      <c r="D12558" s="184"/>
      <c r="E12558" s="197"/>
      <c r="F12558" s="19"/>
      <c r="G12558" s="20"/>
      <c r="H12558" s="217"/>
    </row>
    <row r="12559" spans="1:8">
      <c r="A12559" s="211" t="s">
        <v>497</v>
      </c>
      <c r="B12559" s="216" t="str">
        <f ca="1">_xlfn.CONCAT(B12544,A12559)</f>
        <v>200FF2FC-N</v>
      </c>
      <c r="C12559" s="17"/>
      <c r="D12559" s="184"/>
      <c r="E12559" s="197"/>
      <c r="F12559" s="19"/>
      <c r="G12559" s="20"/>
    </row>
    <row r="12560" spans="1:8">
      <c r="A12560" s="211" t="s">
        <v>498</v>
      </c>
      <c r="B12560" s="216" t="str">
        <f ca="1">_xlfn.CONCAT(B12544,A12560)</f>
        <v>200FF2FC-O</v>
      </c>
      <c r="C12560" s="17"/>
      <c r="D12560" s="184"/>
      <c r="E12560" s="197"/>
      <c r="F12560" s="19"/>
      <c r="G12560" s="20"/>
    </row>
    <row r="12561" spans="1:8">
      <c r="A12561" s="211" t="s">
        <v>499</v>
      </c>
      <c r="B12561" s="216" t="str">
        <f ca="1">_xlfn.CONCAT(B12544,A12561)</f>
        <v>200FF2FC-P</v>
      </c>
      <c r="C12561" s="17"/>
      <c r="D12561" s="184"/>
      <c r="E12561" s="197"/>
      <c r="F12561" s="19"/>
      <c r="G12561" s="20"/>
    </row>
    <row r="12562" spans="1:8">
      <c r="A12562" s="211" t="s">
        <v>500</v>
      </c>
      <c r="B12562" s="216" t="str">
        <f ca="1">_xlfn.CONCAT(B12544,A12562)</f>
        <v>200FF2FC-Q</v>
      </c>
      <c r="C12562" s="17"/>
      <c r="D12562" s="184"/>
      <c r="E12562" s="197"/>
      <c r="F12562" s="19"/>
      <c r="G12562" s="20"/>
    </row>
    <row r="12563" spans="1:8">
      <c r="A12563" s="211" t="s">
        <v>501</v>
      </c>
      <c r="B12563" s="216" t="str">
        <f ca="1">_xlfn.CONCAT(B12544,A12563)</f>
        <v>200FF2FC-R</v>
      </c>
      <c r="C12563" s="17"/>
      <c r="D12563" s="184"/>
      <c r="E12563" s="197"/>
      <c r="F12563" s="19"/>
      <c r="G12563" s="20"/>
    </row>
    <row r="12564" spans="1:8">
      <c r="A12564" s="211" t="s">
        <v>502</v>
      </c>
      <c r="B12564" s="216" t="str">
        <f ca="1">_xlfn.CONCAT(B12544,A12564)</f>
        <v>200FF2FC-S</v>
      </c>
      <c r="C12564" s="17"/>
      <c r="D12564" s="184"/>
      <c r="E12564" s="197"/>
      <c r="F12564" s="19"/>
      <c r="G12564" s="20"/>
    </row>
    <row r="12565" spans="1:8">
      <c r="A12565" s="211" t="s">
        <v>503</v>
      </c>
      <c r="B12565" s="216" t="str">
        <f ca="1">_xlfn.CONCAT(B12544,A12565)</f>
        <v>200FF2FC-T</v>
      </c>
      <c r="C12565" s="17"/>
      <c r="D12565" s="184"/>
      <c r="E12565" s="197"/>
      <c r="F12565" s="19"/>
      <c r="G12565" s="20"/>
    </row>
    <row r="12566" spans="1:8" ht="14.25" thickBot="1">
      <c r="A12566" s="211" t="s">
        <v>504</v>
      </c>
      <c r="B12566" s="216" t="str">
        <f ca="1">_xlfn.CONCAT(B12544,A12566)</f>
        <v>200FF2FC-U</v>
      </c>
      <c r="C12566" s="17"/>
      <c r="D12566" s="184"/>
      <c r="E12566" s="197"/>
      <c r="F12566" s="19"/>
      <c r="G12566" s="20"/>
    </row>
    <row r="12567" spans="1:8" ht="14.25" thickBot="1">
      <c r="A12567" s="211" t="s">
        <v>505</v>
      </c>
      <c r="B12567" s="216" t="str">
        <f ca="1">_xlfn.CONCAT(B12544,A12567)</f>
        <v>200FF2FC-V</v>
      </c>
      <c r="C12567" s="17" t="s">
        <v>17</v>
      </c>
      <c r="D12567" s="192" t="s">
        <v>17</v>
      </c>
      <c r="E12567" s="18"/>
      <c r="F12567" s="22" t="s">
        <v>18</v>
      </c>
      <c r="G12567" s="23">
        <f>SUM(G12546:G12566)</f>
        <v>15970</v>
      </c>
    </row>
    <row r="12568" spans="1:8" ht="15.75" thickBot="1">
      <c r="A12568" s="211" t="s">
        <v>506</v>
      </c>
      <c r="B12568" s="216" t="str">
        <f ca="1">_xlfn.CONCAT(B12544,A12568)</f>
        <v>200FF2FC-W</v>
      </c>
      <c r="C12568" s="10" t="s">
        <v>19</v>
      </c>
      <c r="D12568" s="190"/>
      <c r="E12568" s="11"/>
      <c r="F12568" s="12"/>
      <c r="G12568" s="13"/>
    </row>
    <row r="12569" spans="1:8" ht="14.25" thickBot="1">
      <c r="A12569" s="211" t="s">
        <v>507</v>
      </c>
      <c r="B12569" s="216" t="str">
        <f ca="1">_xlfn.CONCAT(B12544,A12569)</f>
        <v>200FF2FC-X</v>
      </c>
      <c r="C12569" s="14" t="s">
        <v>1</v>
      </c>
      <c r="D12569" s="15"/>
      <c r="E12569" s="15" t="s">
        <v>20</v>
      </c>
      <c r="F12569" s="16" t="s">
        <v>21</v>
      </c>
      <c r="G12569" s="15" t="s">
        <v>5</v>
      </c>
      <c r="H12569" s="215"/>
    </row>
    <row r="12570" spans="1:8">
      <c r="A12570" s="211" t="s">
        <v>508</v>
      </c>
      <c r="B12570" s="216" t="str">
        <f ca="1">_xlfn.CONCAT(B12544,A12570)</f>
        <v>200FF2FC-Y</v>
      </c>
      <c r="C12570" s="24" t="s">
        <v>22</v>
      </c>
      <c r="D12570" s="184"/>
      <c r="E12570" s="25">
        <f>_xlfn.XLOOKUP(C12570,'H-MO'!B$7:B$30,'H-MO'!D$7:D$30,,0,1)</f>
        <v>2436.5624999999995</v>
      </c>
      <c r="F12570" s="19">
        <v>0.12</v>
      </c>
      <c r="G12570" s="33">
        <f t="shared" ref="G12570:G12575" si="365">+E12570*F12570</f>
        <v>292.38749999999993</v>
      </c>
    </row>
    <row r="12571" spans="1:8">
      <c r="A12571" s="211" t="s">
        <v>509</v>
      </c>
      <c r="B12571" s="216" t="str">
        <f ca="1">_xlfn.CONCAT(B12544,A12571)</f>
        <v>200FF2FC-Z</v>
      </c>
      <c r="C12571" s="24" t="s">
        <v>23</v>
      </c>
      <c r="D12571" s="184"/>
      <c r="E12571" s="25">
        <f>_xlfn.XLOOKUP(C12571,'H-MO'!B$7:B$30,'H-MO'!D$7:D$30,,0,1)</f>
        <v>1461.9374999999998</v>
      </c>
      <c r="F12571" s="19">
        <v>0.03</v>
      </c>
      <c r="G12571" s="33">
        <f t="shared" si="365"/>
        <v>43.858124999999994</v>
      </c>
    </row>
    <row r="12572" spans="1:8">
      <c r="A12572" s="211" t="s">
        <v>510</v>
      </c>
      <c r="B12572" s="216" t="str">
        <f ca="1">_xlfn.CONCAT(B12544,A12572)</f>
        <v>200FF2FC-aa</v>
      </c>
      <c r="C12572" s="24" t="s">
        <v>24</v>
      </c>
      <c r="D12572" s="185"/>
      <c r="E12572" s="25">
        <f>_xlfn.XLOOKUP(C12572,'H-MO'!B$7:B$30,'H-MO'!D$7:D$30,,0,1)</f>
        <v>29238.749999999996</v>
      </c>
      <c r="F12572" s="28">
        <v>7.0000000000000001E-3</v>
      </c>
      <c r="G12572" s="33">
        <f t="shared" si="365"/>
        <v>204.67124999999999</v>
      </c>
    </row>
    <row r="12573" spans="1:8">
      <c r="A12573" s="211" t="s">
        <v>511</v>
      </c>
      <c r="B12573" s="216" t="str">
        <f ca="1">_xlfn.CONCAT(B12544,A12573)</f>
        <v>200FF2FC-ab</v>
      </c>
      <c r="C12573" s="24" t="s">
        <v>25</v>
      </c>
      <c r="D12573" s="185"/>
      <c r="E12573" s="25">
        <f>_xlfn.XLOOKUP(C12573,'H-MO'!B$7:B$30,'H-MO'!D$7:D$30,,0,1)</f>
        <v>2761.4374999999995</v>
      </c>
      <c r="F12573" s="28">
        <v>1</v>
      </c>
      <c r="G12573" s="33">
        <f t="shared" si="365"/>
        <v>2761.4374999999995</v>
      </c>
    </row>
    <row r="12574" spans="1:8">
      <c r="A12574" s="211" t="s">
        <v>512</v>
      </c>
      <c r="B12574" s="216" t="str">
        <f ca="1">_xlfn.CONCAT(B12544,A12574)</f>
        <v>200FF2FC-ac</v>
      </c>
      <c r="C12574" s="24"/>
      <c r="D12574" s="185"/>
      <c r="E12574" s="29"/>
      <c r="F12574" s="28"/>
      <c r="G12574" s="33">
        <f t="shared" si="365"/>
        <v>0</v>
      </c>
    </row>
    <row r="12575" spans="1:8" ht="14.25" thickBot="1">
      <c r="A12575" s="211" t="s">
        <v>513</v>
      </c>
      <c r="B12575" s="216" t="str">
        <f ca="1">_xlfn.CONCAT(B12544,A12575)</f>
        <v>200FF2FC-ad</v>
      </c>
      <c r="C12575" s="24"/>
      <c r="D12575" s="185"/>
      <c r="E12575" s="29"/>
      <c r="F12575" s="28"/>
      <c r="G12575" s="33">
        <f t="shared" si="365"/>
        <v>0</v>
      </c>
    </row>
    <row r="12576" spans="1:8" ht="14.25" thickBot="1">
      <c r="A12576" s="211" t="s">
        <v>514</v>
      </c>
      <c r="B12576" s="216" t="str">
        <f ca="1">_xlfn.CONCAT(B12544,A12576)</f>
        <v>200FF2FC-ae</v>
      </c>
      <c r="C12576" s="17"/>
      <c r="D12576" s="192"/>
      <c r="E12576" s="18"/>
      <c r="F12576" s="22" t="s">
        <v>26</v>
      </c>
      <c r="G12576" s="23">
        <f>SUM(G12570:G12575)</f>
        <v>3302.3543749999994</v>
      </c>
    </row>
    <row r="12577" spans="1:8" ht="15.75" thickBot="1">
      <c r="A12577" s="211" t="s">
        <v>515</v>
      </c>
      <c r="B12577" s="216" t="str">
        <f ca="1">_xlfn.CONCAT(B12544,A12577)</f>
        <v>200FF2FC-af</v>
      </c>
      <c r="C12577" s="10" t="s">
        <v>27</v>
      </c>
      <c r="D12577" s="190"/>
      <c r="E12577" s="11"/>
      <c r="F12577" s="12"/>
      <c r="G12577" s="13"/>
    </row>
    <row r="12578" spans="1:8" ht="14.25" thickBot="1">
      <c r="A12578" s="211" t="s">
        <v>516</v>
      </c>
      <c r="B12578" s="216" t="str">
        <f ca="1">_xlfn.CONCAT(B12544,A12578)</f>
        <v>200FF2FC-ag</v>
      </c>
      <c r="C12578" s="14" t="s">
        <v>1</v>
      </c>
      <c r="D12578" s="15" t="s">
        <v>28</v>
      </c>
      <c r="E12578" s="15" t="s">
        <v>20</v>
      </c>
      <c r="F12578" s="16" t="s">
        <v>21</v>
      </c>
      <c r="G12578" s="15" t="s">
        <v>5</v>
      </c>
      <c r="H12578" s="215"/>
    </row>
    <row r="12579" spans="1:8">
      <c r="A12579" s="211" t="s">
        <v>517</v>
      </c>
      <c r="B12579" s="216" t="str">
        <f ca="1">_xlfn.CONCAT(B12544,A12579)</f>
        <v>200FF2FC-ah</v>
      </c>
      <c r="C12579" s="30" t="s">
        <v>29</v>
      </c>
      <c r="D12579" s="186">
        <f>'H-MO'!$N$77</f>
        <v>725918.52892505517</v>
      </c>
      <c r="E12579" s="31">
        <f>+D12579/8</f>
        <v>90739.816115631897</v>
      </c>
      <c r="F12579" s="32">
        <v>0.12</v>
      </c>
      <c r="G12579" s="33">
        <f>+E12579*F12579</f>
        <v>10888.777933875826</v>
      </c>
    </row>
    <row r="12580" spans="1:8">
      <c r="A12580" s="211" t="s">
        <v>518</v>
      </c>
      <c r="B12580" s="216" t="str">
        <f ca="1">_xlfn.CONCAT(B12544,A12580)</f>
        <v>200FF2FC-ai</v>
      </c>
      <c r="C12580" s="34" t="s">
        <v>30</v>
      </c>
      <c r="D12580" s="187">
        <f>'H-MO'!$N$86</f>
        <v>685561.39085756091</v>
      </c>
      <c r="E12580" s="29">
        <f>+D12580/8</f>
        <v>85695.173857195114</v>
      </c>
      <c r="F12580" s="28">
        <v>0</v>
      </c>
      <c r="G12580" s="33">
        <f>+E12580*F12580</f>
        <v>0</v>
      </c>
    </row>
    <row r="12581" spans="1:8" ht="14.25" thickBot="1">
      <c r="A12581" s="211" t="s">
        <v>519</v>
      </c>
      <c r="B12581" s="216" t="str">
        <f ca="1">_xlfn.CONCAT(B12544,A12581)</f>
        <v>200FF2FC-aj</v>
      </c>
      <c r="C12581" s="34"/>
      <c r="D12581" s="187"/>
      <c r="E12581" s="29"/>
      <c r="F12581" s="28"/>
      <c r="G12581" s="33">
        <f>+E12581*F12581</f>
        <v>0</v>
      </c>
    </row>
    <row r="12582" spans="1:8" ht="14.25" thickBot="1">
      <c r="A12582" s="211" t="s">
        <v>520</v>
      </c>
      <c r="B12582" s="216" t="str">
        <f ca="1">_xlfn.CONCAT(B12544,A12582)</f>
        <v>200FF2FC-ak</v>
      </c>
      <c r="C12582" s="34"/>
      <c r="D12582" s="185"/>
      <c r="E12582" s="26"/>
      <c r="F12582" s="36" t="s">
        <v>31</v>
      </c>
      <c r="G12582" s="23">
        <f>SUM(G12579:G12581)</f>
        <v>10888.777933875826</v>
      </c>
    </row>
    <row r="12583" spans="1:8" ht="14.25" thickBot="1">
      <c r="A12583" s="211" t="s">
        <v>521</v>
      </c>
      <c r="B12583" s="216" t="str">
        <f ca="1">_xlfn.CONCAT(B12544,A12583)</f>
        <v>200FF2FC-al</v>
      </c>
      <c r="C12583" s="37"/>
      <c r="E12583" s="38"/>
      <c r="F12583" s="22"/>
      <c r="G12583" s="39"/>
    </row>
    <row r="12584" spans="1:8" ht="16.5" thickBot="1">
      <c r="A12584" s="211" t="s">
        <v>522</v>
      </c>
      <c r="B12584" s="216" t="str">
        <f ca="1">_xlfn.CONCAT(B12544,A12584)</f>
        <v>200FF2FC-am</v>
      </c>
      <c r="C12584" s="40"/>
      <c r="D12584" s="193"/>
      <c r="E12584" s="41"/>
      <c r="F12584" s="42"/>
      <c r="G12584" s="43">
        <f>+G12567+G12576+G12582</f>
        <v>30161.132308875825</v>
      </c>
    </row>
    <row r="12585" spans="1:8" ht="21">
      <c r="B12585" s="212" t="s">
        <v>550</v>
      </c>
      <c r="C12585" s="2"/>
      <c r="D12585" s="183"/>
      <c r="F12585" s="4"/>
      <c r="G12585" s="5"/>
    </row>
  </sheetData>
  <mergeCells count="285">
    <mergeCell ref="C11134:G11134"/>
    <mergeCell ref="C11178:G11178"/>
    <mergeCell ref="C11222:G11222"/>
    <mergeCell ref="C11266:G11266"/>
    <mergeCell ref="C11310:G11310"/>
    <mergeCell ref="C11354:G11354"/>
    <mergeCell ref="C11398:G11398"/>
    <mergeCell ref="C11442:G11442"/>
    <mergeCell ref="C11486:G11486"/>
    <mergeCell ref="C10738:G10738"/>
    <mergeCell ref="C10782:G10782"/>
    <mergeCell ref="C10826:G10826"/>
    <mergeCell ref="C10870:G10870"/>
    <mergeCell ref="C10914:G10914"/>
    <mergeCell ref="C10958:G10958"/>
    <mergeCell ref="C11002:G11002"/>
    <mergeCell ref="C11046:G11046"/>
    <mergeCell ref="C11090:G11090"/>
    <mergeCell ref="C10342:G10342"/>
    <mergeCell ref="C10386:G10386"/>
    <mergeCell ref="C10430:G10430"/>
    <mergeCell ref="C10474:G10474"/>
    <mergeCell ref="C10518:G10518"/>
    <mergeCell ref="C10562:G10562"/>
    <mergeCell ref="C10606:G10606"/>
    <mergeCell ref="C10650:G10650"/>
    <mergeCell ref="C10694:G10694"/>
    <mergeCell ref="C10254:G10254"/>
    <mergeCell ref="C10298:G10298"/>
    <mergeCell ref="C8978:G8978"/>
    <mergeCell ref="C9022:G9022"/>
    <mergeCell ref="C8846:G8846"/>
    <mergeCell ref="C8890:G8890"/>
    <mergeCell ref="C8934:G8934"/>
    <mergeCell ref="C9946:G9946"/>
    <mergeCell ref="C9990:G9990"/>
    <mergeCell ref="C10034:G10034"/>
    <mergeCell ref="C10078:G10078"/>
    <mergeCell ref="C10122:G10122"/>
    <mergeCell ref="C10166:G10166"/>
    <mergeCell ref="C10210:G10210"/>
    <mergeCell ref="C9066:G9066"/>
    <mergeCell ref="C9110:G9110"/>
    <mergeCell ref="C9154:G9154"/>
    <mergeCell ref="C9198:G9198"/>
    <mergeCell ref="C9242:G9242"/>
    <mergeCell ref="C9286:G9286"/>
    <mergeCell ref="C9330:G9330"/>
    <mergeCell ref="C9374:G9374"/>
    <mergeCell ref="C9814:G9814"/>
    <mergeCell ref="C9858:G9858"/>
    <mergeCell ref="C8450:G8450"/>
    <mergeCell ref="C8494:G8494"/>
    <mergeCell ref="C8538:G8538"/>
    <mergeCell ref="C8582:G8582"/>
    <mergeCell ref="C8626:G8626"/>
    <mergeCell ref="C8670:G8670"/>
    <mergeCell ref="C8714:G8714"/>
    <mergeCell ref="C8758:G8758"/>
    <mergeCell ref="C8802:G8802"/>
    <mergeCell ref="C8186:G8186"/>
    <mergeCell ref="C8230:G8230"/>
    <mergeCell ref="C8274:G8274"/>
    <mergeCell ref="C8318:G8318"/>
    <mergeCell ref="C8362:G8362"/>
    <mergeCell ref="C8406:G8406"/>
    <mergeCell ref="C7790:G7790"/>
    <mergeCell ref="C7834:G7834"/>
    <mergeCell ref="C7878:G7878"/>
    <mergeCell ref="C7922:G7922"/>
    <mergeCell ref="C7966:G7966"/>
    <mergeCell ref="C8010:G8010"/>
    <mergeCell ref="C8054:G8054"/>
    <mergeCell ref="C8098:G8098"/>
    <mergeCell ref="C8142:G8142"/>
    <mergeCell ref="C7394:G7394"/>
    <mergeCell ref="C7438:G7438"/>
    <mergeCell ref="C7482:G7482"/>
    <mergeCell ref="C7526:G7526"/>
    <mergeCell ref="C7570:G7570"/>
    <mergeCell ref="C7614:G7614"/>
    <mergeCell ref="C7658:G7658"/>
    <mergeCell ref="C7702:G7702"/>
    <mergeCell ref="C7746:G7746"/>
    <mergeCell ref="C5810:G5810"/>
    <mergeCell ref="C5854:G5854"/>
    <mergeCell ref="C5150:G5150"/>
    <mergeCell ref="C5194:G5194"/>
    <mergeCell ref="C5238:G5238"/>
    <mergeCell ref="C4930:G4930"/>
    <mergeCell ref="C4974:G4974"/>
    <mergeCell ref="C5018:G5018"/>
    <mergeCell ref="C5062:G5062"/>
    <mergeCell ref="C5106:G5106"/>
    <mergeCell ref="C5678:G5678"/>
    <mergeCell ref="C5722:G5722"/>
    <mergeCell ref="C5766:G5766"/>
    <mergeCell ref="C5282:G5282"/>
    <mergeCell ref="C5326:G5326"/>
    <mergeCell ref="C5370:G5370"/>
    <mergeCell ref="C5414:G5414"/>
    <mergeCell ref="C5458:G5458"/>
    <mergeCell ref="C5502:G5502"/>
    <mergeCell ref="C5546:G5546"/>
    <mergeCell ref="C5590:G5590"/>
    <mergeCell ref="C5634:G5634"/>
    <mergeCell ref="C4710:G4710"/>
    <mergeCell ref="C4754:G4754"/>
    <mergeCell ref="C4798:G4798"/>
    <mergeCell ref="C4842:G4842"/>
    <mergeCell ref="C4886:G4886"/>
    <mergeCell ref="C4490:G4490"/>
    <mergeCell ref="C4534:G4534"/>
    <mergeCell ref="C4578:G4578"/>
    <mergeCell ref="C4622:G4622"/>
    <mergeCell ref="C4666:G4666"/>
    <mergeCell ref="C4270:G4270"/>
    <mergeCell ref="C4314:G4314"/>
    <mergeCell ref="C4358:G4358"/>
    <mergeCell ref="C4402:G4402"/>
    <mergeCell ref="C4446:G4446"/>
    <mergeCell ref="C4050:G4050"/>
    <mergeCell ref="C4094:G4094"/>
    <mergeCell ref="C4138:G4138"/>
    <mergeCell ref="C4182:G4182"/>
    <mergeCell ref="C4226:G4226"/>
    <mergeCell ref="C3698:G3698"/>
    <mergeCell ref="C3742:G3742"/>
    <mergeCell ref="C3786:G3786"/>
    <mergeCell ref="C3830:G3830"/>
    <mergeCell ref="C3434:G3434"/>
    <mergeCell ref="C3478:G3478"/>
    <mergeCell ref="C3522:G3522"/>
    <mergeCell ref="C3566:G3566"/>
    <mergeCell ref="C3610:G3610"/>
    <mergeCell ref="C3654:G3654"/>
    <mergeCell ref="C3390:G3390"/>
    <mergeCell ref="C2906:G2906"/>
    <mergeCell ref="C2950:G2950"/>
    <mergeCell ref="C2994:G2994"/>
    <mergeCell ref="C3038:G3038"/>
    <mergeCell ref="C3082:G3082"/>
    <mergeCell ref="C3126:G3126"/>
    <mergeCell ref="C3170:G3170"/>
    <mergeCell ref="C3214:G3214"/>
    <mergeCell ref="C3258:G3258"/>
    <mergeCell ref="C3302:G3302"/>
    <mergeCell ref="C3346:G3346"/>
    <mergeCell ref="C2862:G2862"/>
    <mergeCell ref="C2378:G2378"/>
    <mergeCell ref="C2422:G2422"/>
    <mergeCell ref="C2466:G2466"/>
    <mergeCell ref="C2510:G2510"/>
    <mergeCell ref="C2554:G2554"/>
    <mergeCell ref="C2598:G2598"/>
    <mergeCell ref="C2642:G2642"/>
    <mergeCell ref="C2686:G2686"/>
    <mergeCell ref="C2730:G2730"/>
    <mergeCell ref="C2774:G2774"/>
    <mergeCell ref="C2818:G2818"/>
    <mergeCell ref="C2334:G2334"/>
    <mergeCell ref="C1850:G1850"/>
    <mergeCell ref="C1894:G1894"/>
    <mergeCell ref="C1938:G1938"/>
    <mergeCell ref="C1982:G1982"/>
    <mergeCell ref="C2026:G2026"/>
    <mergeCell ref="C2070:G2070"/>
    <mergeCell ref="C2114:G2114"/>
    <mergeCell ref="C2158:G2158"/>
    <mergeCell ref="C2202:G2202"/>
    <mergeCell ref="C2246:G2246"/>
    <mergeCell ref="C2290:G2290"/>
    <mergeCell ref="C1234:G1234"/>
    <mergeCell ref="C1806:G1806"/>
    <mergeCell ref="C1322:G1322"/>
    <mergeCell ref="C1366:G1366"/>
    <mergeCell ref="C1410:G1410"/>
    <mergeCell ref="C1454:G1454"/>
    <mergeCell ref="C1498:G1498"/>
    <mergeCell ref="C1542:G1542"/>
    <mergeCell ref="C1586:G1586"/>
    <mergeCell ref="C1630:G1630"/>
    <mergeCell ref="C1674:G1674"/>
    <mergeCell ref="C1718:G1718"/>
    <mergeCell ref="C1762:G1762"/>
    <mergeCell ref="C838:G838"/>
    <mergeCell ref="C882:G882"/>
    <mergeCell ref="C926:G926"/>
    <mergeCell ref="C970:G970"/>
    <mergeCell ref="C1014:G1014"/>
    <mergeCell ref="C1058:G1058"/>
    <mergeCell ref="C1102:G1102"/>
    <mergeCell ref="C1146:G1146"/>
    <mergeCell ref="C1190:G1190"/>
    <mergeCell ref="C2:G2"/>
    <mergeCell ref="C46:G46"/>
    <mergeCell ref="C90:G90"/>
    <mergeCell ref="C134:G134"/>
    <mergeCell ref="C178:G178"/>
    <mergeCell ref="C3874:G3874"/>
    <mergeCell ref="C3918:G3918"/>
    <mergeCell ref="C3962:G3962"/>
    <mergeCell ref="C4006:G4006"/>
    <mergeCell ref="C222:G222"/>
    <mergeCell ref="C750:G750"/>
    <mergeCell ref="C266:G266"/>
    <mergeCell ref="C310:G310"/>
    <mergeCell ref="C354:G354"/>
    <mergeCell ref="C398:G398"/>
    <mergeCell ref="C442:G442"/>
    <mergeCell ref="C486:G486"/>
    <mergeCell ref="C530:G530"/>
    <mergeCell ref="C574:G574"/>
    <mergeCell ref="C618:G618"/>
    <mergeCell ref="C662:G662"/>
    <mergeCell ref="C706:G706"/>
    <mergeCell ref="C1278:G1278"/>
    <mergeCell ref="C794:G794"/>
    <mergeCell ref="C7086:G7086"/>
    <mergeCell ref="C7130:G7130"/>
    <mergeCell ref="C7174:G7174"/>
    <mergeCell ref="C7218:G7218"/>
    <mergeCell ref="C7262:G7262"/>
    <mergeCell ref="C7306:G7306"/>
    <mergeCell ref="C7350:G7350"/>
    <mergeCell ref="C5898:G5898"/>
    <mergeCell ref="C5942:G5942"/>
    <mergeCell ref="C5986:G5986"/>
    <mergeCell ref="C6030:G6030"/>
    <mergeCell ref="C6074:G6074"/>
    <mergeCell ref="C6118:G6118"/>
    <mergeCell ref="C6206:G6206"/>
    <mergeCell ref="C6250:G6250"/>
    <mergeCell ref="C6294:G6294"/>
    <mergeCell ref="C6954:G6954"/>
    <mergeCell ref="C6998:G6998"/>
    <mergeCell ref="C6690:G6690"/>
    <mergeCell ref="C6734:G6734"/>
    <mergeCell ref="C6778:G6778"/>
    <mergeCell ref="C6822:G6822"/>
    <mergeCell ref="C6866:G6866"/>
    <mergeCell ref="C6910:G6910"/>
    <mergeCell ref="C6338:G6338"/>
    <mergeCell ref="C6382:G6382"/>
    <mergeCell ref="C6426:G6426"/>
    <mergeCell ref="C6470:G6470"/>
    <mergeCell ref="C6514:G6514"/>
    <mergeCell ref="C6558:G6558"/>
    <mergeCell ref="C6602:G6602"/>
    <mergeCell ref="C6646:G6646"/>
    <mergeCell ref="C7042:G7042"/>
    <mergeCell ref="C9902:G9902"/>
    <mergeCell ref="C9418:G9418"/>
    <mergeCell ref="C9462:G9462"/>
    <mergeCell ref="C9506:G9506"/>
    <mergeCell ref="C9550:G9550"/>
    <mergeCell ref="C9594:G9594"/>
    <mergeCell ref="C9638:G9638"/>
    <mergeCell ref="C9682:G9682"/>
    <mergeCell ref="C9726:G9726"/>
    <mergeCell ref="C9770:G9770"/>
    <mergeCell ref="C11530:G11530"/>
    <mergeCell ref="C11574:G11574"/>
    <mergeCell ref="C11618:G11618"/>
    <mergeCell ref="C11662:G11662"/>
    <mergeCell ref="C11706:G11706"/>
    <mergeCell ref="C11750:G11750"/>
    <mergeCell ref="C11794:G11794"/>
    <mergeCell ref="C11838:G11838"/>
    <mergeCell ref="C11882:G11882"/>
    <mergeCell ref="C12322:G12322"/>
    <mergeCell ref="C12366:G12366"/>
    <mergeCell ref="C12410:G12410"/>
    <mergeCell ref="C12454:G12454"/>
    <mergeCell ref="C12498:G12498"/>
    <mergeCell ref="C12542:G12542"/>
    <mergeCell ref="C11926:G11926"/>
    <mergeCell ref="C11970:G11970"/>
    <mergeCell ref="C12014:G12014"/>
    <mergeCell ref="C12058:G12058"/>
    <mergeCell ref="C12102:G12102"/>
    <mergeCell ref="C12146:G12146"/>
    <mergeCell ref="C12190:G12190"/>
    <mergeCell ref="C12234:G12234"/>
    <mergeCell ref="C12278:G12278"/>
  </mergeCells>
  <conditionalFormatting sqref="H886">
    <cfRule type="duplicateValues" dxfId="10" priority="4"/>
  </conditionalFormatting>
  <conditionalFormatting sqref="H7090">
    <cfRule type="duplicateValues" dxfId="9" priority="5"/>
  </conditionalFormatting>
  <conditionalFormatting sqref="H11754">
    <cfRule type="duplicateValues" dxfId="8" priority="2"/>
  </conditionalFormatting>
  <conditionalFormatting sqref="H11798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7FEE-5254-4FFE-986C-66B88E83017F}">
  <dimension ref="A1:O424"/>
  <sheetViews>
    <sheetView topLeftCell="A409" workbookViewId="0">
      <selection activeCell="A418" sqref="A418"/>
    </sheetView>
  </sheetViews>
  <sheetFormatPr baseColWidth="10" defaultRowHeight="15"/>
  <cols>
    <col min="1" max="1" width="11.5703125" style="217"/>
    <col min="2" max="2" width="57.140625" customWidth="1"/>
    <col min="3" max="3" width="6.5703125" bestFit="1" customWidth="1"/>
    <col min="4" max="4" width="13.28515625" bestFit="1" customWidth="1"/>
    <col min="12" max="12" width="47.7109375" bestFit="1" customWidth="1"/>
    <col min="13" max="13" width="15" bestFit="1" customWidth="1"/>
    <col min="14" max="14" width="8.28515625" customWidth="1"/>
    <col min="15" max="15" width="11.5703125" style="223"/>
  </cols>
  <sheetData>
    <row r="1" spans="1:15" ht="15.75" thickBot="1">
      <c r="L1" s="226" t="s">
        <v>1080</v>
      </c>
      <c r="M1" s="223">
        <f ca="1">TODAY()</f>
        <v>45853</v>
      </c>
    </row>
    <row r="2" spans="1:15" ht="15.75" thickBot="1">
      <c r="B2" s="14" t="s">
        <v>1</v>
      </c>
      <c r="C2" s="15" t="s">
        <v>2</v>
      </c>
      <c r="D2" s="15" t="s">
        <v>3</v>
      </c>
      <c r="L2" s="14" t="s">
        <v>1</v>
      </c>
      <c r="M2" s="15" t="s">
        <v>1078</v>
      </c>
      <c r="N2" s="15" t="s">
        <v>1082</v>
      </c>
      <c r="O2" s="224" t="s">
        <v>1081</v>
      </c>
    </row>
    <row r="3" spans="1:15">
      <c r="A3" s="217" t="s">
        <v>218</v>
      </c>
      <c r="B3" s="17" t="s">
        <v>141</v>
      </c>
      <c r="C3" s="21" t="s">
        <v>9</v>
      </c>
      <c r="D3" s="20">
        <v>25713.600000000002</v>
      </c>
      <c r="L3" s="180"/>
      <c r="M3" s="21">
        <f t="shared" ref="M3:M20" si="0">_xlfn.XLOOKUP(L3,B:B,A:A,"NO SE ENCONTRO",0,1)</f>
        <v>0</v>
      </c>
      <c r="N3" s="227">
        <f ca="1">$M$1-O3</f>
        <v>45853</v>
      </c>
      <c r="O3" s="225">
        <f t="shared" ref="O3:O20" si="1">_xlfn.XLOOKUP(L3,B:B,H:H,"",0,1)</f>
        <v>0</v>
      </c>
    </row>
    <row r="4" spans="1:15">
      <c r="A4" s="217" t="s">
        <v>219</v>
      </c>
      <c r="B4" s="17" t="s">
        <v>140</v>
      </c>
      <c r="C4" s="21" t="s">
        <v>9</v>
      </c>
      <c r="D4" s="20">
        <v>37759.700000000004</v>
      </c>
      <c r="L4" s="180" t="s">
        <v>59</v>
      </c>
      <c r="M4" s="21" t="str">
        <f t="shared" si="0"/>
        <v>16B903F2</v>
      </c>
      <c r="N4" s="227">
        <f t="shared" ref="N4:N14" ca="1" si="2">$M$1-O4</f>
        <v>473</v>
      </c>
      <c r="O4" s="225">
        <f t="shared" si="1"/>
        <v>45380</v>
      </c>
    </row>
    <row r="5" spans="1:15">
      <c r="A5" s="217" t="s">
        <v>220</v>
      </c>
      <c r="B5" s="17" t="s">
        <v>104</v>
      </c>
      <c r="C5" s="21" t="s">
        <v>9</v>
      </c>
      <c r="D5" s="20">
        <f>21180*1.19</f>
        <v>25204.199999999997</v>
      </c>
      <c r="H5" s="198">
        <v>45421</v>
      </c>
      <c r="L5" s="17" t="s">
        <v>1606</v>
      </c>
      <c r="M5" s="21" t="str">
        <f t="shared" si="0"/>
        <v>30D52E32</v>
      </c>
      <c r="N5" s="227">
        <f t="shared" ca="1" si="2"/>
        <v>45853</v>
      </c>
      <c r="O5" s="225">
        <f t="shared" si="1"/>
        <v>0</v>
      </c>
    </row>
    <row r="6" spans="1:15">
      <c r="A6" s="217" t="s">
        <v>221</v>
      </c>
      <c r="B6" s="17" t="s">
        <v>103</v>
      </c>
      <c r="C6" s="21" t="s">
        <v>9</v>
      </c>
      <c r="D6" s="20">
        <f>21450*1.19</f>
        <v>25525.5</v>
      </c>
      <c r="H6" s="198">
        <v>45421</v>
      </c>
      <c r="L6" s="17" t="s">
        <v>1607</v>
      </c>
      <c r="M6" s="21" t="str">
        <f t="shared" si="0"/>
        <v>17A38A73</v>
      </c>
      <c r="N6" s="227">
        <f t="shared" ca="1" si="2"/>
        <v>45853</v>
      </c>
      <c r="O6" s="225">
        <f t="shared" si="1"/>
        <v>0</v>
      </c>
    </row>
    <row r="7" spans="1:15">
      <c r="A7" s="217" t="s">
        <v>222</v>
      </c>
      <c r="B7" s="17" t="s">
        <v>59</v>
      </c>
      <c r="C7" s="21" t="s">
        <v>9</v>
      </c>
      <c r="D7" s="20">
        <v>10000</v>
      </c>
      <c r="H7" s="198">
        <v>45380</v>
      </c>
      <c r="L7" s="17" t="s">
        <v>1608</v>
      </c>
      <c r="M7" s="21" t="str">
        <f t="shared" si="0"/>
        <v>NO SE ENCONTRO</v>
      </c>
      <c r="N7" s="227" t="e">
        <f t="shared" ca="1" si="2"/>
        <v>#VALUE!</v>
      </c>
      <c r="O7" s="225" t="str">
        <f t="shared" si="1"/>
        <v/>
      </c>
    </row>
    <row r="8" spans="1:15">
      <c r="A8" s="217" t="s">
        <v>223</v>
      </c>
      <c r="B8" s="17" t="s">
        <v>95</v>
      </c>
      <c r="C8" s="21" t="s">
        <v>9</v>
      </c>
      <c r="D8" s="20">
        <v>12000</v>
      </c>
      <c r="H8" s="198">
        <v>45527</v>
      </c>
      <c r="L8" s="17" t="s">
        <v>1609</v>
      </c>
      <c r="M8" s="21" t="str">
        <f t="shared" si="0"/>
        <v>NO SE ENCONTRO</v>
      </c>
      <c r="N8" s="227" t="e">
        <f t="shared" ca="1" si="2"/>
        <v>#VALUE!</v>
      </c>
      <c r="O8" s="225" t="str">
        <f t="shared" si="1"/>
        <v/>
      </c>
    </row>
    <row r="9" spans="1:15">
      <c r="A9" s="217" t="s">
        <v>224</v>
      </c>
      <c r="B9" s="17" t="s">
        <v>100</v>
      </c>
      <c r="C9" s="21" t="s">
        <v>9</v>
      </c>
      <c r="D9" s="20">
        <f>26650*1.19</f>
        <v>31713.5</v>
      </c>
      <c r="H9" s="198">
        <v>45421</v>
      </c>
      <c r="L9" s="17" t="s">
        <v>1610</v>
      </c>
      <c r="M9" s="21" t="str">
        <f t="shared" si="0"/>
        <v>NO SE ENCONTRO</v>
      </c>
      <c r="N9" s="227" t="e">
        <f t="shared" ca="1" si="2"/>
        <v>#VALUE!</v>
      </c>
      <c r="O9" s="225" t="str">
        <f t="shared" si="1"/>
        <v/>
      </c>
    </row>
    <row r="10" spans="1:15">
      <c r="A10" s="217" t="s">
        <v>225</v>
      </c>
      <c r="B10" s="17" t="s">
        <v>127</v>
      </c>
      <c r="C10" s="21" t="s">
        <v>9</v>
      </c>
      <c r="D10" s="20">
        <v>65514.900000000009</v>
      </c>
      <c r="L10" s="17" t="s">
        <v>1611</v>
      </c>
      <c r="M10" s="21" t="str">
        <f t="shared" si="0"/>
        <v>37EBFFE3</v>
      </c>
      <c r="N10" s="227">
        <f t="shared" ca="1" si="2"/>
        <v>45853</v>
      </c>
      <c r="O10" s="225">
        <f t="shared" si="1"/>
        <v>0</v>
      </c>
    </row>
    <row r="11" spans="1:15">
      <c r="A11" s="217" t="s">
        <v>226</v>
      </c>
      <c r="B11" s="17" t="s">
        <v>34</v>
      </c>
      <c r="C11" s="21" t="s">
        <v>7</v>
      </c>
      <c r="D11" s="20">
        <f>175000*1.19/50</f>
        <v>4165</v>
      </c>
      <c r="H11" s="198">
        <v>45421</v>
      </c>
      <c r="L11" s="17" t="s">
        <v>1612</v>
      </c>
      <c r="M11" s="21" t="str">
        <f t="shared" si="0"/>
        <v>164B9C44</v>
      </c>
      <c r="N11" s="227">
        <f t="shared" ca="1" si="2"/>
        <v>45853</v>
      </c>
      <c r="O11" s="225">
        <f t="shared" si="1"/>
        <v>0</v>
      </c>
    </row>
    <row r="12" spans="1:15">
      <c r="A12" s="217" t="s">
        <v>524</v>
      </c>
      <c r="B12" s="17" t="s">
        <v>13</v>
      </c>
      <c r="C12" s="21" t="s">
        <v>7</v>
      </c>
      <c r="D12" s="20">
        <f>125000*1.19/50</f>
        <v>2975</v>
      </c>
      <c r="H12" s="198">
        <v>45421</v>
      </c>
      <c r="L12" s="17" t="s">
        <v>1613</v>
      </c>
      <c r="M12" s="21" t="str">
        <f t="shared" si="0"/>
        <v>NO SE ENCONTRO</v>
      </c>
      <c r="N12" s="227" t="e">
        <f t="shared" ca="1" si="2"/>
        <v>#VALUE!</v>
      </c>
      <c r="O12" s="225" t="str">
        <f t="shared" si="1"/>
        <v/>
      </c>
    </row>
    <row r="13" spans="1:15">
      <c r="A13" s="217" t="s">
        <v>227</v>
      </c>
      <c r="B13" s="17" t="s">
        <v>12</v>
      </c>
      <c r="C13" s="21" t="s">
        <v>7</v>
      </c>
      <c r="D13" s="20">
        <f>107500*1.19/50</f>
        <v>2558.5</v>
      </c>
      <c r="H13" s="198">
        <v>45421</v>
      </c>
      <c r="L13" s="17"/>
      <c r="M13" s="21">
        <f t="shared" si="0"/>
        <v>0</v>
      </c>
      <c r="N13" s="227">
        <f t="shared" ca="1" si="2"/>
        <v>45853</v>
      </c>
      <c r="O13" s="225">
        <f t="shared" si="1"/>
        <v>0</v>
      </c>
    </row>
    <row r="14" spans="1:15">
      <c r="A14" s="217" t="s">
        <v>228</v>
      </c>
      <c r="B14" s="17" t="s">
        <v>213</v>
      </c>
      <c r="C14" s="21" t="s">
        <v>7</v>
      </c>
      <c r="D14" s="20">
        <v>5270</v>
      </c>
      <c r="H14" s="198">
        <v>45607</v>
      </c>
      <c r="L14" s="17"/>
      <c r="M14" s="21">
        <f t="shared" si="0"/>
        <v>0</v>
      </c>
      <c r="N14" s="227">
        <f t="shared" ca="1" si="2"/>
        <v>45853</v>
      </c>
      <c r="O14" s="225">
        <f t="shared" si="1"/>
        <v>0</v>
      </c>
    </row>
    <row r="15" spans="1:15">
      <c r="A15" s="217" t="s">
        <v>229</v>
      </c>
      <c r="B15" s="17" t="s">
        <v>178</v>
      </c>
      <c r="C15" s="21" t="s">
        <v>9</v>
      </c>
      <c r="D15" s="20">
        <v>27800</v>
      </c>
      <c r="L15" s="17"/>
      <c r="M15" s="21">
        <f t="shared" si="0"/>
        <v>0</v>
      </c>
      <c r="N15" s="227">
        <f t="shared" ref="N15:N20" ca="1" si="3">$M$1-O15</f>
        <v>45853</v>
      </c>
      <c r="O15" s="225">
        <f t="shared" si="1"/>
        <v>0</v>
      </c>
    </row>
    <row r="16" spans="1:15">
      <c r="A16" s="217" t="s">
        <v>230</v>
      </c>
      <c r="B16" s="17" t="s">
        <v>179</v>
      </c>
      <c r="C16" s="21" t="s">
        <v>9</v>
      </c>
      <c r="D16" s="20">
        <v>50490.000000000007</v>
      </c>
      <c r="L16" s="17"/>
      <c r="M16" s="21">
        <f t="shared" si="0"/>
        <v>0</v>
      </c>
      <c r="N16" s="227">
        <f t="shared" ca="1" si="3"/>
        <v>45853</v>
      </c>
      <c r="O16" s="225">
        <f t="shared" si="1"/>
        <v>0</v>
      </c>
    </row>
    <row r="17" spans="1:15">
      <c r="A17" s="217" t="s">
        <v>231</v>
      </c>
      <c r="B17" s="17" t="s">
        <v>66</v>
      </c>
      <c r="C17" s="21" t="s">
        <v>67</v>
      </c>
      <c r="D17" s="20">
        <f>130000*1.19</f>
        <v>154700</v>
      </c>
      <c r="H17" s="198">
        <v>45423</v>
      </c>
      <c r="L17" s="17"/>
      <c r="M17" s="21">
        <f t="shared" si="0"/>
        <v>0</v>
      </c>
      <c r="N17" s="227">
        <f t="shared" ca="1" si="3"/>
        <v>45853</v>
      </c>
      <c r="O17" s="225">
        <f t="shared" si="1"/>
        <v>0</v>
      </c>
    </row>
    <row r="18" spans="1:15">
      <c r="A18" s="217" t="s">
        <v>523</v>
      </c>
      <c r="B18" s="17" t="s">
        <v>68</v>
      </c>
      <c r="C18" s="21" t="s">
        <v>67</v>
      </c>
      <c r="D18" s="20">
        <f>160000*1.19</f>
        <v>190400</v>
      </c>
      <c r="H18" s="198">
        <v>45423</v>
      </c>
      <c r="L18" s="17"/>
      <c r="M18" s="21">
        <f t="shared" si="0"/>
        <v>0</v>
      </c>
      <c r="N18" s="227">
        <f t="shared" ca="1" si="3"/>
        <v>45853</v>
      </c>
      <c r="O18" s="225">
        <f t="shared" si="1"/>
        <v>0</v>
      </c>
    </row>
    <row r="19" spans="1:15">
      <c r="A19" s="217" t="s">
        <v>232</v>
      </c>
      <c r="B19" s="17" t="s">
        <v>160</v>
      </c>
      <c r="C19" s="21" t="s">
        <v>70</v>
      </c>
      <c r="D19" s="20">
        <v>870200</v>
      </c>
      <c r="L19" s="17"/>
      <c r="M19" s="21">
        <f t="shared" si="0"/>
        <v>0</v>
      </c>
      <c r="N19" s="227">
        <f t="shared" ca="1" si="3"/>
        <v>45853</v>
      </c>
      <c r="O19" s="225">
        <f t="shared" si="1"/>
        <v>0</v>
      </c>
    </row>
    <row r="20" spans="1:15">
      <c r="A20" s="217" t="s">
        <v>233</v>
      </c>
      <c r="B20" s="17" t="s">
        <v>40</v>
      </c>
      <c r="C20" s="21" t="s">
        <v>9</v>
      </c>
      <c r="D20" s="20">
        <v>15300</v>
      </c>
      <c r="H20" s="198">
        <v>45380</v>
      </c>
      <c r="L20" s="17"/>
      <c r="M20" s="21">
        <f t="shared" si="0"/>
        <v>0</v>
      </c>
      <c r="N20" s="227">
        <f t="shared" ca="1" si="3"/>
        <v>45853</v>
      </c>
      <c r="O20" s="225">
        <f t="shared" si="1"/>
        <v>0</v>
      </c>
    </row>
    <row r="21" spans="1:15">
      <c r="A21" s="217" t="s">
        <v>234</v>
      </c>
      <c r="B21" s="17" t="s">
        <v>41</v>
      </c>
      <c r="C21" s="21" t="s">
        <v>9</v>
      </c>
      <c r="D21" s="20">
        <f>46500*1.19</f>
        <v>55335</v>
      </c>
      <c r="H21" s="198">
        <v>45422</v>
      </c>
    </row>
    <row r="22" spans="1:15">
      <c r="A22" s="217" t="s">
        <v>235</v>
      </c>
      <c r="B22" s="17" t="s">
        <v>42</v>
      </c>
      <c r="C22" s="21" t="s">
        <v>9</v>
      </c>
      <c r="D22" s="20">
        <f>73000*1.19</f>
        <v>86870</v>
      </c>
      <c r="H22" s="198">
        <v>45422</v>
      </c>
    </row>
    <row r="23" spans="1:15">
      <c r="A23" s="217" t="s">
        <v>558</v>
      </c>
      <c r="B23" s="17" t="s">
        <v>559</v>
      </c>
      <c r="C23" s="21" t="s">
        <v>9</v>
      </c>
      <c r="D23" s="20">
        <v>84400</v>
      </c>
      <c r="H23" s="198">
        <v>45380</v>
      </c>
    </row>
    <row r="24" spans="1:15">
      <c r="A24" s="217" t="s">
        <v>236</v>
      </c>
      <c r="B24" s="17" t="s">
        <v>202</v>
      </c>
      <c r="C24" s="21" t="s">
        <v>9</v>
      </c>
      <c r="D24" s="20">
        <v>70335</v>
      </c>
    </row>
    <row r="25" spans="1:15">
      <c r="A25" s="217" t="s">
        <v>237</v>
      </c>
      <c r="B25" s="17" t="s">
        <v>201</v>
      </c>
      <c r="C25" s="21" t="s">
        <v>9</v>
      </c>
      <c r="D25" s="20">
        <v>126577</v>
      </c>
    </row>
    <row r="26" spans="1:15">
      <c r="A26" s="217" t="s">
        <v>238</v>
      </c>
      <c r="B26" s="17" t="s">
        <v>200</v>
      </c>
      <c r="C26" s="21" t="s">
        <v>9</v>
      </c>
      <c r="D26" s="20">
        <v>215947.35</v>
      </c>
    </row>
    <row r="27" spans="1:15">
      <c r="A27" s="217" t="s">
        <v>239</v>
      </c>
      <c r="B27" s="17" t="s">
        <v>98</v>
      </c>
      <c r="C27" s="21" t="s">
        <v>9</v>
      </c>
      <c r="D27" s="20">
        <v>122300</v>
      </c>
      <c r="H27" s="198">
        <v>45423</v>
      </c>
    </row>
    <row r="28" spans="1:15">
      <c r="A28" s="217" t="s">
        <v>240</v>
      </c>
      <c r="B28" s="17" t="s">
        <v>58</v>
      </c>
      <c r="C28" s="21" t="s">
        <v>9</v>
      </c>
      <c r="D28" s="20">
        <v>6114.35</v>
      </c>
    </row>
    <row r="29" spans="1:15">
      <c r="A29" s="217" t="s">
        <v>241</v>
      </c>
      <c r="B29" s="17" t="s">
        <v>138</v>
      </c>
      <c r="C29" s="21" t="s">
        <v>9</v>
      </c>
      <c r="D29" s="20">
        <v>18200</v>
      </c>
    </row>
    <row r="30" spans="1:15">
      <c r="A30" s="217" t="s">
        <v>242</v>
      </c>
      <c r="B30" s="17" t="s">
        <v>78</v>
      </c>
      <c r="C30" s="21" t="s">
        <v>9</v>
      </c>
      <c r="D30" s="20">
        <f>7500*1.19</f>
        <v>8925</v>
      </c>
      <c r="H30" s="198">
        <v>45423</v>
      </c>
    </row>
    <row r="31" spans="1:15">
      <c r="A31" s="217" t="s">
        <v>243</v>
      </c>
      <c r="B31" s="17" t="s">
        <v>84</v>
      </c>
      <c r="C31" s="21" t="s">
        <v>9</v>
      </c>
      <c r="D31" s="20">
        <f>7400*1.19</f>
        <v>8806</v>
      </c>
      <c r="H31" s="198">
        <v>45423</v>
      </c>
    </row>
    <row r="32" spans="1:15">
      <c r="A32" s="217" t="s">
        <v>244</v>
      </c>
      <c r="B32" s="17" t="s">
        <v>76</v>
      </c>
      <c r="C32" s="21" t="s">
        <v>9</v>
      </c>
      <c r="D32" s="20">
        <f>20900*1.19</f>
        <v>24871</v>
      </c>
      <c r="H32" s="198">
        <v>45423</v>
      </c>
    </row>
    <row r="33" spans="1:8">
      <c r="A33" s="217" t="s">
        <v>245</v>
      </c>
      <c r="B33" s="17" t="s">
        <v>87</v>
      </c>
      <c r="C33" s="21" t="s">
        <v>9</v>
      </c>
      <c r="D33" s="20">
        <v>3460</v>
      </c>
      <c r="H33" s="198">
        <v>45626</v>
      </c>
    </row>
    <row r="34" spans="1:8">
      <c r="A34" s="217" t="s">
        <v>246</v>
      </c>
      <c r="B34" s="17" t="s">
        <v>75</v>
      </c>
      <c r="C34" s="21" t="s">
        <v>9</v>
      </c>
      <c r="D34" s="20">
        <f>11600*1.19</f>
        <v>13804</v>
      </c>
      <c r="H34" s="198">
        <v>45423</v>
      </c>
    </row>
    <row r="35" spans="1:8">
      <c r="A35" s="217" t="s">
        <v>247</v>
      </c>
      <c r="B35" s="17" t="s">
        <v>85</v>
      </c>
      <c r="C35" s="21" t="s">
        <v>9</v>
      </c>
      <c r="D35" s="20">
        <f>2600*1.19</f>
        <v>3094</v>
      </c>
      <c r="H35" s="198">
        <v>45423</v>
      </c>
    </row>
    <row r="36" spans="1:8">
      <c r="A36" s="217" t="s">
        <v>248</v>
      </c>
      <c r="B36" s="17" t="s">
        <v>198</v>
      </c>
      <c r="C36" s="21" t="s">
        <v>9</v>
      </c>
      <c r="D36" s="20">
        <v>4260</v>
      </c>
      <c r="H36" s="198">
        <v>45614</v>
      </c>
    </row>
    <row r="37" spans="1:8">
      <c r="A37" s="217" t="s">
        <v>249</v>
      </c>
      <c r="B37" s="17" t="s">
        <v>96</v>
      </c>
      <c r="C37" s="21" t="s">
        <v>9</v>
      </c>
      <c r="D37" s="20">
        <v>7120</v>
      </c>
      <c r="H37" s="198">
        <v>45518</v>
      </c>
    </row>
    <row r="38" spans="1:8">
      <c r="A38" s="217" t="s">
        <v>560</v>
      </c>
      <c r="B38" s="17" t="s">
        <v>186</v>
      </c>
      <c r="C38" s="21" t="s">
        <v>9</v>
      </c>
      <c r="D38" s="20">
        <v>22100</v>
      </c>
      <c r="H38" s="198">
        <v>45518</v>
      </c>
    </row>
    <row r="39" spans="1:8">
      <c r="A39" s="217" t="s">
        <v>250</v>
      </c>
      <c r="B39" s="17" t="s">
        <v>143</v>
      </c>
      <c r="C39" s="21" t="s">
        <v>9</v>
      </c>
      <c r="D39" s="20">
        <v>9430</v>
      </c>
      <c r="H39" s="198">
        <v>45518</v>
      </c>
    </row>
    <row r="40" spans="1:8">
      <c r="A40" s="217" t="s">
        <v>251</v>
      </c>
      <c r="B40" s="17" t="s">
        <v>196</v>
      </c>
      <c r="C40" s="21" t="s">
        <v>9</v>
      </c>
      <c r="D40" s="20">
        <v>1000</v>
      </c>
    </row>
    <row r="41" spans="1:8">
      <c r="A41" s="217" t="s">
        <v>252</v>
      </c>
      <c r="B41" s="17" t="s">
        <v>192</v>
      </c>
      <c r="C41" s="21" t="s">
        <v>9</v>
      </c>
      <c r="D41" s="20">
        <v>3251</v>
      </c>
      <c r="H41" s="198">
        <v>45518</v>
      </c>
    </row>
    <row r="42" spans="1:8">
      <c r="A42" s="217" t="s">
        <v>253</v>
      </c>
      <c r="B42" s="17" t="s">
        <v>189</v>
      </c>
      <c r="C42" s="21" t="s">
        <v>9</v>
      </c>
      <c r="D42" s="20">
        <v>1860</v>
      </c>
      <c r="H42" s="198">
        <v>45527</v>
      </c>
    </row>
    <row r="43" spans="1:8">
      <c r="A43" s="217" t="s">
        <v>254</v>
      </c>
      <c r="B43" s="17" t="s">
        <v>195</v>
      </c>
      <c r="C43" s="21" t="s">
        <v>9</v>
      </c>
      <c r="D43" s="20">
        <v>1800</v>
      </c>
      <c r="H43" s="198">
        <v>45380</v>
      </c>
    </row>
    <row r="44" spans="1:8">
      <c r="A44" s="217" t="s">
        <v>255</v>
      </c>
      <c r="B44" s="17" t="s">
        <v>81</v>
      </c>
      <c r="C44" s="21" t="s">
        <v>9</v>
      </c>
      <c r="D44" s="20">
        <v>1200</v>
      </c>
      <c r="H44" s="198">
        <v>45380</v>
      </c>
    </row>
    <row r="45" spans="1:8">
      <c r="A45" s="217" t="s">
        <v>256</v>
      </c>
      <c r="B45" s="17" t="s">
        <v>114</v>
      </c>
      <c r="C45" s="21" t="s">
        <v>9</v>
      </c>
      <c r="D45" s="20">
        <v>99600</v>
      </c>
    </row>
    <row r="46" spans="1:8">
      <c r="A46" s="217" t="s">
        <v>561</v>
      </c>
      <c r="B46" s="17" t="s">
        <v>142</v>
      </c>
      <c r="C46" s="21" t="s">
        <v>7</v>
      </c>
      <c r="D46" s="20">
        <v>70345</v>
      </c>
      <c r="H46" s="198">
        <v>45616</v>
      </c>
    </row>
    <row r="47" spans="1:8">
      <c r="A47" s="217" t="s">
        <v>257</v>
      </c>
      <c r="B47" s="17" t="s">
        <v>77</v>
      </c>
      <c r="C47" s="21" t="s">
        <v>7</v>
      </c>
      <c r="D47" s="20">
        <f>8200*1.19</f>
        <v>9758</v>
      </c>
      <c r="H47" s="198">
        <v>45423</v>
      </c>
    </row>
    <row r="48" spans="1:8">
      <c r="A48" s="217" t="s">
        <v>258</v>
      </c>
      <c r="B48" s="17" t="s">
        <v>82</v>
      </c>
      <c r="C48" s="21" t="s">
        <v>7</v>
      </c>
      <c r="D48" s="20">
        <f>5200*1.19</f>
        <v>6188</v>
      </c>
      <c r="H48" s="198">
        <v>45423</v>
      </c>
    </row>
    <row r="49" spans="1:8">
      <c r="A49" s="217" t="s">
        <v>259</v>
      </c>
      <c r="B49" s="17" t="s">
        <v>73</v>
      </c>
      <c r="C49" s="21" t="s">
        <v>7</v>
      </c>
      <c r="D49" s="20">
        <f>21800*1.19</f>
        <v>25942</v>
      </c>
      <c r="H49" s="198">
        <v>45423</v>
      </c>
    </row>
    <row r="50" spans="1:8">
      <c r="A50" s="217" t="s">
        <v>260</v>
      </c>
      <c r="B50" s="17" t="s">
        <v>86</v>
      </c>
      <c r="C50" s="21" t="s">
        <v>7</v>
      </c>
      <c r="D50" s="20">
        <v>3870</v>
      </c>
      <c r="H50" s="198">
        <v>45626</v>
      </c>
    </row>
    <row r="51" spans="1:8">
      <c r="A51" s="217" t="s">
        <v>261</v>
      </c>
      <c r="B51" s="17" t="s">
        <v>74</v>
      </c>
      <c r="C51" s="21" t="s">
        <v>7</v>
      </c>
      <c r="D51" s="20">
        <f>13100*1.19</f>
        <v>15589</v>
      </c>
      <c r="H51" s="198">
        <v>45423</v>
      </c>
    </row>
    <row r="52" spans="1:8">
      <c r="A52" s="217" t="s">
        <v>262</v>
      </c>
      <c r="B52" s="17" t="s">
        <v>83</v>
      </c>
      <c r="C52" s="21" t="s">
        <v>7</v>
      </c>
      <c r="D52" s="20">
        <f>2700*1.19</f>
        <v>3213</v>
      </c>
      <c r="H52" s="198">
        <v>45423</v>
      </c>
    </row>
    <row r="53" spans="1:8">
      <c r="A53" s="217" t="s">
        <v>263</v>
      </c>
      <c r="B53" s="17" t="s">
        <v>99</v>
      </c>
      <c r="C53" s="21" t="s">
        <v>7</v>
      </c>
      <c r="D53" s="20">
        <f>3750*1.19</f>
        <v>4462.5</v>
      </c>
      <c r="H53" s="198">
        <v>45421</v>
      </c>
    </row>
    <row r="54" spans="1:8">
      <c r="A54" s="217" t="s">
        <v>264</v>
      </c>
      <c r="B54" s="17" t="s">
        <v>197</v>
      </c>
      <c r="C54" s="21" t="s">
        <v>7</v>
      </c>
      <c r="D54" s="20">
        <v>39250</v>
      </c>
      <c r="H54" s="198">
        <v>45380</v>
      </c>
    </row>
    <row r="55" spans="1:8">
      <c r="A55" s="217" t="s">
        <v>265</v>
      </c>
      <c r="B55" s="17" t="s">
        <v>80</v>
      </c>
      <c r="C55" s="21" t="s">
        <v>7</v>
      </c>
      <c r="D55" s="20">
        <v>5215</v>
      </c>
      <c r="G55" s="199"/>
      <c r="H55" s="198">
        <v>45626</v>
      </c>
    </row>
    <row r="56" spans="1:8">
      <c r="A56" s="217" t="s">
        <v>266</v>
      </c>
      <c r="B56" s="17" t="s">
        <v>173</v>
      </c>
      <c r="C56" s="21" t="s">
        <v>7</v>
      </c>
      <c r="D56" s="20">
        <v>3999.6000000000004</v>
      </c>
    </row>
    <row r="57" spans="1:8">
      <c r="A57" s="217" t="s">
        <v>267</v>
      </c>
      <c r="B57" s="17" t="s">
        <v>88</v>
      </c>
      <c r="C57" s="21" t="s">
        <v>7</v>
      </c>
      <c r="D57" s="20">
        <v>3020</v>
      </c>
      <c r="H57" s="198">
        <v>45625</v>
      </c>
    </row>
    <row r="58" spans="1:8">
      <c r="A58" s="217" t="s">
        <v>268</v>
      </c>
      <c r="B58" s="17" t="s">
        <v>191</v>
      </c>
      <c r="C58" s="21" t="s">
        <v>7</v>
      </c>
      <c r="D58" s="20">
        <v>23687</v>
      </c>
      <c r="G58" s="199"/>
      <c r="H58" s="198">
        <v>45516</v>
      </c>
    </row>
    <row r="59" spans="1:8">
      <c r="A59" s="217" t="s">
        <v>269</v>
      </c>
      <c r="B59" s="17" t="s">
        <v>193</v>
      </c>
      <c r="C59" s="21" t="s">
        <v>7</v>
      </c>
      <c r="D59" s="20">
        <v>46800</v>
      </c>
      <c r="H59" s="198">
        <v>45516</v>
      </c>
    </row>
    <row r="60" spans="1:8">
      <c r="A60" s="217" t="s">
        <v>270</v>
      </c>
      <c r="B60" s="17" t="s">
        <v>185</v>
      </c>
      <c r="C60" s="21" t="s">
        <v>7</v>
      </c>
      <c r="D60" s="20">
        <v>132540</v>
      </c>
      <c r="H60" s="198">
        <v>45516</v>
      </c>
    </row>
    <row r="61" spans="1:8">
      <c r="A61" s="217" t="s">
        <v>271</v>
      </c>
      <c r="B61" s="17" t="s">
        <v>1412</v>
      </c>
      <c r="C61" s="21" t="s">
        <v>7</v>
      </c>
      <c r="D61" s="20">
        <v>16320</v>
      </c>
      <c r="H61" s="198">
        <v>45527</v>
      </c>
    </row>
    <row r="62" spans="1:8">
      <c r="A62" s="217" t="s">
        <v>272</v>
      </c>
      <c r="B62" s="17" t="s">
        <v>190</v>
      </c>
      <c r="C62" s="21" t="s">
        <v>7</v>
      </c>
      <c r="D62" s="20">
        <v>72830</v>
      </c>
      <c r="H62" s="198">
        <v>45514</v>
      </c>
    </row>
    <row r="63" spans="1:8">
      <c r="A63" s="217" t="s">
        <v>273</v>
      </c>
      <c r="B63" s="17" t="s">
        <v>194</v>
      </c>
      <c r="C63" s="21" t="s">
        <v>7</v>
      </c>
      <c r="D63" s="20">
        <v>10300</v>
      </c>
      <c r="H63" s="198">
        <v>45528</v>
      </c>
    </row>
    <row r="64" spans="1:8">
      <c r="A64" s="217" t="s">
        <v>274</v>
      </c>
      <c r="B64" s="17" t="s">
        <v>79</v>
      </c>
      <c r="C64" s="21" t="s">
        <v>7</v>
      </c>
      <c r="D64" s="20">
        <v>6400</v>
      </c>
      <c r="G64" s="199"/>
      <c r="H64" s="198">
        <v>45514</v>
      </c>
    </row>
    <row r="65" spans="1:8">
      <c r="A65" s="217" t="s">
        <v>275</v>
      </c>
      <c r="B65" s="17" t="s">
        <v>89</v>
      </c>
      <c r="C65" s="21" t="s">
        <v>7</v>
      </c>
      <c r="D65" s="20">
        <v>46870</v>
      </c>
      <c r="H65" s="198">
        <v>45527</v>
      </c>
    </row>
    <row r="66" spans="1:8">
      <c r="A66" s="217" t="s">
        <v>276</v>
      </c>
      <c r="B66" s="17" t="s">
        <v>188</v>
      </c>
      <c r="C66" s="21" t="s">
        <v>7</v>
      </c>
      <c r="D66" s="20">
        <v>12592.499999999998</v>
      </c>
      <c r="G66" s="199"/>
    </row>
    <row r="67" spans="1:8">
      <c r="A67" s="217" t="s">
        <v>277</v>
      </c>
      <c r="B67" s="17" t="s">
        <v>164</v>
      </c>
      <c r="C67" s="21" t="s">
        <v>7</v>
      </c>
      <c r="D67" s="20">
        <v>4860</v>
      </c>
    </row>
    <row r="68" spans="1:8">
      <c r="A68" s="217" t="s">
        <v>278</v>
      </c>
      <c r="B68" s="17" t="s">
        <v>121</v>
      </c>
      <c r="C68" s="21" t="s">
        <v>7</v>
      </c>
      <c r="D68" s="20">
        <v>4730</v>
      </c>
      <c r="H68" s="198">
        <v>45380</v>
      </c>
    </row>
    <row r="69" spans="1:8">
      <c r="A69" s="217" t="s">
        <v>654</v>
      </c>
      <c r="B69" s="17" t="s">
        <v>655</v>
      </c>
      <c r="C69" s="21" t="s">
        <v>7</v>
      </c>
      <c r="D69" s="20">
        <v>5800</v>
      </c>
      <c r="H69" s="198">
        <v>45380</v>
      </c>
    </row>
    <row r="70" spans="1:8">
      <c r="A70" s="217" t="s">
        <v>279</v>
      </c>
      <c r="B70" s="17" t="s">
        <v>118</v>
      </c>
      <c r="C70" s="21" t="s">
        <v>9</v>
      </c>
      <c r="D70" s="20">
        <f>377400*1.19</f>
        <v>449106</v>
      </c>
      <c r="H70" s="198">
        <v>45422</v>
      </c>
    </row>
    <row r="71" spans="1:8">
      <c r="A71" s="217" t="s">
        <v>280</v>
      </c>
      <c r="B71" s="17" t="s">
        <v>206</v>
      </c>
      <c r="C71" s="21" t="s">
        <v>9</v>
      </c>
      <c r="D71" s="20">
        <v>52338.000000000007</v>
      </c>
    </row>
    <row r="72" spans="1:8">
      <c r="A72" s="217" t="s">
        <v>281</v>
      </c>
      <c r="B72" s="17" t="s">
        <v>207</v>
      </c>
      <c r="C72" s="21" t="s">
        <v>9</v>
      </c>
      <c r="D72" s="20">
        <v>139626.30000000002</v>
      </c>
    </row>
    <row r="73" spans="1:8">
      <c r="A73" s="217" t="s">
        <v>282</v>
      </c>
      <c r="B73" s="17" t="s">
        <v>163</v>
      </c>
      <c r="C73" s="21" t="s">
        <v>9</v>
      </c>
      <c r="D73" s="20">
        <v>18200</v>
      </c>
    </row>
    <row r="74" spans="1:8">
      <c r="A74" s="217" t="s">
        <v>283</v>
      </c>
      <c r="B74" s="17" t="s">
        <v>15</v>
      </c>
      <c r="C74" s="21" t="s">
        <v>9</v>
      </c>
      <c r="D74" s="20">
        <f>3800*1.19</f>
        <v>4522</v>
      </c>
      <c r="H74" s="198">
        <v>45421</v>
      </c>
    </row>
    <row r="75" spans="1:8">
      <c r="A75" s="217" t="s">
        <v>284</v>
      </c>
      <c r="B75" s="17" t="s">
        <v>39</v>
      </c>
      <c r="C75" s="21" t="s">
        <v>9</v>
      </c>
      <c r="D75" s="20">
        <v>63525.000000000007</v>
      </c>
    </row>
    <row r="76" spans="1:8">
      <c r="A76" s="217" t="s">
        <v>285</v>
      </c>
      <c r="B76" s="17" t="s">
        <v>43</v>
      </c>
      <c r="C76" s="21" t="s">
        <v>9</v>
      </c>
      <c r="D76" s="20">
        <f>37800*1.19</f>
        <v>44982</v>
      </c>
      <c r="H76" s="198">
        <v>45422</v>
      </c>
    </row>
    <row r="77" spans="1:8">
      <c r="A77" s="217" t="s">
        <v>286</v>
      </c>
      <c r="B77" s="17" t="s">
        <v>54</v>
      </c>
      <c r="C77" s="21" t="s">
        <v>9</v>
      </c>
      <c r="D77" s="20">
        <f>3400*1.19</f>
        <v>4046</v>
      </c>
      <c r="H77" s="198">
        <v>45423</v>
      </c>
    </row>
    <row r="78" spans="1:8">
      <c r="A78" s="217" t="s">
        <v>287</v>
      </c>
      <c r="B78" s="17" t="s">
        <v>205</v>
      </c>
      <c r="C78" s="21" t="s">
        <v>9</v>
      </c>
      <c r="D78" s="20">
        <v>8388.6</v>
      </c>
    </row>
    <row r="79" spans="1:8">
      <c r="A79" s="217" t="s">
        <v>525</v>
      </c>
      <c r="B79" s="17" t="s">
        <v>147</v>
      </c>
      <c r="C79" s="21" t="s">
        <v>9</v>
      </c>
      <c r="D79" s="20">
        <v>23537.800000000003</v>
      </c>
    </row>
    <row r="80" spans="1:8">
      <c r="A80" s="217" t="s">
        <v>526</v>
      </c>
      <c r="B80" s="17" t="s">
        <v>203</v>
      </c>
      <c r="C80" s="21" t="s">
        <v>9</v>
      </c>
      <c r="D80" s="20">
        <v>42900</v>
      </c>
    </row>
    <row r="81" spans="1:8">
      <c r="A81" s="217" t="s">
        <v>587</v>
      </c>
      <c r="B81" s="17" t="s">
        <v>586</v>
      </c>
      <c r="C81" s="21" t="s">
        <v>7</v>
      </c>
      <c r="D81" s="20">
        <f>132700/2.4</f>
        <v>55291.666666666672</v>
      </c>
      <c r="H81" s="198">
        <v>45380</v>
      </c>
    </row>
    <row r="82" spans="1:8">
      <c r="A82" s="217" t="s">
        <v>288</v>
      </c>
      <c r="B82" s="17" t="s">
        <v>51</v>
      </c>
      <c r="C82" s="21" t="s">
        <v>9</v>
      </c>
      <c r="D82" s="20">
        <f>68900*1.19</f>
        <v>81991</v>
      </c>
      <c r="H82" s="198">
        <v>45423</v>
      </c>
    </row>
    <row r="83" spans="1:8">
      <c r="A83" s="217" t="s">
        <v>289</v>
      </c>
      <c r="B83" s="17" t="s">
        <v>155</v>
      </c>
      <c r="C83" s="21" t="s">
        <v>9</v>
      </c>
      <c r="D83" s="20">
        <v>15337864</v>
      </c>
    </row>
    <row r="84" spans="1:8">
      <c r="A84" s="217" t="s">
        <v>290</v>
      </c>
      <c r="B84" s="17" t="s">
        <v>154</v>
      </c>
      <c r="C84" s="21" t="s">
        <v>9</v>
      </c>
      <c r="D84" s="20">
        <v>157800</v>
      </c>
    </row>
    <row r="85" spans="1:8">
      <c r="A85" s="217" t="s">
        <v>291</v>
      </c>
      <c r="B85" s="17" t="s">
        <v>156</v>
      </c>
      <c r="C85" s="21" t="s">
        <v>9</v>
      </c>
      <c r="D85" s="20">
        <v>15337864</v>
      </c>
    </row>
    <row r="86" spans="1:8">
      <c r="A86" s="217" t="s">
        <v>292</v>
      </c>
      <c r="B86" s="17" t="s">
        <v>153</v>
      </c>
      <c r="C86" s="21" t="s">
        <v>9</v>
      </c>
      <c r="D86" s="20">
        <v>17963555</v>
      </c>
    </row>
    <row r="87" spans="1:8">
      <c r="A87" s="217" t="s">
        <v>293</v>
      </c>
      <c r="B87" s="17" t="s">
        <v>152</v>
      </c>
      <c r="C87" s="21" t="s">
        <v>9</v>
      </c>
      <c r="D87" s="20">
        <v>4262400</v>
      </c>
    </row>
    <row r="88" spans="1:8">
      <c r="A88" s="217" t="s">
        <v>294</v>
      </c>
      <c r="B88" s="17" t="s">
        <v>157</v>
      </c>
      <c r="C88" s="21" t="s">
        <v>9</v>
      </c>
      <c r="D88" s="20">
        <v>12337894.216666663</v>
      </c>
    </row>
    <row r="89" spans="1:8">
      <c r="A89" s="217" t="s">
        <v>295</v>
      </c>
      <c r="B89" s="17" t="s">
        <v>64</v>
      </c>
      <c r="C89" s="21" t="s">
        <v>65</v>
      </c>
      <c r="D89" s="20">
        <f>30900*1.19</f>
        <v>36771</v>
      </c>
      <c r="H89" s="198">
        <v>45423</v>
      </c>
    </row>
    <row r="90" spans="1:8">
      <c r="A90" s="217" t="s">
        <v>296</v>
      </c>
      <c r="B90" s="17" t="s">
        <v>144</v>
      </c>
      <c r="C90" s="21" t="s">
        <v>145</v>
      </c>
      <c r="D90" s="20">
        <v>23650.000000000004</v>
      </c>
    </row>
    <row r="91" spans="1:8">
      <c r="A91" s="217" t="s">
        <v>297</v>
      </c>
      <c r="B91" s="17" t="s">
        <v>45</v>
      </c>
      <c r="C91" s="21" t="s">
        <v>7</v>
      </c>
      <c r="D91" s="20">
        <f>2400*1.19</f>
        <v>2856</v>
      </c>
      <c r="H91" s="198">
        <v>45421</v>
      </c>
    </row>
    <row r="92" spans="1:8">
      <c r="A92" s="217" t="s">
        <v>298</v>
      </c>
      <c r="B92" s="17" t="s">
        <v>130</v>
      </c>
      <c r="C92" s="21" t="s">
        <v>7</v>
      </c>
      <c r="D92" s="20">
        <v>3025.0000000000005</v>
      </c>
    </row>
    <row r="93" spans="1:8">
      <c r="A93" s="217" t="s">
        <v>299</v>
      </c>
      <c r="B93" s="17" t="s">
        <v>148</v>
      </c>
      <c r="C93" s="21" t="s">
        <v>7</v>
      </c>
      <c r="D93" s="20">
        <v>400</v>
      </c>
    </row>
    <row r="94" spans="1:8">
      <c r="A94" s="217" t="s">
        <v>300</v>
      </c>
      <c r="B94" s="17" t="s">
        <v>165</v>
      </c>
      <c r="C94" s="21" t="s">
        <v>9</v>
      </c>
      <c r="D94" s="20">
        <v>4290</v>
      </c>
    </row>
    <row r="95" spans="1:8">
      <c r="A95" s="217" t="s">
        <v>301</v>
      </c>
      <c r="B95" s="17" t="s">
        <v>102</v>
      </c>
      <c r="C95" s="21" t="s">
        <v>9</v>
      </c>
      <c r="D95" s="20">
        <v>31740</v>
      </c>
      <c r="H95" s="198">
        <v>45616</v>
      </c>
    </row>
    <row r="96" spans="1:8">
      <c r="A96" s="217" t="s">
        <v>302</v>
      </c>
      <c r="B96" s="17" t="s">
        <v>14</v>
      </c>
      <c r="C96" s="21" t="s">
        <v>9</v>
      </c>
      <c r="D96" s="20">
        <v>280</v>
      </c>
      <c r="H96" s="198">
        <v>45380</v>
      </c>
    </row>
    <row r="97" spans="1:8">
      <c r="A97" s="217" t="s">
        <v>303</v>
      </c>
      <c r="B97" s="17" t="s">
        <v>62</v>
      </c>
      <c r="C97" s="21" t="s">
        <v>9</v>
      </c>
      <c r="D97" s="20">
        <v>4365</v>
      </c>
      <c r="H97" s="198">
        <v>45607</v>
      </c>
    </row>
    <row r="98" spans="1:8">
      <c r="A98" s="217" t="s">
        <v>304</v>
      </c>
      <c r="B98" s="17" t="s">
        <v>108</v>
      </c>
      <c r="C98" s="21" t="s">
        <v>9</v>
      </c>
      <c r="D98" s="20">
        <f>9500*1.19</f>
        <v>11305</v>
      </c>
      <c r="H98" s="198">
        <v>45422</v>
      </c>
    </row>
    <row r="99" spans="1:8">
      <c r="A99" s="217" t="s">
        <v>305</v>
      </c>
      <c r="B99" s="17" t="s">
        <v>135</v>
      </c>
      <c r="C99" s="21" t="s">
        <v>9</v>
      </c>
      <c r="D99" s="20">
        <v>13970.000000000002</v>
      </c>
    </row>
    <row r="100" spans="1:8">
      <c r="A100" s="217" t="s">
        <v>306</v>
      </c>
      <c r="B100" s="17" t="s">
        <v>61</v>
      </c>
      <c r="C100" s="21" t="s">
        <v>7</v>
      </c>
      <c r="D100" s="20">
        <v>7154</v>
      </c>
      <c r="H100" s="198">
        <v>45607</v>
      </c>
    </row>
    <row r="101" spans="1:8">
      <c r="A101" s="217" t="s">
        <v>307</v>
      </c>
      <c r="B101" s="17" t="s">
        <v>132</v>
      </c>
      <c r="C101" s="21" t="s">
        <v>9</v>
      </c>
      <c r="D101" s="20">
        <v>345290</v>
      </c>
    </row>
    <row r="102" spans="1:8">
      <c r="A102" s="217" t="s">
        <v>308</v>
      </c>
      <c r="B102" s="17" t="s">
        <v>112</v>
      </c>
      <c r="C102" s="21" t="s">
        <v>9</v>
      </c>
      <c r="D102" s="20">
        <f>168100*1.19</f>
        <v>200039</v>
      </c>
      <c r="H102" s="198">
        <v>45422</v>
      </c>
    </row>
    <row r="103" spans="1:8">
      <c r="A103" s="217" t="s">
        <v>309</v>
      </c>
      <c r="B103" s="17" t="s">
        <v>111</v>
      </c>
      <c r="C103" s="21" t="s">
        <v>9</v>
      </c>
      <c r="D103" s="20">
        <f>159250*1.19</f>
        <v>189507.5</v>
      </c>
      <c r="H103" s="198">
        <v>45422</v>
      </c>
    </row>
    <row r="104" spans="1:8">
      <c r="A104" s="217" t="s">
        <v>310</v>
      </c>
      <c r="B104" s="17" t="s">
        <v>128</v>
      </c>
      <c r="C104" s="21" t="s">
        <v>9</v>
      </c>
      <c r="D104" s="20">
        <v>182325.00000000003</v>
      </c>
    </row>
    <row r="105" spans="1:8">
      <c r="A105" s="217" t="s">
        <v>311</v>
      </c>
      <c r="B105" s="17" t="s">
        <v>57</v>
      </c>
      <c r="C105" s="21" t="s">
        <v>9</v>
      </c>
      <c r="D105" s="20">
        <v>32408.750000000004</v>
      </c>
    </row>
    <row r="106" spans="1:8">
      <c r="A106" s="217" t="s">
        <v>312</v>
      </c>
      <c r="B106" s="17" t="s">
        <v>52</v>
      </c>
      <c r="C106" s="21" t="s">
        <v>9</v>
      </c>
      <c r="D106" s="20">
        <f>24000*1.19</f>
        <v>28560</v>
      </c>
      <c r="H106" s="198">
        <v>45423</v>
      </c>
    </row>
    <row r="107" spans="1:8">
      <c r="A107" s="217" t="s">
        <v>313</v>
      </c>
      <c r="B107" s="17" t="s">
        <v>107</v>
      </c>
      <c r="C107" s="21" t="s">
        <v>9</v>
      </c>
      <c r="D107" s="20">
        <f>14750*1.19</f>
        <v>17552.5</v>
      </c>
      <c r="H107" s="198">
        <v>45422</v>
      </c>
    </row>
    <row r="108" spans="1:8">
      <c r="A108" s="217" t="s">
        <v>314</v>
      </c>
      <c r="B108" s="17" t="s">
        <v>44</v>
      </c>
      <c r="C108" s="21" t="s">
        <v>9</v>
      </c>
      <c r="D108" s="20">
        <f>215000*1.19</f>
        <v>255850</v>
      </c>
      <c r="H108" s="198">
        <v>45422</v>
      </c>
    </row>
    <row r="109" spans="1:8">
      <c r="A109" s="217" t="s">
        <v>315</v>
      </c>
      <c r="B109" s="17" t="s">
        <v>134</v>
      </c>
      <c r="C109" s="21" t="s">
        <v>9</v>
      </c>
      <c r="D109" s="20">
        <v>124960.00000000001</v>
      </c>
    </row>
    <row r="110" spans="1:8">
      <c r="A110" s="217" t="s">
        <v>316</v>
      </c>
      <c r="B110" s="17" t="s">
        <v>204</v>
      </c>
      <c r="C110" s="21" t="s">
        <v>7</v>
      </c>
      <c r="D110" s="20">
        <f>78400*1.2/6</f>
        <v>15680</v>
      </c>
    </row>
    <row r="111" spans="1:8">
      <c r="A111" s="217" t="s">
        <v>527</v>
      </c>
      <c r="B111" s="17" t="s">
        <v>146</v>
      </c>
      <c r="C111" s="21" t="s">
        <v>7</v>
      </c>
      <c r="D111" s="20">
        <v>35814.166666666672</v>
      </c>
    </row>
    <row r="112" spans="1:8">
      <c r="A112" s="217" t="s">
        <v>317</v>
      </c>
      <c r="B112" s="17" t="s">
        <v>53</v>
      </c>
      <c r="C112" s="21" t="s">
        <v>7</v>
      </c>
      <c r="D112" s="20">
        <f>32700*1.19</f>
        <v>38913</v>
      </c>
      <c r="H112" s="198">
        <v>45423</v>
      </c>
    </row>
    <row r="113" spans="1:8">
      <c r="A113" s="217" t="s">
        <v>318</v>
      </c>
      <c r="B113" s="17" t="s">
        <v>1128</v>
      </c>
      <c r="C113" s="21" t="s">
        <v>9</v>
      </c>
      <c r="D113" s="20">
        <v>21895650</v>
      </c>
    </row>
    <row r="114" spans="1:8">
      <c r="A114" s="217" t="s">
        <v>319</v>
      </c>
      <c r="B114" s="17" t="s">
        <v>136</v>
      </c>
      <c r="C114" s="21" t="s">
        <v>9</v>
      </c>
      <c r="D114" s="20">
        <v>7040.0000000000009</v>
      </c>
    </row>
    <row r="115" spans="1:8">
      <c r="A115" s="217" t="s">
        <v>320</v>
      </c>
      <c r="B115" s="17" t="s">
        <v>109</v>
      </c>
      <c r="C115" s="21" t="s">
        <v>9</v>
      </c>
      <c r="D115" s="20">
        <f>4250*1.19</f>
        <v>5057.5</v>
      </c>
      <c r="H115" s="198">
        <v>45422</v>
      </c>
    </row>
    <row r="116" spans="1:8">
      <c r="A116" s="217" t="s">
        <v>321</v>
      </c>
      <c r="B116" s="17" t="s">
        <v>110</v>
      </c>
      <c r="C116" s="21" t="s">
        <v>9</v>
      </c>
      <c r="D116" s="20">
        <f>5100*1.19</f>
        <v>6069</v>
      </c>
      <c r="H116" s="198">
        <v>45422</v>
      </c>
    </row>
    <row r="117" spans="1:8">
      <c r="A117" s="217" t="s">
        <v>322</v>
      </c>
      <c r="B117" s="17" t="s">
        <v>91</v>
      </c>
      <c r="C117" s="21" t="s">
        <v>92</v>
      </c>
      <c r="D117" s="20">
        <v>124600</v>
      </c>
      <c r="H117" s="198">
        <v>45527</v>
      </c>
    </row>
    <row r="118" spans="1:8">
      <c r="A118" s="217" t="s">
        <v>323</v>
      </c>
      <c r="B118" s="17" t="s">
        <v>217</v>
      </c>
      <c r="C118" s="21" t="s">
        <v>7</v>
      </c>
      <c r="D118" s="20">
        <v>79850</v>
      </c>
    </row>
    <row r="119" spans="1:8">
      <c r="A119" s="217" t="s">
        <v>324</v>
      </c>
      <c r="B119" s="17" t="s">
        <v>71</v>
      </c>
      <c r="C119" s="21" t="s">
        <v>7</v>
      </c>
      <c r="D119" s="20">
        <v>22600</v>
      </c>
      <c r="H119" s="198">
        <v>45423</v>
      </c>
    </row>
    <row r="120" spans="1:8">
      <c r="A120" s="217" t="s">
        <v>325</v>
      </c>
      <c r="B120" s="17" t="s">
        <v>215</v>
      </c>
      <c r="C120" s="21" t="s">
        <v>9</v>
      </c>
      <c r="D120" s="20">
        <v>21767.9</v>
      </c>
    </row>
    <row r="121" spans="1:8">
      <c r="A121" s="217" t="s">
        <v>326</v>
      </c>
      <c r="B121" s="17" t="s">
        <v>129</v>
      </c>
      <c r="C121" s="21" t="s">
        <v>9</v>
      </c>
      <c r="D121" s="20">
        <v>36400</v>
      </c>
    </row>
    <row r="122" spans="1:8">
      <c r="A122" s="217" t="s">
        <v>327</v>
      </c>
      <c r="B122" s="17" t="s">
        <v>211</v>
      </c>
      <c r="C122" s="21" t="s">
        <v>9</v>
      </c>
      <c r="D122" s="20">
        <v>95860000</v>
      </c>
    </row>
    <row r="123" spans="1:8">
      <c r="A123" s="217" t="s">
        <v>528</v>
      </c>
      <c r="B123" s="17" t="s">
        <v>46</v>
      </c>
      <c r="C123" s="21" t="s">
        <v>9</v>
      </c>
      <c r="D123" s="20">
        <f>500*1.19</f>
        <v>595</v>
      </c>
      <c r="H123" s="198">
        <v>45421</v>
      </c>
    </row>
    <row r="124" spans="1:8">
      <c r="A124" s="217" t="s">
        <v>328</v>
      </c>
      <c r="B124" s="17" t="s">
        <v>131</v>
      </c>
      <c r="C124" s="21" t="s">
        <v>9</v>
      </c>
      <c r="D124" s="20">
        <v>770</v>
      </c>
    </row>
    <row r="125" spans="1:8">
      <c r="A125" s="217" t="s">
        <v>329</v>
      </c>
      <c r="B125" s="17" t="s">
        <v>216</v>
      </c>
      <c r="C125" s="21" t="s">
        <v>9</v>
      </c>
      <c r="D125" s="20">
        <f>116200*1.2</f>
        <v>139440</v>
      </c>
      <c r="H125" s="198">
        <v>45468</v>
      </c>
    </row>
    <row r="126" spans="1:8">
      <c r="A126" s="217" t="s">
        <v>330</v>
      </c>
      <c r="B126" s="17" t="s">
        <v>63</v>
      </c>
      <c r="C126" s="21" t="s">
        <v>9</v>
      </c>
      <c r="D126" s="20">
        <f>600*1.19</f>
        <v>714</v>
      </c>
      <c r="H126" s="198">
        <v>45423</v>
      </c>
    </row>
    <row r="127" spans="1:8">
      <c r="A127" s="217" t="s">
        <v>331</v>
      </c>
      <c r="B127" s="17" t="s">
        <v>115</v>
      </c>
      <c r="C127" s="21" t="s">
        <v>9</v>
      </c>
      <c r="D127" s="20">
        <v>117810.00000000001</v>
      </c>
    </row>
    <row r="128" spans="1:8">
      <c r="A128" s="217" t="s">
        <v>332</v>
      </c>
      <c r="B128" s="17" t="s">
        <v>125</v>
      </c>
      <c r="C128" s="21" t="s">
        <v>126</v>
      </c>
      <c r="D128" s="20">
        <v>78264.450000000012</v>
      </c>
    </row>
    <row r="129" spans="1:8">
      <c r="A129" s="217" t="s">
        <v>333</v>
      </c>
      <c r="B129" s="17" t="s">
        <v>124</v>
      </c>
      <c r="C129" s="21" t="s">
        <v>9</v>
      </c>
      <c r="D129" s="20">
        <v>959860.00000000012</v>
      </c>
    </row>
    <row r="130" spans="1:8">
      <c r="A130" s="217" t="s">
        <v>334</v>
      </c>
      <c r="B130" s="17" t="s">
        <v>181</v>
      </c>
      <c r="C130" s="21" t="s">
        <v>9</v>
      </c>
      <c r="D130" s="20">
        <v>164890</v>
      </c>
    </row>
    <row r="131" spans="1:8">
      <c r="A131" s="217" t="s">
        <v>335</v>
      </c>
      <c r="B131" s="17" t="s">
        <v>180</v>
      </c>
      <c r="C131" s="21" t="s">
        <v>9</v>
      </c>
      <c r="D131" s="20">
        <v>248401.25</v>
      </c>
    </row>
    <row r="132" spans="1:8">
      <c r="A132" s="217" t="s">
        <v>336</v>
      </c>
      <c r="B132" s="17" t="s">
        <v>69</v>
      </c>
      <c r="C132" s="21" t="s">
        <v>70</v>
      </c>
      <c r="D132" s="20">
        <v>318900</v>
      </c>
      <c r="H132" s="198">
        <v>45423</v>
      </c>
    </row>
    <row r="133" spans="1:8">
      <c r="A133" s="217" t="s">
        <v>337</v>
      </c>
      <c r="B133" s="17" t="s">
        <v>72</v>
      </c>
      <c r="C133" s="21" t="s">
        <v>70</v>
      </c>
      <c r="D133" s="20">
        <v>595080</v>
      </c>
      <c r="H133" s="198">
        <v>45423</v>
      </c>
    </row>
    <row r="134" spans="1:8">
      <c r="A134" s="217" t="s">
        <v>338</v>
      </c>
      <c r="B134" s="17" t="s">
        <v>159</v>
      </c>
      <c r="C134" s="21" t="s">
        <v>70</v>
      </c>
      <c r="D134" s="20">
        <v>863200</v>
      </c>
    </row>
    <row r="135" spans="1:8">
      <c r="A135" s="217" t="s">
        <v>1545</v>
      </c>
      <c r="B135" s="17" t="s">
        <v>1544</v>
      </c>
      <c r="C135" s="21" t="s">
        <v>70</v>
      </c>
      <c r="D135" s="20">
        <v>86320</v>
      </c>
    </row>
    <row r="136" spans="1:8">
      <c r="A136" s="217" t="s">
        <v>339</v>
      </c>
      <c r="B136" s="17" t="s">
        <v>16</v>
      </c>
      <c r="C136" s="21" t="s">
        <v>9</v>
      </c>
      <c r="D136" s="20">
        <v>1000</v>
      </c>
      <c r="H136" s="198">
        <v>45380</v>
      </c>
    </row>
    <row r="137" spans="1:8">
      <c r="A137" s="217" t="s">
        <v>340</v>
      </c>
      <c r="B137" s="17" t="s">
        <v>94</v>
      </c>
      <c r="C137" s="21" t="s">
        <v>70</v>
      </c>
      <c r="D137" s="20">
        <v>256333</v>
      </c>
      <c r="H137" s="198">
        <v>45527</v>
      </c>
    </row>
    <row r="138" spans="1:8">
      <c r="A138" s="217" t="s">
        <v>341</v>
      </c>
      <c r="B138" s="17" t="s">
        <v>161</v>
      </c>
      <c r="C138" s="21" t="s">
        <v>162</v>
      </c>
      <c r="D138" s="20">
        <v>9265000</v>
      </c>
    </row>
    <row r="139" spans="1:8">
      <c r="A139" s="217" t="s">
        <v>342</v>
      </c>
      <c r="B139" s="17" t="s">
        <v>177</v>
      </c>
      <c r="C139" s="21" t="s">
        <v>9</v>
      </c>
      <c r="D139" s="20">
        <v>116490.00000000001</v>
      </c>
    </row>
    <row r="140" spans="1:8">
      <c r="A140" s="217" t="s">
        <v>343</v>
      </c>
      <c r="B140" s="17" t="s">
        <v>120</v>
      </c>
      <c r="C140" s="21" t="s">
        <v>9</v>
      </c>
      <c r="D140" s="20">
        <f>93300*1.19</f>
        <v>111027</v>
      </c>
      <c r="H140" s="198">
        <v>45423</v>
      </c>
    </row>
    <row r="141" spans="1:8">
      <c r="A141" s="217" t="s">
        <v>344</v>
      </c>
      <c r="B141" s="17" t="s">
        <v>101</v>
      </c>
      <c r="C141" s="21" t="s">
        <v>9</v>
      </c>
      <c r="D141" s="20">
        <f>97750*1.19</f>
        <v>116322.5</v>
      </c>
      <c r="H141" s="198">
        <v>45421</v>
      </c>
    </row>
    <row r="142" spans="1:8">
      <c r="A142" s="217" t="s">
        <v>345</v>
      </c>
      <c r="B142" s="17" t="s">
        <v>137</v>
      </c>
      <c r="C142" s="21" t="s">
        <v>9</v>
      </c>
      <c r="D142" s="20">
        <v>2200</v>
      </c>
    </row>
    <row r="143" spans="1:8">
      <c r="A143" s="217" t="s">
        <v>346</v>
      </c>
      <c r="B143" s="17" t="s">
        <v>133</v>
      </c>
      <c r="C143" s="21" t="s">
        <v>9</v>
      </c>
      <c r="D143" s="20">
        <v>7480.0000000000009</v>
      </c>
    </row>
    <row r="144" spans="1:8">
      <c r="A144" s="217" t="s">
        <v>347</v>
      </c>
      <c r="B144" s="17" t="s">
        <v>117</v>
      </c>
      <c r="C144" s="21" t="s">
        <v>9</v>
      </c>
      <c r="D144" s="20">
        <f>1679100*1.19</f>
        <v>1998129</v>
      </c>
      <c r="H144" s="198">
        <v>45422</v>
      </c>
    </row>
    <row r="145" spans="1:8">
      <c r="A145" s="217" t="s">
        <v>348</v>
      </c>
      <c r="B145" s="17" t="s">
        <v>116</v>
      </c>
      <c r="C145" s="21" t="s">
        <v>9</v>
      </c>
      <c r="D145" s="20">
        <f>959900*1.19</f>
        <v>1142281</v>
      </c>
      <c r="H145" s="198">
        <v>45422</v>
      </c>
    </row>
    <row r="146" spans="1:8">
      <c r="A146" s="217" t="s">
        <v>349</v>
      </c>
      <c r="B146" s="17" t="s">
        <v>105</v>
      </c>
      <c r="C146" s="21" t="s">
        <v>9</v>
      </c>
      <c r="D146" s="20">
        <f>949650*1.19</f>
        <v>1130083.5</v>
      </c>
      <c r="H146" s="198">
        <v>45421</v>
      </c>
    </row>
    <row r="147" spans="1:8">
      <c r="A147" s="217" t="s">
        <v>350</v>
      </c>
      <c r="B147" s="17" t="s">
        <v>97</v>
      </c>
      <c r="C147" s="21" t="s">
        <v>9</v>
      </c>
      <c r="D147" s="20">
        <v>132620</v>
      </c>
      <c r="H147" s="198">
        <v>45380</v>
      </c>
    </row>
    <row r="148" spans="1:8">
      <c r="A148" s="217" t="s">
        <v>351</v>
      </c>
      <c r="B148" s="17" t="s">
        <v>166</v>
      </c>
      <c r="C148" s="21" t="s">
        <v>9</v>
      </c>
      <c r="D148" s="20">
        <v>1460</v>
      </c>
      <c r="H148" s="198">
        <v>45380</v>
      </c>
    </row>
    <row r="149" spans="1:8">
      <c r="A149" s="217" t="s">
        <v>352</v>
      </c>
      <c r="B149" s="17" t="s">
        <v>149</v>
      </c>
      <c r="C149" s="21" t="s">
        <v>150</v>
      </c>
      <c r="D149" s="20">
        <v>15400</v>
      </c>
    </row>
    <row r="150" spans="1:8">
      <c r="A150" s="217" t="s">
        <v>529</v>
      </c>
      <c r="B150" s="17" t="s">
        <v>47</v>
      </c>
      <c r="C150" s="21" t="s">
        <v>48</v>
      </c>
      <c r="D150" s="20">
        <v>426720</v>
      </c>
      <c r="H150" s="198">
        <v>45699</v>
      </c>
    </row>
    <row r="151" spans="1:8">
      <c r="A151" s="217" t="s">
        <v>353</v>
      </c>
      <c r="B151" s="17" t="s">
        <v>93</v>
      </c>
      <c r="C151" s="21" t="s">
        <v>9</v>
      </c>
      <c r="D151" s="20">
        <v>20845</v>
      </c>
      <c r="H151" s="198">
        <v>45527</v>
      </c>
    </row>
    <row r="152" spans="1:8">
      <c r="A152" s="217" t="s">
        <v>530</v>
      </c>
      <c r="B152" s="17" t="s">
        <v>55</v>
      </c>
      <c r="C152" s="21" t="s">
        <v>9</v>
      </c>
      <c r="D152" s="20">
        <v>60900</v>
      </c>
      <c r="H152" s="198">
        <v>45380</v>
      </c>
    </row>
    <row r="153" spans="1:8">
      <c r="A153" s="217" t="s">
        <v>354</v>
      </c>
      <c r="B153" s="17" t="s">
        <v>113</v>
      </c>
      <c r="C153" s="21" t="s">
        <v>9</v>
      </c>
      <c r="D153" s="20">
        <v>68200</v>
      </c>
    </row>
    <row r="154" spans="1:8">
      <c r="A154" s="217" t="s">
        <v>355</v>
      </c>
      <c r="B154" s="17" t="s">
        <v>172</v>
      </c>
      <c r="C154" s="21" t="s">
        <v>9</v>
      </c>
      <c r="D154" s="20">
        <v>300</v>
      </c>
    </row>
    <row r="155" spans="1:8">
      <c r="A155" s="217" t="s">
        <v>356</v>
      </c>
      <c r="B155" s="17" t="s">
        <v>11</v>
      </c>
      <c r="C155" s="21" t="s">
        <v>9</v>
      </c>
      <c r="D155" s="20">
        <v>630</v>
      </c>
      <c r="H155" s="198">
        <v>45380</v>
      </c>
    </row>
    <row r="156" spans="1:8">
      <c r="A156" s="217" t="s">
        <v>357</v>
      </c>
      <c r="B156" s="17" t="s">
        <v>214</v>
      </c>
      <c r="C156" s="21" t="s">
        <v>9</v>
      </c>
      <c r="D156" s="20">
        <v>5843.2000000000007</v>
      </c>
    </row>
    <row r="157" spans="1:8">
      <c r="A157" s="217" t="s">
        <v>358</v>
      </c>
      <c r="B157" s="17" t="s">
        <v>123</v>
      </c>
      <c r="C157" s="21" t="s">
        <v>9</v>
      </c>
      <c r="D157" s="20">
        <v>77632.5</v>
      </c>
    </row>
    <row r="158" spans="1:8">
      <c r="A158" s="217" t="s">
        <v>359</v>
      </c>
      <c r="B158" s="17" t="s">
        <v>175</v>
      </c>
      <c r="C158" s="21" t="s">
        <v>9</v>
      </c>
      <c r="D158" s="20">
        <v>82556.100000000006</v>
      </c>
    </row>
    <row r="159" spans="1:8">
      <c r="A159" s="217" t="s">
        <v>360</v>
      </c>
      <c r="B159" s="17" t="s">
        <v>184</v>
      </c>
      <c r="C159" s="21" t="s">
        <v>9</v>
      </c>
      <c r="D159" s="20">
        <v>94280.66</v>
      </c>
    </row>
    <row r="160" spans="1:8">
      <c r="A160" s="217" t="s">
        <v>361</v>
      </c>
      <c r="B160" s="17" t="s">
        <v>182</v>
      </c>
      <c r="C160" s="21" t="s">
        <v>9</v>
      </c>
      <c r="D160" s="20">
        <v>105200</v>
      </c>
    </row>
    <row r="161" spans="1:8">
      <c r="A161" s="217" t="s">
        <v>362</v>
      </c>
      <c r="B161" s="17" t="s">
        <v>183</v>
      </c>
      <c r="C161" s="21" t="s">
        <v>9</v>
      </c>
      <c r="D161" s="20">
        <v>102826.56</v>
      </c>
    </row>
    <row r="162" spans="1:8">
      <c r="A162" s="217" t="s">
        <v>363</v>
      </c>
      <c r="B162" s="17" t="s">
        <v>176</v>
      </c>
      <c r="C162" s="21" t="s">
        <v>9</v>
      </c>
      <c r="D162" s="20">
        <v>23880</v>
      </c>
    </row>
    <row r="163" spans="1:8">
      <c r="A163" s="217" t="s">
        <v>364</v>
      </c>
      <c r="B163" s="17" t="s">
        <v>122</v>
      </c>
      <c r="C163" s="21" t="s">
        <v>9</v>
      </c>
      <c r="D163" s="20">
        <v>26290.000000000004</v>
      </c>
    </row>
    <row r="164" spans="1:8">
      <c r="A164" s="217" t="s">
        <v>531</v>
      </c>
      <c r="B164" s="17" t="s">
        <v>174</v>
      </c>
      <c r="C164" s="21" t="s">
        <v>9</v>
      </c>
      <c r="D164" s="20">
        <v>21480</v>
      </c>
    </row>
    <row r="165" spans="1:8">
      <c r="A165" s="217" t="s">
        <v>365</v>
      </c>
      <c r="B165" s="17" t="s">
        <v>199</v>
      </c>
      <c r="C165" s="21" t="s">
        <v>162</v>
      </c>
      <c r="D165" s="20">
        <v>9660000</v>
      </c>
    </row>
    <row r="166" spans="1:8">
      <c r="A166" s="217" t="s">
        <v>366</v>
      </c>
      <c r="B166" s="17" t="s">
        <v>37</v>
      </c>
      <c r="C166" s="21" t="s">
        <v>9</v>
      </c>
      <c r="D166" s="20">
        <v>426100</v>
      </c>
      <c r="H166" s="198">
        <v>45380</v>
      </c>
    </row>
    <row r="167" spans="1:8">
      <c r="A167" s="217" t="s">
        <v>367</v>
      </c>
      <c r="B167" s="17" t="s">
        <v>36</v>
      </c>
      <c r="C167" s="21" t="s">
        <v>9</v>
      </c>
      <c r="D167" s="20">
        <v>248022.50000000003</v>
      </c>
    </row>
    <row r="168" spans="1:8">
      <c r="A168" s="217" t="s">
        <v>368</v>
      </c>
      <c r="B168" s="17" t="s">
        <v>209</v>
      </c>
      <c r="C168" s="21" t="s">
        <v>9</v>
      </c>
      <c r="D168" s="20">
        <v>255000</v>
      </c>
    </row>
    <row r="169" spans="1:8">
      <c r="A169" s="217" t="s">
        <v>369</v>
      </c>
      <c r="B169" s="17" t="s">
        <v>208</v>
      </c>
      <c r="C169" s="21" t="s">
        <v>9</v>
      </c>
      <c r="D169" s="20">
        <v>210000</v>
      </c>
    </row>
    <row r="170" spans="1:8">
      <c r="A170" s="217" t="s">
        <v>370</v>
      </c>
      <c r="B170" s="17" t="s">
        <v>171</v>
      </c>
      <c r="C170" s="21" t="s">
        <v>9</v>
      </c>
      <c r="D170" s="20">
        <v>2000</v>
      </c>
      <c r="H170" s="198">
        <v>45380</v>
      </c>
    </row>
    <row r="171" spans="1:8">
      <c r="A171" s="217" t="s">
        <v>371</v>
      </c>
      <c r="B171" s="17" t="s">
        <v>10</v>
      </c>
      <c r="C171" s="21" t="s">
        <v>9</v>
      </c>
      <c r="D171" s="20">
        <v>2200</v>
      </c>
      <c r="H171" s="198">
        <v>45380</v>
      </c>
    </row>
    <row r="172" spans="1:8">
      <c r="A172" s="217" t="s">
        <v>372</v>
      </c>
      <c r="B172" s="17" t="s">
        <v>139</v>
      </c>
      <c r="C172" s="21" t="s">
        <v>70</v>
      </c>
      <c r="D172" s="20">
        <v>711497.60000000009</v>
      </c>
    </row>
    <row r="173" spans="1:8">
      <c r="A173" s="217" t="s">
        <v>373</v>
      </c>
      <c r="B173" s="17" t="s">
        <v>187</v>
      </c>
      <c r="C173" s="21" t="s">
        <v>9</v>
      </c>
      <c r="D173" s="20">
        <v>5000</v>
      </c>
      <c r="H173" s="198">
        <v>45380</v>
      </c>
    </row>
    <row r="174" spans="1:8">
      <c r="A174" s="217" t="s">
        <v>374</v>
      </c>
      <c r="B174" s="17" t="s">
        <v>611</v>
      </c>
      <c r="C174" s="21" t="s">
        <v>9</v>
      </c>
      <c r="D174" s="20">
        <v>8100</v>
      </c>
      <c r="H174" s="198">
        <v>45380</v>
      </c>
    </row>
    <row r="175" spans="1:8">
      <c r="A175" s="217" t="s">
        <v>375</v>
      </c>
      <c r="B175" s="17" t="s">
        <v>32</v>
      </c>
      <c r="C175" s="21" t="s">
        <v>9</v>
      </c>
      <c r="D175" s="20">
        <v>66000</v>
      </c>
    </row>
    <row r="176" spans="1:8">
      <c r="A176" s="217" t="s">
        <v>376</v>
      </c>
      <c r="B176" s="17" t="s">
        <v>167</v>
      </c>
      <c r="C176" s="21" t="s">
        <v>9</v>
      </c>
      <c r="D176" s="20">
        <v>18196.2</v>
      </c>
    </row>
    <row r="177" spans="1:8">
      <c r="A177" s="217" t="s">
        <v>377</v>
      </c>
      <c r="B177" s="17" t="s">
        <v>168</v>
      </c>
      <c r="C177" s="21" t="s">
        <v>9</v>
      </c>
      <c r="D177" s="20">
        <v>71170</v>
      </c>
    </row>
    <row r="178" spans="1:8">
      <c r="A178" s="217" t="s">
        <v>378</v>
      </c>
      <c r="B178" s="17" t="s">
        <v>33</v>
      </c>
      <c r="C178" s="21" t="s">
        <v>9</v>
      </c>
      <c r="D178" s="20">
        <f>10000*1.19</f>
        <v>11900</v>
      </c>
      <c r="H178" s="198">
        <v>45421</v>
      </c>
    </row>
    <row r="179" spans="1:8">
      <c r="A179" s="217" t="s">
        <v>379</v>
      </c>
      <c r="B179" s="17" t="s">
        <v>35</v>
      </c>
      <c r="C179" s="21" t="s">
        <v>9</v>
      </c>
      <c r="D179" s="20">
        <f>29200*1.19</f>
        <v>34748</v>
      </c>
      <c r="H179" s="198">
        <v>45421</v>
      </c>
    </row>
    <row r="180" spans="1:8">
      <c r="A180" s="217" t="s">
        <v>380</v>
      </c>
      <c r="B180" s="17" t="s">
        <v>38</v>
      </c>
      <c r="C180" s="21" t="s">
        <v>9</v>
      </c>
      <c r="D180" s="20">
        <v>226050.00000000003</v>
      </c>
    </row>
    <row r="181" spans="1:8">
      <c r="A181" s="217" t="s">
        <v>562</v>
      </c>
      <c r="B181" s="17" t="s">
        <v>563</v>
      </c>
      <c r="C181" s="21" t="s">
        <v>9</v>
      </c>
      <c r="D181" s="20">
        <v>286700</v>
      </c>
      <c r="H181" s="198">
        <v>45380</v>
      </c>
    </row>
    <row r="182" spans="1:8">
      <c r="A182" s="217" t="s">
        <v>381</v>
      </c>
      <c r="B182" s="17" t="s">
        <v>151</v>
      </c>
      <c r="C182" s="21" t="s">
        <v>9</v>
      </c>
      <c r="D182" s="20">
        <v>37124555</v>
      </c>
    </row>
    <row r="183" spans="1:8">
      <c r="A183" s="217" t="s">
        <v>382</v>
      </c>
      <c r="B183" s="17" t="s">
        <v>210</v>
      </c>
      <c r="C183" s="21" t="s">
        <v>9</v>
      </c>
      <c r="D183" s="20">
        <v>8291580.0000000009</v>
      </c>
    </row>
    <row r="184" spans="1:8">
      <c r="A184" s="217" t="s">
        <v>383</v>
      </c>
      <c r="B184" s="17" t="s">
        <v>119</v>
      </c>
      <c r="C184" s="21" t="s">
        <v>9</v>
      </c>
      <c r="D184" s="20">
        <f>18071000*1.19</f>
        <v>21504490</v>
      </c>
      <c r="H184" s="198">
        <v>45423</v>
      </c>
    </row>
    <row r="185" spans="1:8">
      <c r="A185" s="217" t="s">
        <v>384</v>
      </c>
      <c r="B185" s="17" t="s">
        <v>106</v>
      </c>
      <c r="C185" s="21" t="s">
        <v>9</v>
      </c>
      <c r="D185" s="20">
        <v>172200</v>
      </c>
      <c r="H185" s="198">
        <v>45421</v>
      </c>
    </row>
    <row r="186" spans="1:8">
      <c r="A186" s="217" t="s">
        <v>385</v>
      </c>
      <c r="B186" s="17" t="s">
        <v>56</v>
      </c>
      <c r="C186" s="21" t="s">
        <v>7</v>
      </c>
      <c r="D186" s="20">
        <v>58620.222222222234</v>
      </c>
    </row>
    <row r="187" spans="1:8">
      <c r="A187" s="217" t="s">
        <v>386</v>
      </c>
      <c r="B187" s="17" t="s">
        <v>49</v>
      </c>
      <c r="C187" s="21" t="s">
        <v>7</v>
      </c>
      <c r="D187" s="20">
        <f>510000*1.18/3</f>
        <v>200600</v>
      </c>
      <c r="H187" s="198">
        <v>45423</v>
      </c>
    </row>
    <row r="188" spans="1:8">
      <c r="A188" s="217" t="s">
        <v>387</v>
      </c>
      <c r="B188" s="17" t="s">
        <v>169</v>
      </c>
      <c r="C188" s="21" t="s">
        <v>7</v>
      </c>
      <c r="D188" s="20">
        <v>6013.333333333333</v>
      </c>
    </row>
    <row r="189" spans="1:8">
      <c r="A189" s="217" t="s">
        <v>388</v>
      </c>
      <c r="B189" s="17" t="s">
        <v>6</v>
      </c>
      <c r="C189" s="21" t="s">
        <v>7</v>
      </c>
      <c r="D189" s="20">
        <v>11733</v>
      </c>
      <c r="H189" s="198">
        <v>45380</v>
      </c>
    </row>
    <row r="190" spans="1:8">
      <c r="A190" s="217" t="s">
        <v>389</v>
      </c>
      <c r="B190" s="17" t="s">
        <v>60</v>
      </c>
      <c r="C190" s="21" t="s">
        <v>9</v>
      </c>
      <c r="D190" s="20">
        <v>7920.0000000000009</v>
      </c>
    </row>
    <row r="191" spans="1:8">
      <c r="A191" s="217" t="s">
        <v>390</v>
      </c>
      <c r="B191" s="17" t="s">
        <v>50</v>
      </c>
      <c r="C191" s="21" t="s">
        <v>9</v>
      </c>
      <c r="D191" s="20">
        <f>27500*1.19</f>
        <v>32725</v>
      </c>
      <c r="H191" s="198">
        <v>45423</v>
      </c>
    </row>
    <row r="192" spans="1:8">
      <c r="A192" s="217" t="s">
        <v>391</v>
      </c>
      <c r="B192" s="17" t="s">
        <v>170</v>
      </c>
      <c r="C192" s="21" t="s">
        <v>9</v>
      </c>
      <c r="D192" s="20">
        <v>2000</v>
      </c>
    </row>
    <row r="193" spans="1:8">
      <c r="A193" s="217" t="s">
        <v>392</v>
      </c>
      <c r="B193" s="17" t="s">
        <v>8</v>
      </c>
      <c r="C193" s="21" t="s">
        <v>9</v>
      </c>
      <c r="D193" s="20">
        <v>1800</v>
      </c>
      <c r="H193" s="198">
        <v>45380</v>
      </c>
    </row>
    <row r="194" spans="1:8">
      <c r="A194" s="217" t="s">
        <v>393</v>
      </c>
      <c r="B194" s="17" t="s">
        <v>212</v>
      </c>
      <c r="C194" s="21" t="s">
        <v>126</v>
      </c>
      <c r="D194" s="20">
        <v>19679000</v>
      </c>
    </row>
    <row r="195" spans="1:8">
      <c r="A195" s="217" t="s">
        <v>394</v>
      </c>
      <c r="B195" s="17" t="s">
        <v>90</v>
      </c>
      <c r="C195" s="21" t="s">
        <v>9</v>
      </c>
      <c r="D195" s="20">
        <v>308445</v>
      </c>
      <c r="H195" s="198">
        <v>45527</v>
      </c>
    </row>
    <row r="196" spans="1:8">
      <c r="A196" s="217" t="s">
        <v>395</v>
      </c>
      <c r="B196" s="17" t="s">
        <v>158</v>
      </c>
      <c r="C196" s="21" t="s">
        <v>9</v>
      </c>
      <c r="D196" s="20">
        <v>85400</v>
      </c>
    </row>
    <row r="197" spans="1:8">
      <c r="A197" s="217" t="s">
        <v>532</v>
      </c>
      <c r="B197" s="180" t="s">
        <v>533</v>
      </c>
      <c r="C197" s="181" t="s">
        <v>9</v>
      </c>
      <c r="D197" s="182">
        <v>7300</v>
      </c>
    </row>
    <row r="198" spans="1:8">
      <c r="A198" s="217" t="s">
        <v>576</v>
      </c>
      <c r="B198" s="17" t="s">
        <v>572</v>
      </c>
      <c r="C198" s="21" t="s">
        <v>7</v>
      </c>
      <c r="D198" s="20">
        <v>2866.6666666666665</v>
      </c>
      <c r="H198" s="198">
        <v>45380</v>
      </c>
    </row>
    <row r="199" spans="1:8">
      <c r="A199" s="217" t="s">
        <v>577</v>
      </c>
      <c r="B199" s="17" t="s">
        <v>573</v>
      </c>
      <c r="C199" s="21" t="s">
        <v>9</v>
      </c>
      <c r="D199" s="20">
        <v>850</v>
      </c>
      <c r="H199" s="198">
        <v>45380</v>
      </c>
    </row>
    <row r="200" spans="1:8">
      <c r="A200" s="217" t="s">
        <v>578</v>
      </c>
      <c r="B200" s="17" t="s">
        <v>574</v>
      </c>
      <c r="C200" s="21" t="s">
        <v>9</v>
      </c>
      <c r="D200" s="20">
        <v>1150</v>
      </c>
      <c r="H200" s="198">
        <v>45380</v>
      </c>
    </row>
    <row r="201" spans="1:8">
      <c r="A201" s="217" t="s">
        <v>579</v>
      </c>
      <c r="B201" s="17" t="s">
        <v>575</v>
      </c>
      <c r="C201" s="21" t="s">
        <v>9</v>
      </c>
      <c r="D201" s="20">
        <v>1300</v>
      </c>
      <c r="H201" s="198">
        <v>45380</v>
      </c>
    </row>
    <row r="202" spans="1:8">
      <c r="A202" s="217" t="s">
        <v>581</v>
      </c>
      <c r="B202" s="180" t="s">
        <v>580</v>
      </c>
      <c r="C202" s="181" t="s">
        <v>9</v>
      </c>
      <c r="D202" s="182">
        <v>2100</v>
      </c>
      <c r="H202" s="198">
        <v>45380</v>
      </c>
    </row>
    <row r="203" spans="1:8">
      <c r="A203" s="217" t="s">
        <v>589</v>
      </c>
      <c r="B203" s="180" t="s">
        <v>588</v>
      </c>
      <c r="C203" s="181" t="s">
        <v>9</v>
      </c>
      <c r="D203" s="182">
        <v>5800</v>
      </c>
      <c r="H203" s="198">
        <v>45380</v>
      </c>
    </row>
    <row r="204" spans="1:8">
      <c r="A204" s="217" t="s">
        <v>601</v>
      </c>
      <c r="B204" s="17" t="s">
        <v>599</v>
      </c>
      <c r="C204" s="21" t="s">
        <v>7</v>
      </c>
      <c r="D204" s="20">
        <v>2966.6666666666665</v>
      </c>
      <c r="H204" s="198">
        <v>45380</v>
      </c>
    </row>
    <row r="205" spans="1:8">
      <c r="A205" s="217" t="s">
        <v>602</v>
      </c>
      <c r="B205" s="17" t="s">
        <v>600</v>
      </c>
      <c r="C205" s="21" t="s">
        <v>7</v>
      </c>
      <c r="D205" s="20">
        <v>3966.6666666666665</v>
      </c>
      <c r="H205" s="198">
        <v>45380</v>
      </c>
    </row>
    <row r="206" spans="1:8">
      <c r="A206" s="217" t="s">
        <v>603</v>
      </c>
      <c r="B206" s="17" t="s">
        <v>592</v>
      </c>
      <c r="C206" s="21" t="s">
        <v>9</v>
      </c>
      <c r="D206" s="20">
        <v>720</v>
      </c>
      <c r="H206" s="198">
        <v>45380</v>
      </c>
    </row>
    <row r="207" spans="1:8">
      <c r="A207" s="217" t="s">
        <v>604</v>
      </c>
      <c r="B207" s="17" t="s">
        <v>593</v>
      </c>
      <c r="C207" s="21" t="s">
        <v>9</v>
      </c>
      <c r="D207" s="20">
        <v>920</v>
      </c>
      <c r="H207" s="198">
        <v>45380</v>
      </c>
    </row>
    <row r="208" spans="1:8">
      <c r="A208" s="217" t="s">
        <v>605</v>
      </c>
      <c r="B208" s="17" t="s">
        <v>594</v>
      </c>
      <c r="C208" s="21" t="s">
        <v>9</v>
      </c>
      <c r="D208" s="20">
        <v>3150</v>
      </c>
      <c r="H208" s="198">
        <v>45380</v>
      </c>
    </row>
    <row r="209" spans="1:8">
      <c r="A209" s="217" t="s">
        <v>606</v>
      </c>
      <c r="B209" s="17" t="s">
        <v>595</v>
      </c>
      <c r="C209" s="21" t="s">
        <v>9</v>
      </c>
      <c r="D209" s="20">
        <v>2900</v>
      </c>
      <c r="H209" s="198">
        <v>45380</v>
      </c>
    </row>
    <row r="210" spans="1:8">
      <c r="A210" s="217" t="s">
        <v>607</v>
      </c>
      <c r="B210" s="17" t="s">
        <v>596</v>
      </c>
      <c r="C210" s="21" t="s">
        <v>9</v>
      </c>
      <c r="D210" s="20">
        <v>2900</v>
      </c>
      <c r="H210" s="198">
        <v>45380</v>
      </c>
    </row>
    <row r="211" spans="1:8">
      <c r="A211" s="217" t="s">
        <v>608</v>
      </c>
      <c r="B211" s="17" t="s">
        <v>597</v>
      </c>
      <c r="C211" s="21" t="s">
        <v>9</v>
      </c>
      <c r="D211" s="20">
        <v>200</v>
      </c>
      <c r="H211" s="198">
        <v>45380</v>
      </c>
    </row>
    <row r="212" spans="1:8">
      <c r="A212" s="217" t="s">
        <v>609</v>
      </c>
      <c r="B212" s="17" t="s">
        <v>598</v>
      </c>
      <c r="C212" s="21" t="s">
        <v>9</v>
      </c>
      <c r="D212" s="20">
        <v>1200</v>
      </c>
      <c r="H212" s="198">
        <v>45380</v>
      </c>
    </row>
    <row r="213" spans="1:8">
      <c r="A213" s="217" t="s">
        <v>613</v>
      </c>
      <c r="B213" s="17" t="s">
        <v>615</v>
      </c>
      <c r="C213" s="21" t="s">
        <v>7</v>
      </c>
      <c r="D213" s="20">
        <v>1600</v>
      </c>
      <c r="H213" s="198">
        <v>45380</v>
      </c>
    </row>
    <row r="214" spans="1:8">
      <c r="A214" s="217" t="s">
        <v>614</v>
      </c>
      <c r="B214" s="17" t="s">
        <v>616</v>
      </c>
      <c r="C214" s="21" t="s">
        <v>7</v>
      </c>
      <c r="D214" s="20">
        <v>2066.6666666666665</v>
      </c>
      <c r="H214" s="198">
        <v>45380</v>
      </c>
    </row>
    <row r="215" spans="1:8">
      <c r="A215" s="217" t="s">
        <v>631</v>
      </c>
      <c r="B215" s="180" t="s">
        <v>630</v>
      </c>
      <c r="C215" s="181" t="s">
        <v>9</v>
      </c>
      <c r="D215" s="182">
        <v>5100</v>
      </c>
      <c r="H215" s="198">
        <v>45380</v>
      </c>
    </row>
    <row r="216" spans="1:8">
      <c r="A216" s="217" t="s">
        <v>665</v>
      </c>
      <c r="B216" s="180" t="s">
        <v>669</v>
      </c>
      <c r="C216" s="181" t="s">
        <v>9</v>
      </c>
      <c r="D216" s="182">
        <v>58000</v>
      </c>
      <c r="H216" s="198">
        <v>45380</v>
      </c>
    </row>
    <row r="217" spans="1:8">
      <c r="A217" s="217" t="s">
        <v>670</v>
      </c>
      <c r="B217" s="180" t="s">
        <v>668</v>
      </c>
      <c r="C217" s="181" t="s">
        <v>9</v>
      </c>
      <c r="D217" s="182">
        <v>6820</v>
      </c>
      <c r="H217" s="198">
        <v>45380</v>
      </c>
    </row>
    <row r="218" spans="1:8">
      <c r="A218" s="217" t="s">
        <v>674</v>
      </c>
      <c r="B218" s="180" t="s">
        <v>673</v>
      </c>
      <c r="C218" s="181" t="s">
        <v>9</v>
      </c>
      <c r="D218" s="182">
        <f>9760*1.2</f>
        <v>11712</v>
      </c>
      <c r="H218" s="198">
        <v>45699</v>
      </c>
    </row>
    <row r="219" spans="1:8">
      <c r="A219" s="217" t="s">
        <v>680</v>
      </c>
      <c r="B219" s="180" t="s">
        <v>679</v>
      </c>
      <c r="C219" s="181" t="s">
        <v>9</v>
      </c>
      <c r="D219" s="182">
        <v>74600</v>
      </c>
      <c r="H219" s="198">
        <v>45380</v>
      </c>
    </row>
    <row r="220" spans="1:8">
      <c r="A220" s="217" t="s">
        <v>682</v>
      </c>
      <c r="B220" s="17" t="s">
        <v>681</v>
      </c>
      <c r="C220" s="181" t="s">
        <v>9</v>
      </c>
      <c r="D220" s="182">
        <v>150</v>
      </c>
      <c r="H220" s="198">
        <v>45380</v>
      </c>
    </row>
    <row r="221" spans="1:8">
      <c r="A221" s="217" t="s">
        <v>685</v>
      </c>
      <c r="B221" s="180" t="s">
        <v>684</v>
      </c>
      <c r="C221" s="181" t="s">
        <v>9</v>
      </c>
      <c r="D221" s="182">
        <v>79630</v>
      </c>
      <c r="H221" s="198">
        <v>45380</v>
      </c>
    </row>
    <row r="222" spans="1:8">
      <c r="A222" s="217" t="s">
        <v>689</v>
      </c>
      <c r="B222" s="180" t="s">
        <v>688</v>
      </c>
      <c r="C222" s="181" t="s">
        <v>9</v>
      </c>
      <c r="D222" s="182">
        <v>75320</v>
      </c>
      <c r="H222" s="198">
        <v>45380</v>
      </c>
    </row>
    <row r="223" spans="1:8">
      <c r="A223" s="217" t="s">
        <v>694</v>
      </c>
      <c r="B223" s="180" t="s">
        <v>693</v>
      </c>
      <c r="C223" s="181" t="s">
        <v>9</v>
      </c>
      <c r="D223" s="182">
        <v>142360</v>
      </c>
      <c r="H223" s="198">
        <v>45380</v>
      </c>
    </row>
    <row r="224" spans="1:8">
      <c r="A224" s="217" t="s">
        <v>698</v>
      </c>
      <c r="B224" s="180" t="s">
        <v>697</v>
      </c>
      <c r="C224" s="181" t="s">
        <v>9</v>
      </c>
      <c r="D224" s="182">
        <v>67680</v>
      </c>
      <c r="H224" s="198">
        <v>45380</v>
      </c>
    </row>
    <row r="225" spans="1:8">
      <c r="A225" s="217" t="s">
        <v>702</v>
      </c>
      <c r="B225" s="180" t="s">
        <v>701</v>
      </c>
      <c r="C225" s="181" t="s">
        <v>9</v>
      </c>
      <c r="D225" s="182">
        <v>28740</v>
      </c>
      <c r="H225" s="198">
        <v>45380</v>
      </c>
    </row>
    <row r="226" spans="1:8">
      <c r="A226" s="217" t="s">
        <v>704</v>
      </c>
      <c r="B226" s="180" t="s">
        <v>703</v>
      </c>
      <c r="C226" s="181" t="s">
        <v>9</v>
      </c>
      <c r="D226" s="182">
        <v>8600</v>
      </c>
      <c r="H226" s="198">
        <v>45380</v>
      </c>
    </row>
    <row r="227" spans="1:8">
      <c r="A227" s="217" t="s">
        <v>713</v>
      </c>
      <c r="B227" s="180" t="s">
        <v>712</v>
      </c>
      <c r="C227" s="181" t="s">
        <v>9</v>
      </c>
      <c r="D227" s="182">
        <v>9220</v>
      </c>
      <c r="H227" s="198">
        <v>45380</v>
      </c>
    </row>
    <row r="228" spans="1:8">
      <c r="A228" s="217" t="s">
        <v>716</v>
      </c>
      <c r="B228" s="180" t="s">
        <v>715</v>
      </c>
      <c r="C228" s="181" t="s">
        <v>9</v>
      </c>
      <c r="D228" s="182">
        <v>512230</v>
      </c>
      <c r="H228" s="198">
        <v>45380</v>
      </c>
    </row>
    <row r="229" spans="1:8">
      <c r="A229" s="217" t="s">
        <v>719</v>
      </c>
      <c r="B229" s="180" t="s">
        <v>718</v>
      </c>
      <c r="C229" s="181" t="s">
        <v>9</v>
      </c>
      <c r="D229" s="182">
        <v>6120</v>
      </c>
      <c r="H229" s="198">
        <v>45380</v>
      </c>
    </row>
    <row r="230" spans="1:8">
      <c r="A230" s="217" t="s">
        <v>721</v>
      </c>
      <c r="B230" s="180" t="s">
        <v>720</v>
      </c>
      <c r="C230" s="181" t="s">
        <v>9</v>
      </c>
      <c r="D230" s="182">
        <v>5160</v>
      </c>
      <c r="H230" s="198">
        <v>45380</v>
      </c>
    </row>
    <row r="231" spans="1:8">
      <c r="A231" s="217" t="s">
        <v>723</v>
      </c>
      <c r="B231" s="180" t="s">
        <v>722</v>
      </c>
      <c r="C231" s="181" t="s">
        <v>9</v>
      </c>
      <c r="D231" s="182">
        <v>1100</v>
      </c>
      <c r="H231" s="198">
        <v>45380</v>
      </c>
    </row>
    <row r="232" spans="1:8">
      <c r="A232" s="217" t="s">
        <v>731</v>
      </c>
      <c r="B232" s="180" t="s">
        <v>726</v>
      </c>
      <c r="C232" s="181" t="s">
        <v>7</v>
      </c>
      <c r="D232" s="182">
        <f>110300/3</f>
        <v>36766.666666666664</v>
      </c>
      <c r="H232" s="198">
        <v>45380</v>
      </c>
    </row>
    <row r="233" spans="1:8">
      <c r="A233" s="217" t="s">
        <v>732</v>
      </c>
      <c r="B233" s="180" t="s">
        <v>727</v>
      </c>
      <c r="C233" s="181" t="s">
        <v>9</v>
      </c>
      <c r="D233" s="182">
        <v>7150</v>
      </c>
      <c r="H233" s="198">
        <v>45380</v>
      </c>
    </row>
    <row r="234" spans="1:8">
      <c r="A234" s="217" t="s">
        <v>733</v>
      </c>
      <c r="B234" s="180" t="s">
        <v>728</v>
      </c>
      <c r="C234" s="181" t="s">
        <v>9</v>
      </c>
      <c r="D234" s="182">
        <v>5458</v>
      </c>
      <c r="H234" s="198">
        <v>45380</v>
      </c>
    </row>
    <row r="235" spans="1:8">
      <c r="A235" s="217" t="s">
        <v>734</v>
      </c>
      <c r="B235" s="180" t="s">
        <v>729</v>
      </c>
      <c r="C235" s="181" t="s">
        <v>9</v>
      </c>
      <c r="D235" s="182">
        <v>14939</v>
      </c>
      <c r="H235" s="198">
        <v>45380</v>
      </c>
    </row>
    <row r="236" spans="1:8">
      <c r="A236" s="217" t="s">
        <v>735</v>
      </c>
      <c r="B236" s="180" t="s">
        <v>730</v>
      </c>
      <c r="C236" s="181" t="s">
        <v>9</v>
      </c>
      <c r="D236" s="182">
        <v>1461.6</v>
      </c>
      <c r="H236" s="198">
        <v>45380</v>
      </c>
    </row>
    <row r="237" spans="1:8">
      <c r="A237" s="217" t="s">
        <v>740</v>
      </c>
      <c r="B237" s="180" t="s">
        <v>738</v>
      </c>
      <c r="C237" s="181" t="s">
        <v>9</v>
      </c>
      <c r="D237" s="182">
        <v>4600</v>
      </c>
      <c r="H237" s="198">
        <v>45380</v>
      </c>
    </row>
    <row r="238" spans="1:8">
      <c r="A238" s="217" t="s">
        <v>741</v>
      </c>
      <c r="B238" s="180" t="s">
        <v>739</v>
      </c>
      <c r="C238" s="181" t="s">
        <v>9</v>
      </c>
      <c r="D238" s="182">
        <v>15600</v>
      </c>
      <c r="H238" s="198">
        <v>45380</v>
      </c>
    </row>
    <row r="239" spans="1:8">
      <c r="A239" s="217" t="s">
        <v>743</v>
      </c>
      <c r="B239" s="180" t="s">
        <v>742</v>
      </c>
      <c r="C239" s="181" t="s">
        <v>7</v>
      </c>
      <c r="D239" s="182">
        <v>2140</v>
      </c>
      <c r="H239" s="198">
        <v>45380</v>
      </c>
    </row>
    <row r="240" spans="1:8">
      <c r="A240" s="217" t="s">
        <v>746</v>
      </c>
      <c r="B240" s="180" t="s">
        <v>745</v>
      </c>
      <c r="C240" s="181" t="s">
        <v>9</v>
      </c>
      <c r="D240" s="182">
        <v>4970</v>
      </c>
      <c r="H240" s="198">
        <v>45380</v>
      </c>
    </row>
    <row r="241" spans="1:8">
      <c r="A241" s="217" t="s">
        <v>752</v>
      </c>
      <c r="B241" s="180" t="s">
        <v>751</v>
      </c>
      <c r="C241" s="181" t="s">
        <v>9</v>
      </c>
      <c r="D241" s="182">
        <v>100</v>
      </c>
      <c r="H241" s="198">
        <v>45380</v>
      </c>
    </row>
    <row r="242" spans="1:8">
      <c r="A242" s="217" t="s">
        <v>756</v>
      </c>
      <c r="B242" s="17" t="s">
        <v>753</v>
      </c>
      <c r="C242" s="184" t="s">
        <v>7</v>
      </c>
      <c r="D242" s="182">
        <v>5866.666666666667</v>
      </c>
      <c r="H242" s="198">
        <v>45380</v>
      </c>
    </row>
    <row r="243" spans="1:8">
      <c r="A243" s="217" t="s">
        <v>757</v>
      </c>
      <c r="B243" s="17" t="s">
        <v>754</v>
      </c>
      <c r="C243" s="184" t="s">
        <v>9</v>
      </c>
      <c r="D243" s="182">
        <v>1700</v>
      </c>
      <c r="H243" s="198">
        <v>45380</v>
      </c>
    </row>
    <row r="244" spans="1:8">
      <c r="A244" s="217" t="s">
        <v>758</v>
      </c>
      <c r="B244" s="17" t="s">
        <v>755</v>
      </c>
      <c r="C244" s="184" t="s">
        <v>9</v>
      </c>
      <c r="D244" s="182">
        <v>2250</v>
      </c>
      <c r="H244" s="198">
        <v>45380</v>
      </c>
    </row>
    <row r="245" spans="1:8">
      <c r="A245" s="217" t="s">
        <v>765</v>
      </c>
      <c r="B245" s="17" t="s">
        <v>762</v>
      </c>
      <c r="C245" s="184" t="s">
        <v>7</v>
      </c>
      <c r="D245" s="182">
        <v>8100</v>
      </c>
      <c r="H245" s="198">
        <v>45380</v>
      </c>
    </row>
    <row r="246" spans="1:8">
      <c r="A246" s="217" t="s">
        <v>766</v>
      </c>
      <c r="B246" s="17" t="s">
        <v>763</v>
      </c>
      <c r="C246" s="184" t="s">
        <v>9</v>
      </c>
      <c r="D246" s="182">
        <v>4650</v>
      </c>
      <c r="H246" s="198">
        <v>45380</v>
      </c>
    </row>
    <row r="247" spans="1:8">
      <c r="A247" s="217" t="s">
        <v>767</v>
      </c>
      <c r="B247" s="17" t="s">
        <v>764</v>
      </c>
      <c r="C247" s="184" t="s">
        <v>9</v>
      </c>
      <c r="D247" s="182">
        <v>3650</v>
      </c>
      <c r="H247" s="198">
        <v>45380</v>
      </c>
    </row>
    <row r="248" spans="1:8">
      <c r="A248" s="217" t="s">
        <v>769</v>
      </c>
      <c r="B248" s="17" t="s">
        <v>768</v>
      </c>
      <c r="C248" s="184" t="s">
        <v>9</v>
      </c>
      <c r="D248" s="182">
        <v>3110</v>
      </c>
      <c r="H248" s="198">
        <v>45380</v>
      </c>
    </row>
    <row r="249" spans="1:8">
      <c r="A249" s="217" t="s">
        <v>773</v>
      </c>
      <c r="B249" s="180" t="s">
        <v>772</v>
      </c>
      <c r="C249" s="210" t="s">
        <v>9</v>
      </c>
      <c r="D249" s="182">
        <v>42300</v>
      </c>
      <c r="H249" s="198">
        <v>45380</v>
      </c>
    </row>
    <row r="250" spans="1:8">
      <c r="A250" s="217" t="s">
        <v>777</v>
      </c>
      <c r="B250" s="180" t="s">
        <v>776</v>
      </c>
      <c r="C250" s="210" t="s">
        <v>9</v>
      </c>
      <c r="D250" s="182">
        <v>51360</v>
      </c>
      <c r="H250" s="198">
        <v>45380</v>
      </c>
    </row>
    <row r="251" spans="1:8">
      <c r="A251" s="217" t="s">
        <v>780</v>
      </c>
      <c r="B251" s="180" t="s">
        <v>779</v>
      </c>
      <c r="C251" s="210" t="s">
        <v>9</v>
      </c>
      <c r="D251" s="182">
        <v>155630</v>
      </c>
      <c r="H251" s="198">
        <v>45380</v>
      </c>
    </row>
    <row r="252" spans="1:8">
      <c r="A252" s="217" t="s">
        <v>787</v>
      </c>
      <c r="B252" s="180" t="s">
        <v>783</v>
      </c>
      <c r="C252" s="210" t="s">
        <v>7</v>
      </c>
      <c r="D252" s="182">
        <f>112600/3</f>
        <v>37533.333333333336</v>
      </c>
      <c r="H252" s="198">
        <v>45380</v>
      </c>
    </row>
    <row r="253" spans="1:8">
      <c r="A253" s="217" t="s">
        <v>788</v>
      </c>
      <c r="B253" s="180" t="s">
        <v>784</v>
      </c>
      <c r="C253" s="210" t="s">
        <v>9</v>
      </c>
      <c r="D253" s="182">
        <v>5200</v>
      </c>
      <c r="H253" s="198">
        <v>45380</v>
      </c>
    </row>
    <row r="254" spans="1:8">
      <c r="A254" s="217" t="s">
        <v>789</v>
      </c>
      <c r="B254" s="180" t="s">
        <v>785</v>
      </c>
      <c r="C254" s="210" t="s">
        <v>9</v>
      </c>
      <c r="D254" s="182">
        <v>3200</v>
      </c>
      <c r="H254" s="198">
        <v>45380</v>
      </c>
    </row>
    <row r="255" spans="1:8">
      <c r="A255" s="217" t="s">
        <v>790</v>
      </c>
      <c r="B255" s="180" t="s">
        <v>786</v>
      </c>
      <c r="C255" s="210" t="s">
        <v>9</v>
      </c>
      <c r="D255" s="182">
        <v>8460</v>
      </c>
      <c r="H255" s="198">
        <v>45380</v>
      </c>
    </row>
    <row r="256" spans="1:8">
      <c r="A256" s="217" t="s">
        <v>794</v>
      </c>
      <c r="B256" s="180" t="s">
        <v>793</v>
      </c>
      <c r="C256" s="210" t="s">
        <v>9</v>
      </c>
      <c r="D256" s="182">
        <v>84700</v>
      </c>
      <c r="H256" s="198">
        <v>45380</v>
      </c>
    </row>
    <row r="257" spans="1:8">
      <c r="A257" s="217" t="s">
        <v>799</v>
      </c>
      <c r="B257" s="180" t="s">
        <v>798</v>
      </c>
      <c r="C257" s="210" t="s">
        <v>9</v>
      </c>
      <c r="D257" s="182">
        <v>78630</v>
      </c>
      <c r="H257" s="198">
        <v>45380</v>
      </c>
    </row>
    <row r="258" spans="1:8">
      <c r="A258" s="217" t="s">
        <v>803</v>
      </c>
      <c r="B258" s="180" t="s">
        <v>802</v>
      </c>
      <c r="C258" s="210" t="s">
        <v>9</v>
      </c>
      <c r="D258" s="182">
        <v>10860</v>
      </c>
      <c r="H258" s="198">
        <v>45380</v>
      </c>
    </row>
    <row r="259" spans="1:8">
      <c r="A259" s="217" t="s">
        <v>805</v>
      </c>
      <c r="B259" s="180" t="s">
        <v>804</v>
      </c>
      <c r="C259" s="210" t="s">
        <v>9</v>
      </c>
      <c r="D259" s="182">
        <v>1470</v>
      </c>
      <c r="H259" s="198">
        <v>45380</v>
      </c>
    </row>
    <row r="260" spans="1:8">
      <c r="A260" s="217" t="s">
        <v>807</v>
      </c>
      <c r="B260" s="180" t="s">
        <v>806</v>
      </c>
      <c r="C260" s="210" t="s">
        <v>7</v>
      </c>
      <c r="D260" s="182">
        <v>1230</v>
      </c>
      <c r="H260" s="198">
        <v>45380</v>
      </c>
    </row>
    <row r="261" spans="1:8">
      <c r="A261" s="217" t="s">
        <v>808</v>
      </c>
      <c r="B261" s="180" t="s">
        <v>809</v>
      </c>
      <c r="C261" s="210" t="s">
        <v>9</v>
      </c>
      <c r="D261" s="182">
        <v>1690</v>
      </c>
      <c r="H261" s="198">
        <v>45380</v>
      </c>
    </row>
    <row r="262" spans="1:8">
      <c r="A262" s="217" t="s">
        <v>815</v>
      </c>
      <c r="B262" s="180" t="s">
        <v>814</v>
      </c>
      <c r="C262" s="210" t="s">
        <v>7</v>
      </c>
      <c r="D262" s="182">
        <f>45900/3</f>
        <v>15300</v>
      </c>
      <c r="H262" s="198">
        <v>45514</v>
      </c>
    </row>
    <row r="263" spans="1:8">
      <c r="A263" s="217" t="s">
        <v>819</v>
      </c>
      <c r="B263" s="180" t="s">
        <v>817</v>
      </c>
      <c r="C263" s="210" t="s">
        <v>9</v>
      </c>
      <c r="D263" s="182">
        <v>3500</v>
      </c>
      <c r="H263" s="198">
        <v>45514</v>
      </c>
    </row>
    <row r="264" spans="1:8">
      <c r="A264" s="217" t="s">
        <v>820</v>
      </c>
      <c r="B264" s="180" t="s">
        <v>816</v>
      </c>
      <c r="C264" s="210" t="s">
        <v>9</v>
      </c>
      <c r="D264" s="182">
        <v>2800</v>
      </c>
      <c r="H264" s="198">
        <v>45514</v>
      </c>
    </row>
    <row r="265" spans="1:8">
      <c r="A265" s="217" t="s">
        <v>821</v>
      </c>
      <c r="B265" s="180" t="s">
        <v>818</v>
      </c>
      <c r="C265" s="210" t="s">
        <v>9</v>
      </c>
      <c r="D265" s="182">
        <v>3890</v>
      </c>
      <c r="H265" s="198">
        <v>45380</v>
      </c>
    </row>
    <row r="266" spans="1:8">
      <c r="A266" s="217" t="s">
        <v>822</v>
      </c>
      <c r="B266" s="180" t="s">
        <v>824</v>
      </c>
      <c r="C266" s="210" t="s">
        <v>9</v>
      </c>
      <c r="D266" s="182">
        <v>970</v>
      </c>
      <c r="H266" s="198">
        <v>45380</v>
      </c>
    </row>
    <row r="267" spans="1:8">
      <c r="A267" s="217" t="s">
        <v>826</v>
      </c>
      <c r="B267" s="180" t="s">
        <v>825</v>
      </c>
      <c r="C267" s="210" t="s">
        <v>9</v>
      </c>
      <c r="D267" s="182">
        <v>4285</v>
      </c>
      <c r="H267" s="198">
        <v>45380</v>
      </c>
    </row>
    <row r="268" spans="1:8">
      <c r="A268" s="217" t="s">
        <v>828</v>
      </c>
      <c r="B268" s="180" t="s">
        <v>827</v>
      </c>
      <c r="C268" s="210" t="s">
        <v>9</v>
      </c>
      <c r="D268" s="182">
        <v>5600</v>
      </c>
      <c r="H268" s="198">
        <v>45380</v>
      </c>
    </row>
    <row r="269" spans="1:8">
      <c r="A269" s="217" t="s">
        <v>830</v>
      </c>
      <c r="B269" s="180" t="s">
        <v>829</v>
      </c>
      <c r="C269" s="210" t="s">
        <v>9</v>
      </c>
      <c r="D269" s="182">
        <v>5781</v>
      </c>
      <c r="H269" s="198">
        <v>45380</v>
      </c>
    </row>
    <row r="270" spans="1:8">
      <c r="A270" s="217" t="s">
        <v>838</v>
      </c>
      <c r="B270" s="180" t="s">
        <v>834</v>
      </c>
      <c r="C270" s="210" t="s">
        <v>7</v>
      </c>
      <c r="D270" s="182">
        <f>86450/3</f>
        <v>28816.666666666668</v>
      </c>
      <c r="H270" s="198">
        <v>45380</v>
      </c>
    </row>
    <row r="271" spans="1:8">
      <c r="A271" s="217" t="s">
        <v>839</v>
      </c>
      <c r="B271" s="180" t="s">
        <v>836</v>
      </c>
      <c r="C271" s="210" t="s">
        <v>9</v>
      </c>
      <c r="D271" s="182">
        <v>4420</v>
      </c>
      <c r="H271" s="198">
        <v>45380</v>
      </c>
    </row>
    <row r="272" spans="1:8">
      <c r="A272" s="217" t="s">
        <v>840</v>
      </c>
      <c r="B272" s="180" t="s">
        <v>835</v>
      </c>
      <c r="C272" s="210" t="s">
        <v>9</v>
      </c>
      <c r="D272" s="182">
        <v>4612</v>
      </c>
      <c r="H272" s="198">
        <v>45380</v>
      </c>
    </row>
    <row r="273" spans="1:8">
      <c r="A273" s="217" t="s">
        <v>841</v>
      </c>
      <c r="B273" s="180" t="s">
        <v>837</v>
      </c>
      <c r="C273" s="210" t="s">
        <v>9</v>
      </c>
      <c r="D273" s="182">
        <v>7915</v>
      </c>
      <c r="H273" s="198">
        <v>45380</v>
      </c>
    </row>
    <row r="274" spans="1:8">
      <c r="A274" s="217" t="s">
        <v>1096</v>
      </c>
      <c r="B274" s="180" t="s">
        <v>1095</v>
      </c>
      <c r="C274" s="210" t="s">
        <v>9</v>
      </c>
      <c r="D274" s="182">
        <v>57834000</v>
      </c>
      <c r="H274" s="198">
        <v>45421</v>
      </c>
    </row>
    <row r="275" spans="1:8">
      <c r="A275" s="217" t="s">
        <v>1102</v>
      </c>
      <c r="B275" s="17" t="s">
        <v>1101</v>
      </c>
      <c r="C275" s="210" t="s">
        <v>162</v>
      </c>
      <c r="D275" s="182">
        <v>364700</v>
      </c>
      <c r="H275" s="198">
        <v>45422</v>
      </c>
    </row>
    <row r="276" spans="1:8">
      <c r="A276" s="217" t="s">
        <v>1116</v>
      </c>
      <c r="B276" s="180" t="s">
        <v>1115</v>
      </c>
      <c r="C276" s="210" t="s">
        <v>7</v>
      </c>
      <c r="D276" s="182">
        <v>10200</v>
      </c>
      <c r="H276" s="198">
        <v>45423</v>
      </c>
    </row>
    <row r="277" spans="1:8">
      <c r="A277" s="217" t="s">
        <v>1135</v>
      </c>
      <c r="B277" s="180" t="s">
        <v>1133</v>
      </c>
      <c r="C277" s="210" t="s">
        <v>7</v>
      </c>
      <c r="D277" s="182">
        <f>19400*1.19</f>
        <v>23086</v>
      </c>
      <c r="H277" s="198">
        <v>45423</v>
      </c>
    </row>
    <row r="278" spans="1:8">
      <c r="A278" s="217" t="s">
        <v>1136</v>
      </c>
      <c r="B278" s="180" t="s">
        <v>1134</v>
      </c>
      <c r="C278" s="210" t="s">
        <v>9</v>
      </c>
      <c r="D278" s="182">
        <f>12800*1.19</f>
        <v>15232</v>
      </c>
      <c r="H278" s="198">
        <v>45423</v>
      </c>
    </row>
    <row r="279" spans="1:8">
      <c r="A279" s="217" t="s">
        <v>1160</v>
      </c>
      <c r="B279" s="17" t="s">
        <v>1159</v>
      </c>
      <c r="C279" s="210" t="s">
        <v>7</v>
      </c>
      <c r="D279" s="182">
        <f>21000*1.19</f>
        <v>24990</v>
      </c>
      <c r="H279" s="198">
        <v>45423</v>
      </c>
    </row>
    <row r="280" spans="1:8">
      <c r="A280" s="217" t="s">
        <v>1162</v>
      </c>
      <c r="B280" s="17" t="s">
        <v>1161</v>
      </c>
      <c r="C280" s="210" t="s">
        <v>9</v>
      </c>
      <c r="D280" s="182">
        <v>80</v>
      </c>
      <c r="H280" s="198">
        <v>45423</v>
      </c>
    </row>
    <row r="281" spans="1:8">
      <c r="A281" s="217" t="s">
        <v>1169</v>
      </c>
      <c r="B281" s="17" t="s">
        <v>1168</v>
      </c>
      <c r="C281" s="210" t="s">
        <v>9</v>
      </c>
      <c r="D281" s="182">
        <f>147700*1.19</f>
        <v>175763</v>
      </c>
      <c r="H281" s="198">
        <v>45423</v>
      </c>
    </row>
    <row r="282" spans="1:8">
      <c r="A282" s="217" t="s">
        <v>1173</v>
      </c>
      <c r="B282" s="17" t="s">
        <v>1172</v>
      </c>
      <c r="C282" s="210" t="s">
        <v>9</v>
      </c>
      <c r="D282" s="182">
        <f>82900*1.19</f>
        <v>98651</v>
      </c>
      <c r="H282" s="198">
        <v>45423</v>
      </c>
    </row>
    <row r="283" spans="1:8">
      <c r="A283" s="217" t="s">
        <v>1176</v>
      </c>
      <c r="B283" s="17" t="s">
        <v>1175</v>
      </c>
      <c r="C283" s="210" t="s">
        <v>9</v>
      </c>
      <c r="D283" s="182">
        <v>382700</v>
      </c>
      <c r="H283" s="198">
        <v>45423</v>
      </c>
    </row>
    <row r="284" spans="1:8">
      <c r="A284" s="217" t="s">
        <v>1181</v>
      </c>
      <c r="B284" s="17" t="s">
        <v>1180</v>
      </c>
      <c r="C284" s="210" t="s">
        <v>7</v>
      </c>
      <c r="D284" s="182">
        <f>409200/3</f>
        <v>136400</v>
      </c>
      <c r="H284" s="198">
        <v>45468</v>
      </c>
    </row>
    <row r="285" spans="1:8">
      <c r="A285" s="217" t="s">
        <v>1183</v>
      </c>
      <c r="B285" s="17" t="s">
        <v>1182</v>
      </c>
      <c r="C285" s="210" t="s">
        <v>7</v>
      </c>
      <c r="D285" s="182">
        <f>54100*1.2</f>
        <v>64920</v>
      </c>
      <c r="H285" s="198">
        <v>45468</v>
      </c>
    </row>
    <row r="286" spans="1:8">
      <c r="A286" s="217" t="s">
        <v>1185</v>
      </c>
      <c r="B286" s="17" t="s">
        <v>1184</v>
      </c>
      <c r="C286" s="210" t="s">
        <v>9</v>
      </c>
      <c r="D286" s="182">
        <f>19500*1.2</f>
        <v>23400</v>
      </c>
      <c r="H286" s="198">
        <v>45468</v>
      </c>
    </row>
    <row r="287" spans="1:8">
      <c r="A287" s="217" t="s">
        <v>1187</v>
      </c>
      <c r="B287" s="17" t="s">
        <v>1186</v>
      </c>
      <c r="C287" s="210" t="s">
        <v>9</v>
      </c>
      <c r="D287" s="182">
        <f>18000*1.2</f>
        <v>21600</v>
      </c>
      <c r="H287" s="198">
        <v>45468</v>
      </c>
    </row>
    <row r="288" spans="1:8">
      <c r="A288" s="217" t="s">
        <v>1191</v>
      </c>
      <c r="B288" s="17" t="s">
        <v>1190</v>
      </c>
      <c r="C288" s="210" t="s">
        <v>7</v>
      </c>
      <c r="D288" s="182">
        <f>64400*1.2/6</f>
        <v>12880</v>
      </c>
      <c r="H288" s="198">
        <v>45468</v>
      </c>
    </row>
    <row r="289" spans="1:8">
      <c r="A289" s="217" t="s">
        <v>1193</v>
      </c>
      <c r="B289" s="17" t="s">
        <v>1192</v>
      </c>
      <c r="C289" s="210" t="s">
        <v>9</v>
      </c>
      <c r="D289" s="182">
        <f>7200*1.2</f>
        <v>8640</v>
      </c>
      <c r="H289" s="198">
        <v>45468</v>
      </c>
    </row>
    <row r="290" spans="1:8">
      <c r="A290" s="217" t="s">
        <v>1196</v>
      </c>
      <c r="B290" s="17" t="s">
        <v>1195</v>
      </c>
      <c r="C290" s="210" t="s">
        <v>7</v>
      </c>
      <c r="D290" s="182">
        <f>16300*1.2/3</f>
        <v>6520</v>
      </c>
      <c r="H290" s="198">
        <v>45468</v>
      </c>
    </row>
    <row r="291" spans="1:8">
      <c r="A291" s="217" t="s">
        <v>1225</v>
      </c>
      <c r="B291" s="17" t="s">
        <v>1224</v>
      </c>
      <c r="C291" s="210" t="s">
        <v>9</v>
      </c>
      <c r="D291" s="182">
        <f>22471*1.2</f>
        <v>26965.200000000001</v>
      </c>
      <c r="H291" s="198">
        <v>45468</v>
      </c>
    </row>
    <row r="292" spans="1:8">
      <c r="A292" s="217" t="s">
        <v>1229</v>
      </c>
      <c r="B292" s="17" t="s">
        <v>1228</v>
      </c>
      <c r="C292" s="210" t="s">
        <v>7</v>
      </c>
      <c r="D292" s="182">
        <v>46520</v>
      </c>
      <c r="H292" s="198">
        <v>45468</v>
      </c>
    </row>
    <row r="293" spans="1:8">
      <c r="A293" s="217" t="s">
        <v>1231</v>
      </c>
      <c r="B293" s="17" t="s">
        <v>1230</v>
      </c>
      <c r="C293" s="210" t="s">
        <v>9</v>
      </c>
      <c r="D293" s="182">
        <f>10750*1.2</f>
        <v>12900</v>
      </c>
      <c r="H293" s="198">
        <v>45468</v>
      </c>
    </row>
    <row r="294" spans="1:8">
      <c r="A294" s="217" t="s">
        <v>1236</v>
      </c>
      <c r="B294" s="17" t="s">
        <v>1235</v>
      </c>
      <c r="C294" s="210" t="s">
        <v>7</v>
      </c>
      <c r="D294" s="182">
        <f>8100*1.2</f>
        <v>9720</v>
      </c>
      <c r="H294" s="198">
        <v>45469</v>
      </c>
    </row>
    <row r="295" spans="1:8">
      <c r="A295" s="217" t="s">
        <v>1241</v>
      </c>
      <c r="B295" s="180" t="s">
        <v>1240</v>
      </c>
      <c r="C295" s="210" t="s">
        <v>9</v>
      </c>
      <c r="D295" s="182">
        <f>32200*1.2</f>
        <v>38640</v>
      </c>
      <c r="H295" s="198">
        <v>45469</v>
      </c>
    </row>
    <row r="296" spans="1:8">
      <c r="A296" s="217" t="s">
        <v>1245</v>
      </c>
      <c r="B296" s="180" t="s">
        <v>1244</v>
      </c>
      <c r="C296" s="210" t="s">
        <v>9</v>
      </c>
      <c r="D296" s="182">
        <f>43261400*1.2</f>
        <v>51913680</v>
      </c>
      <c r="H296" s="198">
        <v>45469</v>
      </c>
    </row>
    <row r="297" spans="1:8">
      <c r="A297" s="217" t="s">
        <v>1248</v>
      </c>
      <c r="B297" s="180" t="s">
        <v>1634</v>
      </c>
      <c r="C297" s="210" t="s">
        <v>9</v>
      </c>
      <c r="D297" s="182">
        <f>382900*1.2</f>
        <v>459480</v>
      </c>
      <c r="H297" s="198">
        <v>45469</v>
      </c>
    </row>
    <row r="298" spans="1:8">
      <c r="A298" s="217" t="s">
        <v>1252</v>
      </c>
      <c r="B298" s="180" t="s">
        <v>1251</v>
      </c>
      <c r="C298" s="210" t="s">
        <v>9</v>
      </c>
      <c r="D298" s="182">
        <f>82900*1.2</f>
        <v>99480</v>
      </c>
      <c r="H298" s="198">
        <v>45469</v>
      </c>
    </row>
    <row r="299" spans="1:8">
      <c r="A299" s="217" t="s">
        <v>1257</v>
      </c>
      <c r="B299" s="180" t="s">
        <v>1256</v>
      </c>
      <c r="C299" s="210" t="s">
        <v>9</v>
      </c>
      <c r="D299" s="182">
        <v>56689</v>
      </c>
      <c r="H299" s="198">
        <v>45516</v>
      </c>
    </row>
    <row r="300" spans="1:8">
      <c r="A300" s="217" t="s">
        <v>1267</v>
      </c>
      <c r="B300" s="180" t="s">
        <v>1266</v>
      </c>
      <c r="C300" s="210" t="s">
        <v>7</v>
      </c>
      <c r="D300" s="182">
        <f>225000/2.4</f>
        <v>93750</v>
      </c>
      <c r="H300" s="198">
        <v>45516</v>
      </c>
    </row>
    <row r="301" spans="1:8">
      <c r="A301" s="217" t="s">
        <v>1274</v>
      </c>
      <c r="B301" s="180" t="s">
        <v>1275</v>
      </c>
      <c r="C301" s="210" t="s">
        <v>9</v>
      </c>
      <c r="D301" s="182">
        <v>411348</v>
      </c>
      <c r="H301" s="198">
        <v>45516</v>
      </c>
    </row>
    <row r="302" spans="1:8">
      <c r="A302" s="217" t="s">
        <v>1279</v>
      </c>
      <c r="B302" s="180" t="s">
        <v>1278</v>
      </c>
      <c r="C302" s="210" t="s">
        <v>9</v>
      </c>
      <c r="D302" s="182">
        <v>18630</v>
      </c>
      <c r="H302" s="198">
        <v>45516</v>
      </c>
    </row>
    <row r="303" spans="1:8">
      <c r="A303" s="217" t="s">
        <v>1281</v>
      </c>
      <c r="B303" s="180" t="s">
        <v>1280</v>
      </c>
      <c r="C303" s="210" t="s">
        <v>9</v>
      </c>
      <c r="D303" s="182">
        <v>1230</v>
      </c>
      <c r="H303" s="198">
        <v>45516</v>
      </c>
    </row>
    <row r="304" spans="1:8">
      <c r="A304" s="217" t="s">
        <v>1283</v>
      </c>
      <c r="B304" s="180" t="s">
        <v>1282</v>
      </c>
      <c r="C304" s="210" t="s">
        <v>9</v>
      </c>
      <c r="D304" s="182">
        <v>89780</v>
      </c>
      <c r="H304" s="198">
        <v>45516</v>
      </c>
    </row>
    <row r="305" spans="1:8">
      <c r="A305" s="217" t="s">
        <v>1289</v>
      </c>
      <c r="B305" s="180" t="s">
        <v>1288</v>
      </c>
      <c r="C305" s="210" t="s">
        <v>9</v>
      </c>
      <c r="D305" s="182">
        <v>1048204</v>
      </c>
      <c r="H305" s="198">
        <v>45516</v>
      </c>
    </row>
    <row r="306" spans="1:8">
      <c r="A306" s="217" t="s">
        <v>1293</v>
      </c>
      <c r="B306" s="180" t="s">
        <v>1292</v>
      </c>
      <c r="C306" s="210" t="s">
        <v>162</v>
      </c>
      <c r="D306" s="182">
        <v>360000</v>
      </c>
      <c r="H306" s="198">
        <v>45516</v>
      </c>
    </row>
    <row r="307" spans="1:8">
      <c r="A307" s="217" t="s">
        <v>1302</v>
      </c>
      <c r="B307" s="17" t="s">
        <v>1301</v>
      </c>
      <c r="C307" s="21" t="s">
        <v>7</v>
      </c>
      <c r="D307" s="20">
        <v>175950</v>
      </c>
      <c r="H307" s="198">
        <v>45518</v>
      </c>
    </row>
    <row r="308" spans="1:8">
      <c r="A308" s="217" t="s">
        <v>1304</v>
      </c>
      <c r="B308" s="17" t="s">
        <v>1303</v>
      </c>
      <c r="C308" s="210" t="s">
        <v>9</v>
      </c>
      <c r="D308" s="182">
        <v>55200</v>
      </c>
      <c r="H308" s="198">
        <v>45518</v>
      </c>
    </row>
    <row r="309" spans="1:8">
      <c r="A309" s="217" t="s">
        <v>1345</v>
      </c>
      <c r="B309" s="17" t="s">
        <v>1344</v>
      </c>
      <c r="C309" s="210" t="s">
        <v>9</v>
      </c>
      <c r="D309" s="182">
        <v>56210</v>
      </c>
      <c r="H309" s="198">
        <v>45520</v>
      </c>
    </row>
    <row r="310" spans="1:8">
      <c r="A310" s="217" t="s">
        <v>1351</v>
      </c>
      <c r="B310" s="180" t="s">
        <v>1350</v>
      </c>
      <c r="C310" s="210" t="s">
        <v>9</v>
      </c>
      <c r="D310" s="182">
        <v>13160</v>
      </c>
      <c r="H310" s="198">
        <v>45520</v>
      </c>
    </row>
    <row r="311" spans="1:8">
      <c r="A311" s="217" t="s">
        <v>1353</v>
      </c>
      <c r="B311" s="180" t="s">
        <v>1352</v>
      </c>
      <c r="C311" s="210" t="s">
        <v>9</v>
      </c>
      <c r="D311" s="182">
        <v>110220</v>
      </c>
      <c r="H311" s="198">
        <v>45520</v>
      </c>
    </row>
    <row r="312" spans="1:8">
      <c r="A312" s="217" t="s">
        <v>1357</v>
      </c>
      <c r="B312" s="17" t="s">
        <v>1356</v>
      </c>
      <c r="C312" s="21" t="s">
        <v>9</v>
      </c>
      <c r="D312" s="20">
        <v>334700</v>
      </c>
      <c r="H312" s="198">
        <v>45527</v>
      </c>
    </row>
    <row r="313" spans="1:8">
      <c r="A313" s="217" t="s">
        <v>1361</v>
      </c>
      <c r="B313" s="17" t="s">
        <v>1360</v>
      </c>
      <c r="C313" s="21" t="s">
        <v>9</v>
      </c>
      <c r="D313" s="20">
        <v>137400</v>
      </c>
      <c r="H313" s="198">
        <v>45527</v>
      </c>
    </row>
    <row r="314" spans="1:8">
      <c r="A314" s="217" t="s">
        <v>1367</v>
      </c>
      <c r="B314" s="180" t="s">
        <v>1366</v>
      </c>
      <c r="C314" s="210" t="s">
        <v>9</v>
      </c>
      <c r="D314" s="182">
        <v>1600000</v>
      </c>
      <c r="H314" s="198">
        <v>45527</v>
      </c>
    </row>
    <row r="315" spans="1:8">
      <c r="A315" s="217" t="s">
        <v>1369</v>
      </c>
      <c r="B315" s="17" t="s">
        <v>1368</v>
      </c>
      <c r="C315" s="21" t="s">
        <v>9</v>
      </c>
      <c r="D315" s="20">
        <v>721630</v>
      </c>
      <c r="H315" s="198">
        <v>45527</v>
      </c>
    </row>
    <row r="316" spans="1:8">
      <c r="A316" s="217" t="s">
        <v>1371</v>
      </c>
      <c r="B316" s="180" t="s">
        <v>1370</v>
      </c>
      <c r="C316" s="181" t="s">
        <v>7</v>
      </c>
      <c r="D316" s="182">
        <v>68300</v>
      </c>
      <c r="H316" s="198">
        <v>45527</v>
      </c>
    </row>
    <row r="317" spans="1:8">
      <c r="A317" s="217" t="s">
        <v>1373</v>
      </c>
      <c r="B317" s="180" t="s">
        <v>1372</v>
      </c>
      <c r="C317" s="181" t="s">
        <v>9</v>
      </c>
      <c r="D317" s="182">
        <v>6200</v>
      </c>
      <c r="H317" s="198">
        <v>45527</v>
      </c>
    </row>
    <row r="318" spans="1:8">
      <c r="A318" s="217" t="s">
        <v>1375</v>
      </c>
      <c r="B318" s="180" t="s">
        <v>1374</v>
      </c>
      <c r="C318" s="181" t="s">
        <v>9</v>
      </c>
      <c r="D318" s="182">
        <v>294630</v>
      </c>
      <c r="H318" s="198">
        <v>45527</v>
      </c>
    </row>
    <row r="319" spans="1:8">
      <c r="A319" s="217" t="s">
        <v>1377</v>
      </c>
      <c r="B319" s="180" t="s">
        <v>1376</v>
      </c>
      <c r="C319" s="181" t="s">
        <v>7</v>
      </c>
      <c r="D319" s="20">
        <f>87966/3</f>
        <v>29322</v>
      </c>
      <c r="H319" s="198">
        <v>45527</v>
      </c>
    </row>
    <row r="320" spans="1:8">
      <c r="A320" s="217" t="s">
        <v>1379</v>
      </c>
      <c r="B320" s="180" t="s">
        <v>1378</v>
      </c>
      <c r="C320" s="181" t="s">
        <v>9</v>
      </c>
      <c r="D320" s="182">
        <v>3670</v>
      </c>
      <c r="H320" s="198">
        <v>45527</v>
      </c>
    </row>
    <row r="321" spans="1:8">
      <c r="A321" s="217" t="s">
        <v>1381</v>
      </c>
      <c r="B321" s="180" t="s">
        <v>1380</v>
      </c>
      <c r="C321" s="181" t="s">
        <v>9</v>
      </c>
      <c r="D321" s="182">
        <v>2500</v>
      </c>
      <c r="H321" s="198">
        <v>45527</v>
      </c>
    </row>
    <row r="322" spans="1:8">
      <c r="A322" s="217" t="s">
        <v>1383</v>
      </c>
      <c r="B322" s="17" t="s">
        <v>1382</v>
      </c>
      <c r="C322" s="181" t="s">
        <v>9</v>
      </c>
      <c r="D322" s="182">
        <v>5700</v>
      </c>
      <c r="H322" s="198">
        <v>45527</v>
      </c>
    </row>
    <row r="323" spans="1:8">
      <c r="A323" s="217" t="s">
        <v>1385</v>
      </c>
      <c r="B323" s="180" t="s">
        <v>1384</v>
      </c>
      <c r="C323" s="181" t="s">
        <v>9</v>
      </c>
      <c r="D323" s="182">
        <v>66744</v>
      </c>
      <c r="H323" s="198">
        <v>45527</v>
      </c>
    </row>
    <row r="324" spans="1:8">
      <c r="A324" s="217" t="s">
        <v>1390</v>
      </c>
      <c r="B324" s="180" t="s">
        <v>1391</v>
      </c>
      <c r="C324" s="181" t="s">
        <v>9</v>
      </c>
      <c r="D324" s="182">
        <v>121776</v>
      </c>
      <c r="H324" s="198">
        <v>45527</v>
      </c>
    </row>
    <row r="325" spans="1:8">
      <c r="A325" s="217" t="s">
        <v>1395</v>
      </c>
      <c r="B325" s="180" t="s">
        <v>1394</v>
      </c>
      <c r="C325" s="181" t="s">
        <v>9</v>
      </c>
      <c r="D325" s="182">
        <v>174820</v>
      </c>
      <c r="H325" s="198">
        <v>45527</v>
      </c>
    </row>
    <row r="326" spans="1:8">
      <c r="A326" s="217" t="s">
        <v>1399</v>
      </c>
      <c r="B326" s="17" t="s">
        <v>1398</v>
      </c>
      <c r="C326" s="181" t="s">
        <v>9</v>
      </c>
      <c r="D326" s="182">
        <v>1049633</v>
      </c>
      <c r="H326" s="198">
        <v>45527</v>
      </c>
    </row>
    <row r="327" spans="1:8">
      <c r="A327" s="217" t="s">
        <v>1402</v>
      </c>
      <c r="B327" s="17" t="s">
        <v>1401</v>
      </c>
      <c r="C327" s="181" t="s">
        <v>9</v>
      </c>
      <c r="D327" s="182">
        <v>1694332</v>
      </c>
      <c r="H327" s="198">
        <v>45527</v>
      </c>
    </row>
    <row r="328" spans="1:8">
      <c r="A328" s="217" t="s">
        <v>1407</v>
      </c>
      <c r="B328" s="17" t="s">
        <v>1406</v>
      </c>
      <c r="C328" s="181" t="s">
        <v>7</v>
      </c>
      <c r="D328" s="182">
        <v>31600</v>
      </c>
      <c r="H328" s="198">
        <v>45527</v>
      </c>
    </row>
    <row r="329" spans="1:8">
      <c r="A329" s="217" t="s">
        <v>1409</v>
      </c>
      <c r="B329" s="17" t="s">
        <v>1408</v>
      </c>
      <c r="C329" s="181" t="s">
        <v>9</v>
      </c>
      <c r="D329" s="182">
        <v>42100</v>
      </c>
      <c r="H329" s="198">
        <v>45527</v>
      </c>
    </row>
    <row r="330" spans="1:8">
      <c r="A330" s="217" t="s">
        <v>1419</v>
      </c>
      <c r="B330" s="17" t="s">
        <v>1418</v>
      </c>
      <c r="C330" s="21" t="s">
        <v>7</v>
      </c>
      <c r="D330" s="20">
        <v>10890</v>
      </c>
      <c r="H330" s="198">
        <v>45528</v>
      </c>
    </row>
    <row r="331" spans="1:8">
      <c r="A331" s="217" t="s">
        <v>1420</v>
      </c>
      <c r="B331" s="17" t="s">
        <v>1417</v>
      </c>
      <c r="C331" s="181" t="s">
        <v>9</v>
      </c>
      <c r="D331" s="182">
        <v>7600</v>
      </c>
      <c r="H331" s="198">
        <v>45528</v>
      </c>
    </row>
    <row r="332" spans="1:8">
      <c r="A332" s="217" t="s">
        <v>1427</v>
      </c>
      <c r="B332" s="17" t="s">
        <v>1428</v>
      </c>
      <c r="C332" s="181" t="s">
        <v>7</v>
      </c>
      <c r="D332" s="182">
        <v>19230</v>
      </c>
      <c r="H332" s="198">
        <v>45528</v>
      </c>
    </row>
    <row r="333" spans="1:8">
      <c r="A333" s="217" t="s">
        <v>1430</v>
      </c>
      <c r="B333" s="17" t="s">
        <v>1429</v>
      </c>
      <c r="C333" s="181" t="s">
        <v>9</v>
      </c>
      <c r="D333" s="182">
        <v>17156</v>
      </c>
      <c r="H333" s="198">
        <v>45528</v>
      </c>
    </row>
    <row r="334" spans="1:8">
      <c r="A334" s="217" t="s">
        <v>1442</v>
      </c>
      <c r="B334" s="180" t="s">
        <v>1437</v>
      </c>
      <c r="C334" s="181" t="s">
        <v>7</v>
      </c>
      <c r="D334" s="182">
        <v>25100</v>
      </c>
      <c r="H334" s="198">
        <v>45528</v>
      </c>
    </row>
    <row r="335" spans="1:8">
      <c r="A335" s="217" t="s">
        <v>1443</v>
      </c>
      <c r="B335" s="180" t="s">
        <v>1439</v>
      </c>
      <c r="C335" s="181" t="s">
        <v>9</v>
      </c>
      <c r="D335" s="182">
        <v>4850</v>
      </c>
      <c r="H335" s="198">
        <v>45528</v>
      </c>
    </row>
    <row r="336" spans="1:8">
      <c r="A336" s="217" t="s">
        <v>1444</v>
      </c>
      <c r="B336" s="180" t="s">
        <v>1440</v>
      </c>
      <c r="C336" s="181" t="s">
        <v>9</v>
      </c>
      <c r="D336" s="182">
        <v>5860</v>
      </c>
      <c r="H336" s="198">
        <v>45528</v>
      </c>
    </row>
    <row r="337" spans="1:8">
      <c r="A337" s="217" t="s">
        <v>1445</v>
      </c>
      <c r="B337" s="180" t="s">
        <v>1441</v>
      </c>
      <c r="C337" s="181" t="s">
        <v>9</v>
      </c>
      <c r="D337" s="182">
        <v>11470</v>
      </c>
      <c r="H337" s="198">
        <v>45528</v>
      </c>
    </row>
    <row r="338" spans="1:8">
      <c r="A338" s="217" t="s">
        <v>1446</v>
      </c>
      <c r="B338" s="180" t="s">
        <v>1438</v>
      </c>
      <c r="C338" s="181" t="s">
        <v>9</v>
      </c>
      <c r="D338" s="182">
        <v>2860</v>
      </c>
      <c r="H338" s="198">
        <v>45699</v>
      </c>
    </row>
    <row r="339" spans="1:8">
      <c r="A339" s="217" t="s">
        <v>1463</v>
      </c>
      <c r="B339" s="180" t="s">
        <v>1462</v>
      </c>
      <c r="C339" s="181" t="s">
        <v>9</v>
      </c>
      <c r="D339" s="182">
        <v>89900</v>
      </c>
      <c r="H339" s="198">
        <v>45528</v>
      </c>
    </row>
    <row r="340" spans="1:8">
      <c r="A340" s="217" t="s">
        <v>1467</v>
      </c>
      <c r="B340" s="17" t="s">
        <v>1466</v>
      </c>
      <c r="C340" s="21" t="s">
        <v>9</v>
      </c>
      <c r="D340" s="20">
        <v>16340</v>
      </c>
      <c r="H340" s="198">
        <v>45528</v>
      </c>
    </row>
    <row r="341" spans="1:8">
      <c r="A341" s="217" t="s">
        <v>1470</v>
      </c>
      <c r="B341" s="17" t="s">
        <v>1469</v>
      </c>
      <c r="C341" s="21" t="s">
        <v>9</v>
      </c>
      <c r="D341" s="20">
        <v>3874600</v>
      </c>
      <c r="H341" s="198">
        <v>45528</v>
      </c>
    </row>
    <row r="342" spans="1:8">
      <c r="A342" s="217" t="s">
        <v>1477</v>
      </c>
      <c r="B342" s="180" t="s">
        <v>1472</v>
      </c>
      <c r="C342" s="181" t="s">
        <v>9</v>
      </c>
      <c r="D342" s="182">
        <v>96754600</v>
      </c>
      <c r="H342" s="198">
        <v>45528</v>
      </c>
    </row>
    <row r="343" spans="1:8">
      <c r="A343" s="217" t="s">
        <v>1479</v>
      </c>
      <c r="B343" s="180" t="s">
        <v>1478</v>
      </c>
      <c r="C343" s="181" t="s">
        <v>9</v>
      </c>
      <c r="D343" s="182">
        <v>2200000</v>
      </c>
      <c r="H343" s="198">
        <v>45528</v>
      </c>
    </row>
    <row r="344" spans="1:8">
      <c r="A344" s="217" t="s">
        <v>1481</v>
      </c>
      <c r="B344" s="180" t="s">
        <v>1480</v>
      </c>
      <c r="C344" s="181" t="s">
        <v>9</v>
      </c>
      <c r="D344" s="182">
        <v>18658700</v>
      </c>
    </row>
    <row r="345" spans="1:8">
      <c r="A345" s="217" t="s">
        <v>1483</v>
      </c>
      <c r="B345" s="180" t="s">
        <v>1482</v>
      </c>
      <c r="C345" s="181" t="s">
        <v>9</v>
      </c>
      <c r="D345" s="182">
        <v>10366900</v>
      </c>
    </row>
    <row r="346" spans="1:8">
      <c r="A346" s="217" t="s">
        <v>1485</v>
      </c>
      <c r="B346" s="17" t="s">
        <v>1484</v>
      </c>
      <c r="C346" s="181" t="s">
        <v>9</v>
      </c>
      <c r="D346" s="182">
        <v>1670400</v>
      </c>
      <c r="H346" s="198">
        <v>45528</v>
      </c>
    </row>
    <row r="347" spans="1:8">
      <c r="A347" s="217" t="s">
        <v>1487</v>
      </c>
      <c r="B347" s="180" t="s">
        <v>1486</v>
      </c>
      <c r="C347" s="181" t="s">
        <v>7</v>
      </c>
      <c r="D347" s="182">
        <v>695200</v>
      </c>
    </row>
    <row r="348" spans="1:8">
      <c r="A348" s="217" t="s">
        <v>1489</v>
      </c>
      <c r="B348" s="180" t="s">
        <v>1488</v>
      </c>
      <c r="C348" s="181" t="s">
        <v>162</v>
      </c>
      <c r="D348" s="182">
        <v>1000000</v>
      </c>
      <c r="H348" s="198">
        <v>45528</v>
      </c>
    </row>
    <row r="349" spans="1:8">
      <c r="A349" s="217" t="s">
        <v>1491</v>
      </c>
      <c r="B349" s="180" t="s">
        <v>1490</v>
      </c>
      <c r="C349" s="181" t="s">
        <v>162</v>
      </c>
      <c r="D349" s="182">
        <v>5000000</v>
      </c>
    </row>
    <row r="350" spans="1:8">
      <c r="A350" s="217" t="s">
        <v>1493</v>
      </c>
      <c r="B350" s="17" t="s">
        <v>1492</v>
      </c>
      <c r="C350" s="21" t="s">
        <v>9</v>
      </c>
      <c r="D350" s="20">
        <v>9675300</v>
      </c>
      <c r="H350" s="198">
        <v>45528</v>
      </c>
    </row>
    <row r="351" spans="1:8">
      <c r="A351" s="217" t="s">
        <v>1499</v>
      </c>
      <c r="B351" s="180" t="s">
        <v>1498</v>
      </c>
      <c r="C351" s="181" t="s">
        <v>9</v>
      </c>
      <c r="D351" s="182">
        <v>9863500</v>
      </c>
      <c r="H351" s="198">
        <v>45528</v>
      </c>
    </row>
    <row r="352" spans="1:8">
      <c r="A352" s="217" t="s">
        <v>1501</v>
      </c>
      <c r="B352" s="180" t="s">
        <v>1500</v>
      </c>
      <c r="C352" s="181" t="s">
        <v>9</v>
      </c>
      <c r="D352" s="182">
        <v>2266740</v>
      </c>
    </row>
    <row r="353" spans="1:8">
      <c r="A353" s="217" t="s">
        <v>1502</v>
      </c>
      <c r="B353" s="180" t="s">
        <v>1511</v>
      </c>
      <c r="C353" s="181" t="s">
        <v>7</v>
      </c>
      <c r="D353" s="182">
        <v>234600</v>
      </c>
      <c r="H353" s="198">
        <v>45528</v>
      </c>
    </row>
    <row r="354" spans="1:8">
      <c r="A354" s="217" t="s">
        <v>1513</v>
      </c>
      <c r="B354" s="17" t="s">
        <v>1512</v>
      </c>
      <c r="C354" s="21" t="s">
        <v>9</v>
      </c>
      <c r="D354" s="20">
        <v>286700</v>
      </c>
    </row>
    <row r="355" spans="1:8">
      <c r="A355" s="217" t="s">
        <v>1531</v>
      </c>
      <c r="B355" s="17" t="s">
        <v>1530</v>
      </c>
      <c r="C355" s="21" t="s">
        <v>9</v>
      </c>
      <c r="D355" s="20">
        <v>4896</v>
      </c>
      <c r="H355" s="198">
        <v>45613</v>
      </c>
    </row>
    <row r="356" spans="1:8">
      <c r="A356" s="217" t="s">
        <v>1532</v>
      </c>
      <c r="B356" s="17" t="s">
        <v>1533</v>
      </c>
      <c r="C356" s="21" t="s">
        <v>7</v>
      </c>
      <c r="D356" s="20">
        <v>9687</v>
      </c>
      <c r="H356" s="198">
        <v>45613</v>
      </c>
    </row>
    <row r="357" spans="1:8">
      <c r="A357" s="217" t="s">
        <v>1538</v>
      </c>
      <c r="B357" s="17" t="s">
        <v>1536</v>
      </c>
      <c r="C357" s="21" t="s">
        <v>9</v>
      </c>
      <c r="D357" s="20">
        <v>10657</v>
      </c>
      <c r="H357" s="198">
        <v>45613</v>
      </c>
    </row>
    <row r="358" spans="1:8">
      <c r="A358" s="217" t="s">
        <v>1539</v>
      </c>
      <c r="B358" s="17" t="s">
        <v>1537</v>
      </c>
      <c r="C358" s="21" t="s">
        <v>7</v>
      </c>
      <c r="D358" s="20">
        <v>15269</v>
      </c>
      <c r="H358" s="198">
        <v>45613</v>
      </c>
    </row>
    <row r="359" spans="1:8">
      <c r="A359" s="217" t="s">
        <v>1549</v>
      </c>
      <c r="B359" s="17" t="s">
        <v>1548</v>
      </c>
      <c r="C359" s="21" t="s">
        <v>7</v>
      </c>
      <c r="D359" s="20">
        <v>32580</v>
      </c>
      <c r="H359" s="198">
        <v>45614</v>
      </c>
    </row>
    <row r="360" spans="1:8">
      <c r="A360" s="217" t="s">
        <v>1563</v>
      </c>
      <c r="B360" s="17" t="s">
        <v>1562</v>
      </c>
      <c r="C360" s="21" t="s">
        <v>7</v>
      </c>
      <c r="D360" s="20">
        <v>37530</v>
      </c>
      <c r="H360" s="198">
        <v>45614</v>
      </c>
    </row>
    <row r="361" spans="1:8">
      <c r="A361" s="217" t="s">
        <v>1573</v>
      </c>
      <c r="B361" s="17" t="s">
        <v>1572</v>
      </c>
      <c r="C361" s="21" t="s">
        <v>7</v>
      </c>
      <c r="D361" s="20">
        <v>545700</v>
      </c>
      <c r="H361" s="198">
        <v>45615</v>
      </c>
    </row>
    <row r="362" spans="1:8">
      <c r="A362" s="217" t="s">
        <v>1575</v>
      </c>
      <c r="B362" s="17" t="s">
        <v>1574</v>
      </c>
      <c r="C362" s="21" t="s">
        <v>9</v>
      </c>
      <c r="D362" s="20">
        <v>325640</v>
      </c>
      <c r="H362" s="198">
        <v>45616</v>
      </c>
    </row>
    <row r="363" spans="1:8">
      <c r="A363" s="217" t="s">
        <v>1577</v>
      </c>
      <c r="B363" s="17" t="s">
        <v>1576</v>
      </c>
      <c r="C363" s="21" t="s">
        <v>9</v>
      </c>
      <c r="D363" s="20">
        <v>94670</v>
      </c>
      <c r="H363" s="198">
        <v>45616</v>
      </c>
    </row>
    <row r="364" spans="1:8">
      <c r="A364" s="217" t="s">
        <v>1579</v>
      </c>
      <c r="B364" s="17" t="s">
        <v>1578</v>
      </c>
      <c r="C364" s="21" t="s">
        <v>9</v>
      </c>
      <c r="D364" s="20">
        <v>124560</v>
      </c>
      <c r="H364" s="198">
        <v>45616</v>
      </c>
    </row>
    <row r="365" spans="1:8">
      <c r="A365" s="217" t="s">
        <v>1584</v>
      </c>
      <c r="B365" s="17" t="s">
        <v>1582</v>
      </c>
      <c r="C365" s="21" t="s">
        <v>9</v>
      </c>
      <c r="D365" s="20">
        <v>4720</v>
      </c>
      <c r="H365" s="198">
        <v>45616</v>
      </c>
    </row>
    <row r="366" spans="1:8">
      <c r="A366" s="217" t="s">
        <v>1585</v>
      </c>
      <c r="B366" s="17" t="s">
        <v>1583</v>
      </c>
      <c r="C366" s="21" t="s">
        <v>9</v>
      </c>
      <c r="D366" s="20">
        <v>2870</v>
      </c>
      <c r="H366" s="198">
        <v>45616</v>
      </c>
    </row>
    <row r="367" spans="1:8">
      <c r="A367" s="217" t="s">
        <v>1588</v>
      </c>
      <c r="B367" s="17" t="s">
        <v>1587</v>
      </c>
      <c r="C367" s="21" t="s">
        <v>9</v>
      </c>
      <c r="D367" s="20">
        <v>420300</v>
      </c>
      <c r="H367" s="198">
        <v>45616</v>
      </c>
    </row>
    <row r="368" spans="1:8">
      <c r="A368" s="217" t="s">
        <v>1590</v>
      </c>
      <c r="B368" s="17" t="s">
        <v>1591</v>
      </c>
      <c r="C368" s="21" t="s">
        <v>9</v>
      </c>
      <c r="D368" s="20">
        <v>411700</v>
      </c>
      <c r="H368" s="198">
        <v>45616</v>
      </c>
    </row>
    <row r="369" spans="1:8">
      <c r="A369" s="217" t="s">
        <v>1593</v>
      </c>
      <c r="B369" s="17" t="s">
        <v>1592</v>
      </c>
      <c r="C369" s="21" t="s">
        <v>9</v>
      </c>
      <c r="D369" s="20">
        <v>523670</v>
      </c>
      <c r="H369" s="198">
        <v>45616</v>
      </c>
    </row>
    <row r="370" spans="1:8">
      <c r="A370" s="217" t="s">
        <v>1601</v>
      </c>
      <c r="B370" s="17" t="s">
        <v>1600</v>
      </c>
      <c r="C370" s="21" t="s">
        <v>9</v>
      </c>
      <c r="D370" s="20">
        <v>124960400</v>
      </c>
      <c r="H370" s="198">
        <v>45617</v>
      </c>
    </row>
    <row r="371" spans="1:8">
      <c r="A371" s="217" t="s">
        <v>1603</v>
      </c>
      <c r="B371" s="17" t="s">
        <v>1602</v>
      </c>
      <c r="C371" s="21" t="s">
        <v>9</v>
      </c>
      <c r="D371" s="20">
        <v>16544789</v>
      </c>
    </row>
    <row r="372" spans="1:8">
      <c r="A372" s="217" t="s">
        <v>1614</v>
      </c>
      <c r="B372" s="17" t="s">
        <v>1606</v>
      </c>
      <c r="C372" s="21" t="s">
        <v>9</v>
      </c>
      <c r="D372" s="20">
        <v>7465899</v>
      </c>
    </row>
    <row r="373" spans="1:8">
      <c r="A373" s="217" t="s">
        <v>1615</v>
      </c>
      <c r="B373" s="17" t="s">
        <v>1607</v>
      </c>
      <c r="C373" s="21" t="s">
        <v>9</v>
      </c>
      <c r="D373" s="20">
        <v>86954</v>
      </c>
    </row>
    <row r="374" spans="1:8">
      <c r="A374" s="217" t="s">
        <v>1617</v>
      </c>
      <c r="B374" s="17" t="s">
        <v>1616</v>
      </c>
      <c r="C374" s="21" t="s">
        <v>9</v>
      </c>
      <c r="D374" s="20">
        <v>2564712</v>
      </c>
    </row>
    <row r="375" spans="1:8">
      <c r="A375" s="217" t="s">
        <v>1619</v>
      </c>
      <c r="B375" s="17" t="s">
        <v>1618</v>
      </c>
      <c r="C375" s="21" t="s">
        <v>9</v>
      </c>
      <c r="D375" s="20">
        <v>2469815</v>
      </c>
    </row>
    <row r="376" spans="1:8">
      <c r="A376" s="217" t="s">
        <v>1620</v>
      </c>
      <c r="B376" s="17" t="s">
        <v>1611</v>
      </c>
      <c r="C376" s="21" t="s">
        <v>9</v>
      </c>
      <c r="D376" s="20">
        <v>3275944</v>
      </c>
    </row>
    <row r="377" spans="1:8">
      <c r="A377" s="217" t="s">
        <v>1621</v>
      </c>
      <c r="B377" s="17" t="s">
        <v>1612</v>
      </c>
      <c r="C377" s="21" t="s">
        <v>7</v>
      </c>
      <c r="D377" s="20">
        <v>24635</v>
      </c>
    </row>
    <row r="378" spans="1:8">
      <c r="A378" s="217" t="s">
        <v>1626</v>
      </c>
      <c r="B378" s="17" t="s">
        <v>1625</v>
      </c>
      <c r="C378" s="21" t="s">
        <v>9</v>
      </c>
      <c r="D378" s="20">
        <v>255460</v>
      </c>
      <c r="H378" s="198">
        <v>45617</v>
      </c>
    </row>
    <row r="379" spans="1:8">
      <c r="A379" s="217" t="s">
        <v>1631</v>
      </c>
      <c r="B379" s="17" t="s">
        <v>1630</v>
      </c>
      <c r="C379" s="21" t="s">
        <v>9</v>
      </c>
      <c r="D379" s="20">
        <v>18400</v>
      </c>
      <c r="H379" s="198">
        <v>45617</v>
      </c>
    </row>
    <row r="380" spans="1:8">
      <c r="A380" s="217" t="s">
        <v>1636</v>
      </c>
      <c r="B380" s="17" t="s">
        <v>1635</v>
      </c>
      <c r="C380" s="21" t="s">
        <v>9</v>
      </c>
      <c r="D380" s="20">
        <v>167460</v>
      </c>
      <c r="H380" s="198">
        <v>45624</v>
      </c>
    </row>
    <row r="381" spans="1:8">
      <c r="A381" s="217" t="s">
        <v>1640</v>
      </c>
      <c r="B381" s="17" t="s">
        <v>1639</v>
      </c>
      <c r="C381" s="21" t="s">
        <v>9</v>
      </c>
      <c r="D381" s="20">
        <v>6938</v>
      </c>
      <c r="H381" s="198">
        <v>45619</v>
      </c>
    </row>
    <row r="382" spans="1:8">
      <c r="A382" s="217" t="s">
        <v>1642</v>
      </c>
      <c r="B382" s="17" t="s">
        <v>1641</v>
      </c>
      <c r="C382" s="21" t="s">
        <v>9</v>
      </c>
      <c r="D382" s="20">
        <v>6538</v>
      </c>
      <c r="H382" s="198">
        <v>45619</v>
      </c>
    </row>
    <row r="383" spans="1:8">
      <c r="A383" s="217" t="s">
        <v>1654</v>
      </c>
      <c r="B383" s="17" t="s">
        <v>1653</v>
      </c>
      <c r="C383" s="21" t="s">
        <v>9</v>
      </c>
      <c r="D383" s="20">
        <v>40215</v>
      </c>
      <c r="H383" s="198">
        <v>45619</v>
      </c>
    </row>
    <row r="384" spans="1:8">
      <c r="A384" s="217" t="s">
        <v>1661</v>
      </c>
      <c r="B384" s="17" t="s">
        <v>1660</v>
      </c>
      <c r="C384" s="21" t="s">
        <v>1658</v>
      </c>
      <c r="D384" s="20">
        <v>785740</v>
      </c>
      <c r="H384" s="198">
        <v>45640</v>
      </c>
    </row>
    <row r="385" spans="1:8">
      <c r="A385" s="217" t="s">
        <v>1667</v>
      </c>
      <c r="B385" s="17" t="s">
        <v>1666</v>
      </c>
      <c r="C385" s="21" t="s">
        <v>162</v>
      </c>
      <c r="D385" s="20">
        <v>260635700</v>
      </c>
    </row>
    <row r="386" spans="1:8">
      <c r="A386" s="217" t="s">
        <v>1679</v>
      </c>
      <c r="B386" s="17" t="s">
        <v>1678</v>
      </c>
      <c r="C386" s="21" t="s">
        <v>9</v>
      </c>
      <c r="D386" s="20">
        <f>22158800*1.2</f>
        <v>26590560</v>
      </c>
      <c r="H386" s="198">
        <v>45699</v>
      </c>
    </row>
    <row r="387" spans="1:8">
      <c r="A387" s="217" t="s">
        <v>1682</v>
      </c>
      <c r="B387" s="17" t="s">
        <v>1683</v>
      </c>
      <c r="C387" s="21" t="s">
        <v>9</v>
      </c>
      <c r="D387" s="20">
        <f>132680*1.2</f>
        <v>159216</v>
      </c>
      <c r="H387" s="198">
        <v>45699</v>
      </c>
    </row>
    <row r="388" spans="1:8">
      <c r="A388" s="217" t="s">
        <v>1685</v>
      </c>
      <c r="B388" s="17" t="s">
        <v>1684</v>
      </c>
      <c r="C388" s="21" t="s">
        <v>9</v>
      </c>
      <c r="D388" s="20">
        <f>7178*1.2</f>
        <v>8613.6</v>
      </c>
      <c r="H388" s="198">
        <v>45699</v>
      </c>
    </row>
    <row r="389" spans="1:8">
      <c r="A389" s="217" t="s">
        <v>1688</v>
      </c>
      <c r="B389" s="17" t="s">
        <v>1686</v>
      </c>
      <c r="C389" s="21" t="s">
        <v>162</v>
      </c>
      <c r="D389" s="20">
        <v>3666</v>
      </c>
      <c r="H389" s="198">
        <v>45699</v>
      </c>
    </row>
    <row r="390" spans="1:8">
      <c r="A390" s="217" t="s">
        <v>1689</v>
      </c>
      <c r="B390" s="17" t="s">
        <v>1687</v>
      </c>
      <c r="C390" s="21" t="s">
        <v>9</v>
      </c>
      <c r="D390" s="20">
        <f>1560*1.2</f>
        <v>1872</v>
      </c>
      <c r="H390" s="198">
        <v>45699</v>
      </c>
    </row>
    <row r="391" spans="1:8">
      <c r="A391" s="217" t="s">
        <v>1691</v>
      </c>
      <c r="B391" s="17" t="s">
        <v>1690</v>
      </c>
      <c r="C391" s="21" t="s">
        <v>9</v>
      </c>
      <c r="D391" s="20">
        <f>6035*1.2</f>
        <v>7242</v>
      </c>
      <c r="H391" s="198">
        <v>45699</v>
      </c>
    </row>
    <row r="392" spans="1:8">
      <c r="A392" s="217" t="s">
        <v>1693</v>
      </c>
      <c r="B392" s="17" t="s">
        <v>1692</v>
      </c>
      <c r="C392" s="21" t="s">
        <v>7</v>
      </c>
      <c r="D392" s="20">
        <f>5500*1.2</f>
        <v>6600</v>
      </c>
      <c r="H392" s="198">
        <v>45699</v>
      </c>
    </row>
    <row r="393" spans="1:8">
      <c r="A393" s="217" t="s">
        <v>1706</v>
      </c>
      <c r="B393" s="17" t="s">
        <v>1705</v>
      </c>
      <c r="C393" s="21" t="s">
        <v>9</v>
      </c>
      <c r="D393" s="20">
        <v>300</v>
      </c>
      <c r="H393" s="198">
        <v>45699</v>
      </c>
    </row>
    <row r="394" spans="1:8">
      <c r="A394" s="217" t="s">
        <v>1711</v>
      </c>
      <c r="B394" s="17" t="s">
        <v>1710</v>
      </c>
      <c r="C394" s="21" t="s">
        <v>9</v>
      </c>
      <c r="D394" s="20">
        <f>632700*1.2</f>
        <v>759240</v>
      </c>
      <c r="H394" s="198">
        <v>45699</v>
      </c>
    </row>
    <row r="395" spans="1:8">
      <c r="A395" s="217" t="s">
        <v>1717</v>
      </c>
      <c r="B395" s="17" t="s">
        <v>1716</v>
      </c>
      <c r="C395" s="21" t="s">
        <v>9</v>
      </c>
      <c r="D395" s="20">
        <f>99000*1.2</f>
        <v>118800</v>
      </c>
      <c r="H395" s="198">
        <v>45699</v>
      </c>
    </row>
    <row r="396" spans="1:8">
      <c r="A396" s="217" t="s">
        <v>1720</v>
      </c>
      <c r="B396" s="17" t="s">
        <v>1719</v>
      </c>
      <c r="C396" s="21" t="s">
        <v>9</v>
      </c>
      <c r="D396" s="20">
        <f>19870*1.2</f>
        <v>23844</v>
      </c>
      <c r="H396" s="198">
        <v>45699</v>
      </c>
    </row>
    <row r="397" spans="1:8">
      <c r="A397" s="217" t="s">
        <v>1723</v>
      </c>
      <c r="B397" s="17" t="s">
        <v>1722</v>
      </c>
      <c r="C397" s="21" t="s">
        <v>9</v>
      </c>
      <c r="D397" s="20">
        <v>112300</v>
      </c>
      <c r="H397" s="198">
        <v>45699</v>
      </c>
    </row>
    <row r="398" spans="1:8">
      <c r="A398" s="217" t="s">
        <v>1727</v>
      </c>
      <c r="B398" s="17" t="s">
        <v>1726</v>
      </c>
      <c r="C398" s="21" t="s">
        <v>9</v>
      </c>
      <c r="D398" s="20">
        <v>207560</v>
      </c>
      <c r="H398" s="198">
        <v>45699</v>
      </c>
    </row>
    <row r="399" spans="1:8">
      <c r="A399" s="217" t="s">
        <v>1730</v>
      </c>
      <c r="B399" s="17" t="s">
        <v>1729</v>
      </c>
      <c r="C399" s="21" t="s">
        <v>9</v>
      </c>
      <c r="D399" s="20">
        <v>247630</v>
      </c>
      <c r="H399" s="198">
        <v>45699</v>
      </c>
    </row>
    <row r="400" spans="1:8">
      <c r="A400" s="217" t="s">
        <v>1748</v>
      </c>
      <c r="B400" s="17" t="s">
        <v>1743</v>
      </c>
      <c r="C400" s="21" t="s">
        <v>9</v>
      </c>
      <c r="D400" s="20">
        <f>6750*1.2</f>
        <v>8100</v>
      </c>
      <c r="H400" s="198">
        <v>45699</v>
      </c>
    </row>
    <row r="401" spans="1:8">
      <c r="A401" s="217" t="s">
        <v>1750</v>
      </c>
      <c r="B401" s="17" t="s">
        <v>1749</v>
      </c>
      <c r="C401" s="21" t="s">
        <v>9</v>
      </c>
      <c r="D401" s="20">
        <f>14600*1.2</f>
        <v>17520</v>
      </c>
      <c r="H401" s="198">
        <v>45699</v>
      </c>
    </row>
    <row r="402" spans="1:8">
      <c r="A402" s="217" t="s">
        <v>1755</v>
      </c>
      <c r="B402" s="17" t="s">
        <v>1753</v>
      </c>
      <c r="C402" s="21" t="s">
        <v>9</v>
      </c>
      <c r="D402" s="20">
        <v>78360</v>
      </c>
      <c r="H402" s="198">
        <v>45699</v>
      </c>
    </row>
    <row r="403" spans="1:8">
      <c r="A403" s="217" t="s">
        <v>1756</v>
      </c>
      <c r="B403" s="17" t="s">
        <v>1754</v>
      </c>
      <c r="C403" s="21" t="s">
        <v>9</v>
      </c>
      <c r="D403" s="20">
        <v>82936</v>
      </c>
      <c r="H403" s="198">
        <v>45699</v>
      </c>
    </row>
    <row r="404" spans="1:8">
      <c r="A404" s="217" t="s">
        <v>1760</v>
      </c>
      <c r="B404" s="17" t="s">
        <v>1759</v>
      </c>
      <c r="C404" s="21" t="s">
        <v>9</v>
      </c>
      <c r="D404" s="20">
        <f>63300*1.2</f>
        <v>75960</v>
      </c>
      <c r="H404" s="198">
        <v>45699</v>
      </c>
    </row>
    <row r="405" spans="1:8">
      <c r="A405" s="217" t="s">
        <v>1764</v>
      </c>
      <c r="B405" s="17" t="s">
        <v>1763</v>
      </c>
      <c r="C405" s="21" t="s">
        <v>9</v>
      </c>
      <c r="D405" s="20">
        <f>28700*1.2</f>
        <v>34440</v>
      </c>
      <c r="H405" s="198">
        <v>45699</v>
      </c>
    </row>
    <row r="406" spans="1:8">
      <c r="A406" s="217" t="s">
        <v>1768</v>
      </c>
      <c r="B406" s="17" t="s">
        <v>1767</v>
      </c>
      <c r="C406" s="21" t="s">
        <v>9</v>
      </c>
      <c r="D406" s="20">
        <f>487000*1.2</f>
        <v>584400</v>
      </c>
      <c r="H406" s="198">
        <v>45700</v>
      </c>
    </row>
    <row r="407" spans="1:8">
      <c r="A407" s="217" t="s">
        <v>1771</v>
      </c>
      <c r="B407" s="17" t="s">
        <v>1770</v>
      </c>
      <c r="C407" s="21" t="s">
        <v>9</v>
      </c>
      <c r="D407" s="20">
        <v>309900</v>
      </c>
      <c r="H407" s="198">
        <v>45700</v>
      </c>
    </row>
    <row r="408" spans="1:8">
      <c r="A408" s="217" t="s">
        <v>1780</v>
      </c>
      <c r="B408" s="17" t="s">
        <v>1779</v>
      </c>
      <c r="C408" s="21" t="s">
        <v>9</v>
      </c>
      <c r="D408" s="20">
        <v>89200</v>
      </c>
      <c r="H408" s="198">
        <v>45700</v>
      </c>
    </row>
    <row r="409" spans="1:8">
      <c r="A409" s="217" t="s">
        <v>1795</v>
      </c>
      <c r="B409" s="17" t="s">
        <v>1794</v>
      </c>
      <c r="C409" s="21" t="s">
        <v>9</v>
      </c>
      <c r="D409" s="20">
        <f>1835200*1.2</f>
        <v>2202240</v>
      </c>
      <c r="H409" s="198">
        <v>45700</v>
      </c>
    </row>
    <row r="410" spans="1:8">
      <c r="A410" s="217" t="s">
        <v>1799</v>
      </c>
      <c r="B410" s="17" t="s">
        <v>1798</v>
      </c>
      <c r="C410" s="21" t="s">
        <v>9</v>
      </c>
      <c r="D410" s="20">
        <f>223000*1.2</f>
        <v>267600</v>
      </c>
      <c r="H410" s="198">
        <v>45700</v>
      </c>
    </row>
    <row r="411" spans="1:8">
      <c r="A411" s="217" t="s">
        <v>1801</v>
      </c>
      <c r="B411" s="17" t="s">
        <v>1800</v>
      </c>
      <c r="C411" s="21" t="s">
        <v>9</v>
      </c>
      <c r="D411" s="20">
        <f>223000</f>
        <v>223000</v>
      </c>
      <c r="H411" s="198">
        <v>45700</v>
      </c>
    </row>
    <row r="412" spans="1:8">
      <c r="A412" s="217" t="s">
        <v>1806</v>
      </c>
      <c r="B412" s="17" t="s">
        <v>1805</v>
      </c>
      <c r="C412" s="21" t="s">
        <v>9</v>
      </c>
      <c r="D412" s="20">
        <v>287900</v>
      </c>
      <c r="H412" s="198">
        <v>45700</v>
      </c>
    </row>
    <row r="413" spans="1:8">
      <c r="A413" s="217" t="s">
        <v>1810</v>
      </c>
      <c r="B413" s="17" t="s">
        <v>1809</v>
      </c>
      <c r="C413" s="21" t="s">
        <v>9</v>
      </c>
      <c r="D413" s="20">
        <v>263800</v>
      </c>
      <c r="H413" s="198">
        <v>45700</v>
      </c>
    </row>
    <row r="414" spans="1:8">
      <c r="A414" s="217" t="s">
        <v>1815</v>
      </c>
      <c r="B414" s="17" t="s">
        <v>1814</v>
      </c>
      <c r="C414" s="21" t="s">
        <v>9</v>
      </c>
      <c r="D414" s="20">
        <f>216200*1.2</f>
        <v>259440</v>
      </c>
      <c r="H414" s="198">
        <v>45700</v>
      </c>
    </row>
    <row r="415" spans="1:8">
      <c r="A415" s="217" t="s">
        <v>1823</v>
      </c>
      <c r="B415" s="17" t="s">
        <v>1822</v>
      </c>
      <c r="C415" s="21" t="s">
        <v>9</v>
      </c>
      <c r="D415" s="20">
        <v>20900</v>
      </c>
      <c r="H415" s="198">
        <v>45700</v>
      </c>
    </row>
    <row r="416" spans="1:8">
      <c r="A416" s="217" t="s">
        <v>1827</v>
      </c>
      <c r="B416" s="17" t="s">
        <v>1826</v>
      </c>
      <c r="C416" s="21" t="s">
        <v>9</v>
      </c>
      <c r="D416" s="20">
        <v>14300</v>
      </c>
      <c r="H416" s="198">
        <v>45700</v>
      </c>
    </row>
    <row r="417" spans="1:10">
      <c r="A417" s="217" t="s">
        <v>1831</v>
      </c>
      <c r="B417" s="17" t="s">
        <v>1830</v>
      </c>
      <c r="C417" s="21" t="s">
        <v>9</v>
      </c>
      <c r="D417" s="20">
        <f>14200*1.2</f>
        <v>17040</v>
      </c>
      <c r="H417" s="198">
        <v>45700</v>
      </c>
    </row>
    <row r="418" spans="1:10">
      <c r="A418" s="217" t="s">
        <v>1841</v>
      </c>
      <c r="B418" s="17" t="s">
        <v>1840</v>
      </c>
      <c r="C418" s="21" t="s">
        <v>9</v>
      </c>
      <c r="D418" s="20">
        <v>15970</v>
      </c>
      <c r="H418" s="198">
        <v>45700</v>
      </c>
    </row>
    <row r="419" spans="1:10">
      <c r="J419">
        <f ca="1">RANDBETWEEN(300000000,999999999)</f>
        <v>963634144</v>
      </c>
    </row>
    <row r="421" spans="1:10">
      <c r="J421" t="str">
        <f ca="1">DEC2HEX(J419)</f>
        <v>396FE3E0</v>
      </c>
    </row>
    <row r="424" spans="1:10">
      <c r="J424">
        <v>2</v>
      </c>
    </row>
  </sheetData>
  <sortState xmlns:xlrd2="http://schemas.microsoft.com/office/spreadsheetml/2017/richdata2" ref="B3:D196">
    <sortCondition ref="B3:B196"/>
  </sortState>
  <phoneticPr fontId="12" type="noConversion"/>
  <conditionalFormatting sqref="A1:A1048576">
    <cfRule type="duplicateValues" dxfId="6" priority="2"/>
  </conditionalFormatting>
  <conditionalFormatting sqref="B276:B325 B1:B274 B328:B1048576">
    <cfRule type="duplicateValues" dxfId="5" priority="8"/>
  </conditionalFormatting>
  <conditionalFormatting sqref="L2">
    <cfRule type="duplicateValues" dxfId="4" priority="7"/>
  </conditionalFormatting>
  <conditionalFormatting sqref="L3:L4">
    <cfRule type="duplicateValues" dxfId="3" priority="3"/>
  </conditionalFormatting>
  <conditionalFormatting sqref="L10">
    <cfRule type="duplicateValues" dxfId="2" priority="4"/>
  </conditionalFormatting>
  <conditionalFormatting sqref="M1:M1048576">
    <cfRule type="containsText" dxfId="1" priority="5" operator="containsText" text="Encontro">
      <formula>NOT(ISERROR(SEARCH("Encontro",M1)))</formula>
    </cfRule>
  </conditionalFormatting>
  <conditionalFormatting sqref="N3:N20">
    <cfRule type="cellIs" dxfId="0" priority="6" operator="greaterThan">
      <formula>45</formula>
    </cfRule>
  </conditionalFormatting>
  <pageMargins left="0.7" right="0.7" top="0.75" bottom="0.75" header="0.3" footer="0.3"/>
  <ignoredErrors>
    <ignoredError sqref="D289:D29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1607-7127-47A0-BACF-704B848CE97C}">
  <dimension ref="A2:R22"/>
  <sheetViews>
    <sheetView workbookViewId="0">
      <selection activeCell="D12" sqref="D12"/>
    </sheetView>
  </sheetViews>
  <sheetFormatPr baseColWidth="10" defaultRowHeight="15"/>
  <cols>
    <col min="16" max="18" width="14.28515625" style="233" bestFit="1" customWidth="1"/>
  </cols>
  <sheetData>
    <row r="2" spans="1:18">
      <c r="C2" t="s">
        <v>1298</v>
      </c>
    </row>
    <row r="3" spans="1:18">
      <c r="B3" s="236" t="s">
        <v>1503</v>
      </c>
      <c r="C3" s="236">
        <v>300</v>
      </c>
      <c r="F3">
        <v>2500</v>
      </c>
      <c r="G3">
        <v>300</v>
      </c>
      <c r="K3" t="s">
        <v>1504</v>
      </c>
    </row>
    <row r="4" spans="1:18">
      <c r="B4" s="230">
        <v>500</v>
      </c>
      <c r="C4" s="230">
        <v>90</v>
      </c>
      <c r="D4">
        <v>0.75</v>
      </c>
      <c r="E4">
        <f>+C4*D4</f>
        <v>67.5</v>
      </c>
      <c r="F4">
        <v>500</v>
      </c>
      <c r="G4">
        <v>90</v>
      </c>
      <c r="M4">
        <f>8900*3</f>
        <v>26700</v>
      </c>
    </row>
    <row r="5" spans="1:18">
      <c r="B5">
        <v>350</v>
      </c>
      <c r="C5">
        <f xml:space="preserve"> ((-0.00003)*(B5^2)+(0.1888*B5)+3.5155)</f>
        <v>65.920500000000004</v>
      </c>
      <c r="D5">
        <v>1</v>
      </c>
      <c r="E5">
        <f>+C5*D5</f>
        <v>65.920500000000004</v>
      </c>
      <c r="F5">
        <v>100</v>
      </c>
      <c r="G5">
        <v>27</v>
      </c>
      <c r="M5">
        <v>5600</v>
      </c>
    </row>
    <row r="6" spans="1:18">
      <c r="B6">
        <v>250</v>
      </c>
      <c r="C6">
        <f xml:space="preserve"> ((-0.00003)*(B6^2)+(0.1888*B6)+3.5155)</f>
        <v>48.840499999999999</v>
      </c>
      <c r="D6" s="231">
        <v>1.75</v>
      </c>
      <c r="E6">
        <f>+C6*D6</f>
        <v>85.470874999999992</v>
      </c>
      <c r="F6">
        <v>50</v>
      </c>
      <c r="G6">
        <v>13</v>
      </c>
      <c r="M6">
        <v>2900</v>
      </c>
    </row>
    <row r="7" spans="1:18">
      <c r="A7" t="s">
        <v>1297</v>
      </c>
      <c r="B7">
        <v>200</v>
      </c>
      <c r="C7">
        <f xml:space="preserve"> ((-0.00003)*(B7^2)+(0.1888*B7)+3.5155)</f>
        <v>40.075499999999998</v>
      </c>
      <c r="D7">
        <v>1</v>
      </c>
      <c r="E7">
        <f>+C7*D7</f>
        <v>40.075499999999998</v>
      </c>
      <c r="F7">
        <v>30</v>
      </c>
      <c r="G7">
        <v>5</v>
      </c>
      <c r="M7">
        <v>24850</v>
      </c>
    </row>
    <row r="8" spans="1:18">
      <c r="A8" t="s">
        <v>1296</v>
      </c>
      <c r="B8" s="230">
        <v>100</v>
      </c>
      <c r="C8" s="230">
        <v>27</v>
      </c>
      <c r="D8">
        <v>0.75</v>
      </c>
      <c r="E8">
        <f t="shared" ref="E8:E13" si="0">+C8*D8</f>
        <v>20.25</v>
      </c>
    </row>
    <row r="9" spans="1:18">
      <c r="A9">
        <v>2</v>
      </c>
      <c r="B9">
        <v>80</v>
      </c>
      <c r="C9">
        <f xml:space="preserve"> ((-0.00003)*(B9^2)+(0.1888*B9)+3.5155)</f>
        <v>18.427499999999998</v>
      </c>
      <c r="D9">
        <v>0.25</v>
      </c>
      <c r="E9">
        <f t="shared" si="0"/>
        <v>4.6068749999999996</v>
      </c>
    </row>
    <row r="10" spans="1:18">
      <c r="A10">
        <v>4</v>
      </c>
      <c r="B10">
        <v>60</v>
      </c>
      <c r="C10">
        <f xml:space="preserve"> ((-0.00003)*(B10^2)+(0.1888*B10)+3.5155)</f>
        <v>14.735499999999998</v>
      </c>
      <c r="D10">
        <v>0.75</v>
      </c>
      <c r="E10">
        <f t="shared" si="0"/>
        <v>11.051624999999998</v>
      </c>
    </row>
    <row r="11" spans="1:18">
      <c r="A11">
        <v>6</v>
      </c>
      <c r="B11">
        <v>50</v>
      </c>
      <c r="C11">
        <v>13</v>
      </c>
      <c r="D11">
        <v>1</v>
      </c>
      <c r="E11">
        <f t="shared" si="0"/>
        <v>13</v>
      </c>
      <c r="P11" s="233">
        <v>487000</v>
      </c>
      <c r="Q11" s="233">
        <f>+P11*1.19</f>
        <v>579530</v>
      </c>
      <c r="R11" s="233">
        <f>+Q11*1.1</f>
        <v>637483</v>
      </c>
    </row>
    <row r="12" spans="1:18">
      <c r="A12">
        <v>8</v>
      </c>
      <c r="B12">
        <v>40</v>
      </c>
      <c r="C12">
        <f xml:space="preserve"> ((-0.00003)*(B12^2)+(0.1888*B12)+3.5155)</f>
        <v>11.019499999999999</v>
      </c>
      <c r="D12">
        <v>0.75</v>
      </c>
      <c r="E12">
        <f t="shared" si="0"/>
        <v>8.2646249999999988</v>
      </c>
    </row>
    <row r="13" spans="1:18">
      <c r="A13">
        <v>10</v>
      </c>
      <c r="B13" s="230">
        <v>30</v>
      </c>
      <c r="C13" s="230">
        <v>5</v>
      </c>
      <c r="D13">
        <v>0.75</v>
      </c>
      <c r="E13">
        <f t="shared" si="0"/>
        <v>3.75</v>
      </c>
    </row>
    <row r="22" spans="3:3">
      <c r="C22">
        <f>49400*1.19</f>
        <v>58786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3A5E-F5F9-4057-B850-DC01D8D05F8C}">
  <dimension ref="A2:S27"/>
  <sheetViews>
    <sheetView workbookViewId="0">
      <selection activeCell="H22" sqref="H22"/>
    </sheetView>
  </sheetViews>
  <sheetFormatPr baseColWidth="10" defaultRowHeight="15"/>
  <cols>
    <col min="2" max="2" width="18.7109375" bestFit="1" customWidth="1"/>
    <col min="3" max="3" width="15.28515625" bestFit="1" customWidth="1"/>
    <col min="4" max="6" width="14.28515625" bestFit="1" customWidth="1"/>
    <col min="8" max="8" width="15.28515625" bestFit="1" customWidth="1"/>
    <col min="9" max="9" width="11.5703125" style="232"/>
    <col min="12" max="12" width="15.28515625" bestFit="1" customWidth="1"/>
    <col min="13" max="15" width="14.28515625" bestFit="1" customWidth="1"/>
    <col min="16" max="17" width="15.28515625" bestFit="1" customWidth="1"/>
    <col min="18" max="18" width="14.28515625" bestFit="1" customWidth="1"/>
    <col min="19" max="19" width="15.28515625" bestFit="1" customWidth="1"/>
  </cols>
  <sheetData>
    <row r="2" spans="1:19">
      <c r="H2" t="s">
        <v>1317</v>
      </c>
      <c r="I2" s="232" t="s">
        <v>494</v>
      </c>
      <c r="K2" t="s">
        <v>1318</v>
      </c>
    </row>
    <row r="3" spans="1:19">
      <c r="A3" t="s">
        <v>1343</v>
      </c>
      <c r="B3" t="s">
        <v>1311</v>
      </c>
      <c r="C3" t="s">
        <v>1312</v>
      </c>
      <c r="D3" t="s">
        <v>1313</v>
      </c>
      <c r="E3" t="s">
        <v>1314</v>
      </c>
      <c r="F3" t="s">
        <v>1315</v>
      </c>
      <c r="G3" t="s">
        <v>1316</v>
      </c>
      <c r="K3" t="s">
        <v>1311</v>
      </c>
      <c r="L3" t="s">
        <v>1319</v>
      </c>
      <c r="M3" t="s">
        <v>1320</v>
      </c>
      <c r="N3" t="s">
        <v>1314</v>
      </c>
      <c r="O3" t="s">
        <v>1316</v>
      </c>
      <c r="P3" t="s">
        <v>1321</v>
      </c>
      <c r="Q3" t="s">
        <v>1322</v>
      </c>
      <c r="R3" t="s">
        <v>1323</v>
      </c>
      <c r="S3" t="s">
        <v>1324</v>
      </c>
    </row>
    <row r="4" spans="1:19">
      <c r="C4">
        <v>12000000</v>
      </c>
      <c r="D4">
        <v>4800000</v>
      </c>
      <c r="E4">
        <v>1300000</v>
      </c>
      <c r="F4">
        <v>1100000</v>
      </c>
      <c r="G4">
        <v>2000000</v>
      </c>
      <c r="H4">
        <v>2510000</v>
      </c>
      <c r="I4" s="232">
        <v>1.2</v>
      </c>
      <c r="L4" s="233">
        <v>13000000</v>
      </c>
      <c r="M4" s="233">
        <v>5500000</v>
      </c>
      <c r="N4" s="233">
        <v>1300000</v>
      </c>
      <c r="O4" s="233">
        <v>2500000</v>
      </c>
      <c r="P4" s="233">
        <f>SUM(L4:O4)</f>
        <v>22300000</v>
      </c>
      <c r="Q4" s="233">
        <f>+P4*1.2</f>
        <v>26760000</v>
      </c>
      <c r="R4" s="233">
        <f>+Q4*0.12</f>
        <v>3211200</v>
      </c>
      <c r="S4" s="233">
        <f>+Q4+R4</f>
        <v>29971200</v>
      </c>
    </row>
    <row r="6" spans="1:19">
      <c r="K6" t="s">
        <v>1318</v>
      </c>
    </row>
    <row r="7" spans="1:19">
      <c r="K7" t="s">
        <v>1311</v>
      </c>
      <c r="L7" t="s">
        <v>1319</v>
      </c>
      <c r="M7" t="s">
        <v>1320</v>
      </c>
      <c r="N7" t="s">
        <v>1314</v>
      </c>
      <c r="O7" t="s">
        <v>1316</v>
      </c>
      <c r="P7" t="s">
        <v>1321</v>
      </c>
      <c r="Q7" t="s">
        <v>1322</v>
      </c>
      <c r="R7" t="s">
        <v>1323</v>
      </c>
      <c r="S7" t="s">
        <v>1324</v>
      </c>
    </row>
    <row r="8" spans="1:19">
      <c r="L8" s="233">
        <v>13000000</v>
      </c>
      <c r="M8" s="233">
        <v>5500000</v>
      </c>
      <c r="N8" s="233">
        <v>1600000</v>
      </c>
      <c r="O8" s="233">
        <v>2500000</v>
      </c>
      <c r="P8" s="233">
        <f>SUM(L8:O8)</f>
        <v>22600000</v>
      </c>
      <c r="Q8" s="233">
        <f>+P8*1.2</f>
        <v>27120000</v>
      </c>
      <c r="R8" s="233">
        <f>+Q8*0.12</f>
        <v>3254400</v>
      </c>
      <c r="S8" s="233">
        <f>+Q8+R8</f>
        <v>30374400</v>
      </c>
    </row>
    <row r="13" spans="1:19">
      <c r="B13" t="s">
        <v>1325</v>
      </c>
      <c r="C13" t="s">
        <v>1326</v>
      </c>
      <c r="D13" t="s">
        <v>1327</v>
      </c>
      <c r="E13" t="s">
        <v>1328</v>
      </c>
      <c r="F13" t="s">
        <v>1329</v>
      </c>
      <c r="H13" t="s">
        <v>1330</v>
      </c>
    </row>
    <row r="14" spans="1:19">
      <c r="A14" t="s">
        <v>1343</v>
      </c>
      <c r="B14" t="s">
        <v>1311</v>
      </c>
      <c r="C14" s="233">
        <v>19171479</v>
      </c>
      <c r="D14" s="233">
        <v>1917147.9000000001</v>
      </c>
      <c r="E14" s="233">
        <v>4006839.1109999996</v>
      </c>
      <c r="F14" s="233">
        <v>2450700</v>
      </c>
      <c r="G14" s="233"/>
      <c r="H14" s="233">
        <v>27546166.011</v>
      </c>
    </row>
    <row r="15" spans="1:19">
      <c r="B15" t="s">
        <v>1331</v>
      </c>
      <c r="C15" s="233">
        <v>5960842</v>
      </c>
      <c r="D15" s="233">
        <v>596084.20000000007</v>
      </c>
      <c r="E15" s="233">
        <v>1245815.9780000001</v>
      </c>
      <c r="F15" s="233">
        <v>1650000</v>
      </c>
      <c r="G15" s="233"/>
      <c r="H15" s="233">
        <v>9452742.1779999994</v>
      </c>
    </row>
    <row r="16" spans="1:19">
      <c r="B16" t="s">
        <v>1332</v>
      </c>
      <c r="C16" s="233">
        <v>4150779</v>
      </c>
      <c r="D16" s="233">
        <v>415077.9</v>
      </c>
      <c r="E16" s="233">
        <v>867512.8110000001</v>
      </c>
      <c r="F16" s="233">
        <v>1450000</v>
      </c>
      <c r="G16" s="233"/>
      <c r="H16" s="233">
        <v>6883369.7110000001</v>
      </c>
    </row>
    <row r="17" spans="2:8">
      <c r="B17" t="s">
        <v>1333</v>
      </c>
      <c r="C17" s="233">
        <v>17715928</v>
      </c>
      <c r="D17" s="233">
        <v>1771592.8</v>
      </c>
      <c r="E17" s="233">
        <v>3702628.952</v>
      </c>
      <c r="F17" s="233">
        <v>2450700</v>
      </c>
      <c r="G17" s="233"/>
      <c r="H17" s="233">
        <v>25640849.752</v>
      </c>
    </row>
    <row r="18" spans="2:8">
      <c r="B18" t="s">
        <v>1334</v>
      </c>
      <c r="C18" s="233">
        <v>12446913</v>
      </c>
      <c r="D18" s="233">
        <v>1244691.3</v>
      </c>
      <c r="E18" s="233">
        <v>2601404.8170000003</v>
      </c>
      <c r="F18" s="233">
        <v>2450700</v>
      </c>
      <c r="G18" s="233"/>
      <c r="H18" s="233">
        <v>18743709.116999999</v>
      </c>
    </row>
    <row r="19" spans="2:8">
      <c r="B19" t="s">
        <v>1335</v>
      </c>
      <c r="C19" s="233">
        <v>2563920</v>
      </c>
      <c r="D19" s="233">
        <v>256392</v>
      </c>
      <c r="E19" s="233">
        <v>535859.28</v>
      </c>
      <c r="F19" s="233">
        <v>1100000</v>
      </c>
      <c r="G19" s="233"/>
      <c r="H19" s="233">
        <v>4456171.28</v>
      </c>
    </row>
    <row r="20" spans="2:8">
      <c r="B20" t="s">
        <v>1336</v>
      </c>
      <c r="C20" s="233">
        <v>10892507</v>
      </c>
      <c r="D20" s="233">
        <v>1089250.7</v>
      </c>
      <c r="E20" s="233">
        <v>2276533.963</v>
      </c>
      <c r="F20" s="233">
        <v>2450000</v>
      </c>
      <c r="G20" s="233"/>
      <c r="H20" s="233">
        <v>16708291.662999999</v>
      </c>
    </row>
    <row r="21" spans="2:8">
      <c r="B21" t="s">
        <v>1337</v>
      </c>
      <c r="C21" s="233">
        <v>2566920</v>
      </c>
      <c r="D21" s="233">
        <v>256692</v>
      </c>
      <c r="E21" s="233">
        <v>536486.28</v>
      </c>
      <c r="F21" s="233">
        <v>1100000</v>
      </c>
      <c r="G21" s="233"/>
      <c r="H21" s="233">
        <v>4460098.28</v>
      </c>
    </row>
    <row r="22" spans="2:8">
      <c r="B22" t="s">
        <v>1338</v>
      </c>
      <c r="C22" s="233">
        <v>4191611</v>
      </c>
      <c r="D22" s="233">
        <v>419161.10000000003</v>
      </c>
      <c r="E22" s="233">
        <v>876046.69899999991</v>
      </c>
      <c r="F22" s="233">
        <v>1100000</v>
      </c>
      <c r="G22" s="233"/>
      <c r="H22" s="233">
        <v>6586818.7989999996</v>
      </c>
    </row>
    <row r="23" spans="2:8">
      <c r="B23" t="s">
        <v>1339</v>
      </c>
      <c r="C23" s="233">
        <v>485119</v>
      </c>
      <c r="D23" s="233">
        <v>48511.9</v>
      </c>
      <c r="E23" s="233">
        <v>101389.871</v>
      </c>
      <c r="F23" s="233">
        <v>350000</v>
      </c>
      <c r="G23" s="233"/>
      <c r="H23" s="233">
        <v>985020.77100000007</v>
      </c>
    </row>
    <row r="24" spans="2:8">
      <c r="B24" t="s">
        <v>1340</v>
      </c>
      <c r="C24" s="233">
        <v>620119</v>
      </c>
      <c r="D24" s="233">
        <v>62011.9</v>
      </c>
      <c r="E24" s="233">
        <v>129604.871</v>
      </c>
      <c r="F24" s="233">
        <v>320000</v>
      </c>
      <c r="G24" s="233"/>
      <c r="H24" s="233">
        <v>1131735.7710000002</v>
      </c>
    </row>
    <row r="25" spans="2:8">
      <c r="B25" t="s">
        <v>1341</v>
      </c>
      <c r="C25" s="233">
        <v>36168018</v>
      </c>
      <c r="D25" s="233">
        <v>3616801.8000000003</v>
      </c>
      <c r="E25" s="233">
        <v>7559115.7619999992</v>
      </c>
      <c r="F25" s="233">
        <v>3450000</v>
      </c>
      <c r="G25" s="233"/>
      <c r="H25" s="233">
        <v>50793935.561999999</v>
      </c>
    </row>
    <row r="26" spans="2:8">
      <c r="B26" t="s">
        <v>1342</v>
      </c>
      <c r="C26" s="233">
        <v>5850000</v>
      </c>
      <c r="D26" s="233">
        <v>585000</v>
      </c>
      <c r="E26" s="233">
        <v>1222650</v>
      </c>
      <c r="F26" s="233">
        <v>1250000</v>
      </c>
      <c r="G26" s="233"/>
      <c r="H26" s="233">
        <v>8907650</v>
      </c>
    </row>
    <row r="27" spans="2:8">
      <c r="C27" s="233"/>
      <c r="D27" s="233"/>
      <c r="E27" s="233"/>
      <c r="F27" s="233"/>
      <c r="G27" s="233"/>
      <c r="H27" s="2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2912-FE51-4482-BBE9-13220E425362}">
  <dimension ref="A4:AC86"/>
  <sheetViews>
    <sheetView topLeftCell="A5" workbookViewId="0">
      <selection activeCell="E8" sqref="E8"/>
    </sheetView>
  </sheetViews>
  <sheetFormatPr baseColWidth="10" defaultColWidth="11.42578125" defaultRowHeight="12.75"/>
  <cols>
    <col min="1" max="1" width="7.85546875" style="102" customWidth="1"/>
    <col min="2" max="2" width="42.42578125" style="102" customWidth="1"/>
    <col min="3" max="3" width="16.42578125" style="48" customWidth="1"/>
    <col min="4" max="4" width="15.42578125" style="102" customWidth="1"/>
    <col min="5" max="5" width="16.85546875" style="102" customWidth="1"/>
    <col min="6" max="6" width="18" style="102" customWidth="1"/>
    <col min="7" max="7" width="18.140625" style="102" customWidth="1"/>
    <col min="8" max="8" width="16.28515625" style="102" customWidth="1"/>
    <col min="9" max="9" width="14.85546875" style="102" customWidth="1"/>
    <col min="10" max="10" width="17.7109375" style="102" customWidth="1"/>
    <col min="11" max="11" width="14.85546875" style="102" customWidth="1"/>
    <col min="12" max="12" width="17.28515625" style="102" customWidth="1"/>
    <col min="13" max="13" width="11.85546875" style="102" customWidth="1"/>
    <col min="14" max="14" width="15.85546875" style="102" customWidth="1"/>
    <col min="15" max="15" width="12" style="102" bestFit="1" customWidth="1"/>
    <col min="16" max="256" width="11.42578125" style="102"/>
    <col min="257" max="257" width="7.85546875" style="102" customWidth="1"/>
    <col min="258" max="258" width="42.42578125" style="102" customWidth="1"/>
    <col min="259" max="259" width="16.42578125" style="102" customWidth="1"/>
    <col min="260" max="260" width="15.42578125" style="102" customWidth="1"/>
    <col min="261" max="261" width="16.85546875" style="102" customWidth="1"/>
    <col min="262" max="262" width="18" style="102" customWidth="1"/>
    <col min="263" max="263" width="18.140625" style="102" customWidth="1"/>
    <col min="264" max="264" width="16.28515625" style="102" customWidth="1"/>
    <col min="265" max="265" width="14.85546875" style="102" customWidth="1"/>
    <col min="266" max="266" width="17.7109375" style="102" customWidth="1"/>
    <col min="267" max="267" width="14.85546875" style="102" customWidth="1"/>
    <col min="268" max="268" width="17.28515625" style="102" customWidth="1"/>
    <col min="269" max="269" width="11.85546875" style="102" customWidth="1"/>
    <col min="270" max="270" width="15.85546875" style="102" customWidth="1"/>
    <col min="271" max="512" width="11.42578125" style="102"/>
    <col min="513" max="513" width="7.85546875" style="102" customWidth="1"/>
    <col min="514" max="514" width="42.42578125" style="102" customWidth="1"/>
    <col min="515" max="515" width="16.42578125" style="102" customWidth="1"/>
    <col min="516" max="516" width="15.42578125" style="102" customWidth="1"/>
    <col min="517" max="517" width="16.85546875" style="102" customWidth="1"/>
    <col min="518" max="518" width="18" style="102" customWidth="1"/>
    <col min="519" max="519" width="18.140625" style="102" customWidth="1"/>
    <col min="520" max="520" width="16.28515625" style="102" customWidth="1"/>
    <col min="521" max="521" width="14.85546875" style="102" customWidth="1"/>
    <col min="522" max="522" width="17.7109375" style="102" customWidth="1"/>
    <col min="523" max="523" width="14.85546875" style="102" customWidth="1"/>
    <col min="524" max="524" width="17.28515625" style="102" customWidth="1"/>
    <col min="525" max="525" width="11.85546875" style="102" customWidth="1"/>
    <col min="526" max="526" width="15.85546875" style="102" customWidth="1"/>
    <col min="527" max="768" width="11.42578125" style="102"/>
    <col min="769" max="769" width="7.85546875" style="102" customWidth="1"/>
    <col min="770" max="770" width="42.42578125" style="102" customWidth="1"/>
    <col min="771" max="771" width="16.42578125" style="102" customWidth="1"/>
    <col min="772" max="772" width="15.42578125" style="102" customWidth="1"/>
    <col min="773" max="773" width="16.85546875" style="102" customWidth="1"/>
    <col min="774" max="774" width="18" style="102" customWidth="1"/>
    <col min="775" max="775" width="18.140625" style="102" customWidth="1"/>
    <col min="776" max="776" width="16.28515625" style="102" customWidth="1"/>
    <col min="777" max="777" width="14.85546875" style="102" customWidth="1"/>
    <col min="778" max="778" width="17.7109375" style="102" customWidth="1"/>
    <col min="779" max="779" width="14.85546875" style="102" customWidth="1"/>
    <col min="780" max="780" width="17.28515625" style="102" customWidth="1"/>
    <col min="781" max="781" width="11.85546875" style="102" customWidth="1"/>
    <col min="782" max="782" width="15.85546875" style="102" customWidth="1"/>
    <col min="783" max="1024" width="11.42578125" style="102"/>
    <col min="1025" max="1025" width="7.85546875" style="102" customWidth="1"/>
    <col min="1026" max="1026" width="42.42578125" style="102" customWidth="1"/>
    <col min="1027" max="1027" width="16.42578125" style="102" customWidth="1"/>
    <col min="1028" max="1028" width="15.42578125" style="102" customWidth="1"/>
    <col min="1029" max="1029" width="16.85546875" style="102" customWidth="1"/>
    <col min="1030" max="1030" width="18" style="102" customWidth="1"/>
    <col min="1031" max="1031" width="18.140625" style="102" customWidth="1"/>
    <col min="1032" max="1032" width="16.28515625" style="102" customWidth="1"/>
    <col min="1033" max="1033" width="14.85546875" style="102" customWidth="1"/>
    <col min="1034" max="1034" width="17.7109375" style="102" customWidth="1"/>
    <col min="1035" max="1035" width="14.85546875" style="102" customWidth="1"/>
    <col min="1036" max="1036" width="17.28515625" style="102" customWidth="1"/>
    <col min="1037" max="1037" width="11.85546875" style="102" customWidth="1"/>
    <col min="1038" max="1038" width="15.85546875" style="102" customWidth="1"/>
    <col min="1039" max="1280" width="11.42578125" style="102"/>
    <col min="1281" max="1281" width="7.85546875" style="102" customWidth="1"/>
    <col min="1282" max="1282" width="42.42578125" style="102" customWidth="1"/>
    <col min="1283" max="1283" width="16.42578125" style="102" customWidth="1"/>
    <col min="1284" max="1284" width="15.42578125" style="102" customWidth="1"/>
    <col min="1285" max="1285" width="16.85546875" style="102" customWidth="1"/>
    <col min="1286" max="1286" width="18" style="102" customWidth="1"/>
    <col min="1287" max="1287" width="18.140625" style="102" customWidth="1"/>
    <col min="1288" max="1288" width="16.28515625" style="102" customWidth="1"/>
    <col min="1289" max="1289" width="14.85546875" style="102" customWidth="1"/>
    <col min="1290" max="1290" width="17.7109375" style="102" customWidth="1"/>
    <col min="1291" max="1291" width="14.85546875" style="102" customWidth="1"/>
    <col min="1292" max="1292" width="17.28515625" style="102" customWidth="1"/>
    <col min="1293" max="1293" width="11.85546875" style="102" customWidth="1"/>
    <col min="1294" max="1294" width="15.85546875" style="102" customWidth="1"/>
    <col min="1295" max="1536" width="11.42578125" style="102"/>
    <col min="1537" max="1537" width="7.85546875" style="102" customWidth="1"/>
    <col min="1538" max="1538" width="42.42578125" style="102" customWidth="1"/>
    <col min="1539" max="1539" width="16.42578125" style="102" customWidth="1"/>
    <col min="1540" max="1540" width="15.42578125" style="102" customWidth="1"/>
    <col min="1541" max="1541" width="16.85546875" style="102" customWidth="1"/>
    <col min="1542" max="1542" width="18" style="102" customWidth="1"/>
    <col min="1543" max="1543" width="18.140625" style="102" customWidth="1"/>
    <col min="1544" max="1544" width="16.28515625" style="102" customWidth="1"/>
    <col min="1545" max="1545" width="14.85546875" style="102" customWidth="1"/>
    <col min="1546" max="1546" width="17.7109375" style="102" customWidth="1"/>
    <col min="1547" max="1547" width="14.85546875" style="102" customWidth="1"/>
    <col min="1548" max="1548" width="17.28515625" style="102" customWidth="1"/>
    <col min="1549" max="1549" width="11.85546875" style="102" customWidth="1"/>
    <col min="1550" max="1550" width="15.85546875" style="102" customWidth="1"/>
    <col min="1551" max="1792" width="11.42578125" style="102"/>
    <col min="1793" max="1793" width="7.85546875" style="102" customWidth="1"/>
    <col min="1794" max="1794" width="42.42578125" style="102" customWidth="1"/>
    <col min="1795" max="1795" width="16.42578125" style="102" customWidth="1"/>
    <col min="1796" max="1796" width="15.42578125" style="102" customWidth="1"/>
    <col min="1797" max="1797" width="16.85546875" style="102" customWidth="1"/>
    <col min="1798" max="1798" width="18" style="102" customWidth="1"/>
    <col min="1799" max="1799" width="18.140625" style="102" customWidth="1"/>
    <col min="1800" max="1800" width="16.28515625" style="102" customWidth="1"/>
    <col min="1801" max="1801" width="14.85546875" style="102" customWidth="1"/>
    <col min="1802" max="1802" width="17.7109375" style="102" customWidth="1"/>
    <col min="1803" max="1803" width="14.85546875" style="102" customWidth="1"/>
    <col min="1804" max="1804" width="17.28515625" style="102" customWidth="1"/>
    <col min="1805" max="1805" width="11.85546875" style="102" customWidth="1"/>
    <col min="1806" max="1806" width="15.85546875" style="102" customWidth="1"/>
    <col min="1807" max="2048" width="11.42578125" style="102"/>
    <col min="2049" max="2049" width="7.85546875" style="102" customWidth="1"/>
    <col min="2050" max="2050" width="42.42578125" style="102" customWidth="1"/>
    <col min="2051" max="2051" width="16.42578125" style="102" customWidth="1"/>
    <col min="2052" max="2052" width="15.42578125" style="102" customWidth="1"/>
    <col min="2053" max="2053" width="16.85546875" style="102" customWidth="1"/>
    <col min="2054" max="2054" width="18" style="102" customWidth="1"/>
    <col min="2055" max="2055" width="18.140625" style="102" customWidth="1"/>
    <col min="2056" max="2056" width="16.28515625" style="102" customWidth="1"/>
    <col min="2057" max="2057" width="14.85546875" style="102" customWidth="1"/>
    <col min="2058" max="2058" width="17.7109375" style="102" customWidth="1"/>
    <col min="2059" max="2059" width="14.85546875" style="102" customWidth="1"/>
    <col min="2060" max="2060" width="17.28515625" style="102" customWidth="1"/>
    <col min="2061" max="2061" width="11.85546875" style="102" customWidth="1"/>
    <col min="2062" max="2062" width="15.85546875" style="102" customWidth="1"/>
    <col min="2063" max="2304" width="11.42578125" style="102"/>
    <col min="2305" max="2305" width="7.85546875" style="102" customWidth="1"/>
    <col min="2306" max="2306" width="42.42578125" style="102" customWidth="1"/>
    <col min="2307" max="2307" width="16.42578125" style="102" customWidth="1"/>
    <col min="2308" max="2308" width="15.42578125" style="102" customWidth="1"/>
    <col min="2309" max="2309" width="16.85546875" style="102" customWidth="1"/>
    <col min="2310" max="2310" width="18" style="102" customWidth="1"/>
    <col min="2311" max="2311" width="18.140625" style="102" customWidth="1"/>
    <col min="2312" max="2312" width="16.28515625" style="102" customWidth="1"/>
    <col min="2313" max="2313" width="14.85546875" style="102" customWidth="1"/>
    <col min="2314" max="2314" width="17.7109375" style="102" customWidth="1"/>
    <col min="2315" max="2315" width="14.85546875" style="102" customWidth="1"/>
    <col min="2316" max="2316" width="17.28515625" style="102" customWidth="1"/>
    <col min="2317" max="2317" width="11.85546875" style="102" customWidth="1"/>
    <col min="2318" max="2318" width="15.85546875" style="102" customWidth="1"/>
    <col min="2319" max="2560" width="11.42578125" style="102"/>
    <col min="2561" max="2561" width="7.85546875" style="102" customWidth="1"/>
    <col min="2562" max="2562" width="42.42578125" style="102" customWidth="1"/>
    <col min="2563" max="2563" width="16.42578125" style="102" customWidth="1"/>
    <col min="2564" max="2564" width="15.42578125" style="102" customWidth="1"/>
    <col min="2565" max="2565" width="16.85546875" style="102" customWidth="1"/>
    <col min="2566" max="2566" width="18" style="102" customWidth="1"/>
    <col min="2567" max="2567" width="18.140625" style="102" customWidth="1"/>
    <col min="2568" max="2568" width="16.28515625" style="102" customWidth="1"/>
    <col min="2569" max="2569" width="14.85546875" style="102" customWidth="1"/>
    <col min="2570" max="2570" width="17.7109375" style="102" customWidth="1"/>
    <col min="2571" max="2571" width="14.85546875" style="102" customWidth="1"/>
    <col min="2572" max="2572" width="17.28515625" style="102" customWidth="1"/>
    <col min="2573" max="2573" width="11.85546875" style="102" customWidth="1"/>
    <col min="2574" max="2574" width="15.85546875" style="102" customWidth="1"/>
    <col min="2575" max="2816" width="11.42578125" style="102"/>
    <col min="2817" max="2817" width="7.85546875" style="102" customWidth="1"/>
    <col min="2818" max="2818" width="42.42578125" style="102" customWidth="1"/>
    <col min="2819" max="2819" width="16.42578125" style="102" customWidth="1"/>
    <col min="2820" max="2820" width="15.42578125" style="102" customWidth="1"/>
    <col min="2821" max="2821" width="16.85546875" style="102" customWidth="1"/>
    <col min="2822" max="2822" width="18" style="102" customWidth="1"/>
    <col min="2823" max="2823" width="18.140625" style="102" customWidth="1"/>
    <col min="2824" max="2824" width="16.28515625" style="102" customWidth="1"/>
    <col min="2825" max="2825" width="14.85546875" style="102" customWidth="1"/>
    <col min="2826" max="2826" width="17.7109375" style="102" customWidth="1"/>
    <col min="2827" max="2827" width="14.85546875" style="102" customWidth="1"/>
    <col min="2828" max="2828" width="17.28515625" style="102" customWidth="1"/>
    <col min="2829" max="2829" width="11.85546875" style="102" customWidth="1"/>
    <col min="2830" max="2830" width="15.85546875" style="102" customWidth="1"/>
    <col min="2831" max="3072" width="11.42578125" style="102"/>
    <col min="3073" max="3073" width="7.85546875" style="102" customWidth="1"/>
    <col min="3074" max="3074" width="42.42578125" style="102" customWidth="1"/>
    <col min="3075" max="3075" width="16.42578125" style="102" customWidth="1"/>
    <col min="3076" max="3076" width="15.42578125" style="102" customWidth="1"/>
    <col min="3077" max="3077" width="16.85546875" style="102" customWidth="1"/>
    <col min="3078" max="3078" width="18" style="102" customWidth="1"/>
    <col min="3079" max="3079" width="18.140625" style="102" customWidth="1"/>
    <col min="3080" max="3080" width="16.28515625" style="102" customWidth="1"/>
    <col min="3081" max="3081" width="14.85546875" style="102" customWidth="1"/>
    <col min="3082" max="3082" width="17.7109375" style="102" customWidth="1"/>
    <col min="3083" max="3083" width="14.85546875" style="102" customWidth="1"/>
    <col min="3084" max="3084" width="17.28515625" style="102" customWidth="1"/>
    <col min="3085" max="3085" width="11.85546875" style="102" customWidth="1"/>
    <col min="3086" max="3086" width="15.85546875" style="102" customWidth="1"/>
    <col min="3087" max="3328" width="11.42578125" style="102"/>
    <col min="3329" max="3329" width="7.85546875" style="102" customWidth="1"/>
    <col min="3330" max="3330" width="42.42578125" style="102" customWidth="1"/>
    <col min="3331" max="3331" width="16.42578125" style="102" customWidth="1"/>
    <col min="3332" max="3332" width="15.42578125" style="102" customWidth="1"/>
    <col min="3333" max="3333" width="16.85546875" style="102" customWidth="1"/>
    <col min="3334" max="3334" width="18" style="102" customWidth="1"/>
    <col min="3335" max="3335" width="18.140625" style="102" customWidth="1"/>
    <col min="3336" max="3336" width="16.28515625" style="102" customWidth="1"/>
    <col min="3337" max="3337" width="14.85546875" style="102" customWidth="1"/>
    <col min="3338" max="3338" width="17.7109375" style="102" customWidth="1"/>
    <col min="3339" max="3339" width="14.85546875" style="102" customWidth="1"/>
    <col min="3340" max="3340" width="17.28515625" style="102" customWidth="1"/>
    <col min="3341" max="3341" width="11.85546875" style="102" customWidth="1"/>
    <col min="3342" max="3342" width="15.85546875" style="102" customWidth="1"/>
    <col min="3343" max="3584" width="11.42578125" style="102"/>
    <col min="3585" max="3585" width="7.85546875" style="102" customWidth="1"/>
    <col min="3586" max="3586" width="42.42578125" style="102" customWidth="1"/>
    <col min="3587" max="3587" width="16.42578125" style="102" customWidth="1"/>
    <col min="3588" max="3588" width="15.42578125" style="102" customWidth="1"/>
    <col min="3589" max="3589" width="16.85546875" style="102" customWidth="1"/>
    <col min="3590" max="3590" width="18" style="102" customWidth="1"/>
    <col min="3591" max="3591" width="18.140625" style="102" customWidth="1"/>
    <col min="3592" max="3592" width="16.28515625" style="102" customWidth="1"/>
    <col min="3593" max="3593" width="14.85546875" style="102" customWidth="1"/>
    <col min="3594" max="3594" width="17.7109375" style="102" customWidth="1"/>
    <col min="3595" max="3595" width="14.85546875" style="102" customWidth="1"/>
    <col min="3596" max="3596" width="17.28515625" style="102" customWidth="1"/>
    <col min="3597" max="3597" width="11.85546875" style="102" customWidth="1"/>
    <col min="3598" max="3598" width="15.85546875" style="102" customWidth="1"/>
    <col min="3599" max="3840" width="11.42578125" style="102"/>
    <col min="3841" max="3841" width="7.85546875" style="102" customWidth="1"/>
    <col min="3842" max="3842" width="42.42578125" style="102" customWidth="1"/>
    <col min="3843" max="3843" width="16.42578125" style="102" customWidth="1"/>
    <col min="3844" max="3844" width="15.42578125" style="102" customWidth="1"/>
    <col min="3845" max="3845" width="16.85546875" style="102" customWidth="1"/>
    <col min="3846" max="3846" width="18" style="102" customWidth="1"/>
    <col min="3847" max="3847" width="18.140625" style="102" customWidth="1"/>
    <col min="3848" max="3848" width="16.28515625" style="102" customWidth="1"/>
    <col min="3849" max="3849" width="14.85546875" style="102" customWidth="1"/>
    <col min="3850" max="3850" width="17.7109375" style="102" customWidth="1"/>
    <col min="3851" max="3851" width="14.85546875" style="102" customWidth="1"/>
    <col min="3852" max="3852" width="17.28515625" style="102" customWidth="1"/>
    <col min="3853" max="3853" width="11.85546875" style="102" customWidth="1"/>
    <col min="3854" max="3854" width="15.85546875" style="102" customWidth="1"/>
    <col min="3855" max="4096" width="11.42578125" style="102"/>
    <col min="4097" max="4097" width="7.85546875" style="102" customWidth="1"/>
    <col min="4098" max="4098" width="42.42578125" style="102" customWidth="1"/>
    <col min="4099" max="4099" width="16.42578125" style="102" customWidth="1"/>
    <col min="4100" max="4100" width="15.42578125" style="102" customWidth="1"/>
    <col min="4101" max="4101" width="16.85546875" style="102" customWidth="1"/>
    <col min="4102" max="4102" width="18" style="102" customWidth="1"/>
    <col min="4103" max="4103" width="18.140625" style="102" customWidth="1"/>
    <col min="4104" max="4104" width="16.28515625" style="102" customWidth="1"/>
    <col min="4105" max="4105" width="14.85546875" style="102" customWidth="1"/>
    <col min="4106" max="4106" width="17.7109375" style="102" customWidth="1"/>
    <col min="4107" max="4107" width="14.85546875" style="102" customWidth="1"/>
    <col min="4108" max="4108" width="17.28515625" style="102" customWidth="1"/>
    <col min="4109" max="4109" width="11.85546875" style="102" customWidth="1"/>
    <col min="4110" max="4110" width="15.85546875" style="102" customWidth="1"/>
    <col min="4111" max="4352" width="11.42578125" style="102"/>
    <col min="4353" max="4353" width="7.85546875" style="102" customWidth="1"/>
    <col min="4354" max="4354" width="42.42578125" style="102" customWidth="1"/>
    <col min="4355" max="4355" width="16.42578125" style="102" customWidth="1"/>
    <col min="4356" max="4356" width="15.42578125" style="102" customWidth="1"/>
    <col min="4357" max="4357" width="16.85546875" style="102" customWidth="1"/>
    <col min="4358" max="4358" width="18" style="102" customWidth="1"/>
    <col min="4359" max="4359" width="18.140625" style="102" customWidth="1"/>
    <col min="4360" max="4360" width="16.28515625" style="102" customWidth="1"/>
    <col min="4361" max="4361" width="14.85546875" style="102" customWidth="1"/>
    <col min="4362" max="4362" width="17.7109375" style="102" customWidth="1"/>
    <col min="4363" max="4363" width="14.85546875" style="102" customWidth="1"/>
    <col min="4364" max="4364" width="17.28515625" style="102" customWidth="1"/>
    <col min="4365" max="4365" width="11.85546875" style="102" customWidth="1"/>
    <col min="4366" max="4366" width="15.85546875" style="102" customWidth="1"/>
    <col min="4367" max="4608" width="11.42578125" style="102"/>
    <col min="4609" max="4609" width="7.85546875" style="102" customWidth="1"/>
    <col min="4610" max="4610" width="42.42578125" style="102" customWidth="1"/>
    <col min="4611" max="4611" width="16.42578125" style="102" customWidth="1"/>
    <col min="4612" max="4612" width="15.42578125" style="102" customWidth="1"/>
    <col min="4613" max="4613" width="16.85546875" style="102" customWidth="1"/>
    <col min="4614" max="4614" width="18" style="102" customWidth="1"/>
    <col min="4615" max="4615" width="18.140625" style="102" customWidth="1"/>
    <col min="4616" max="4616" width="16.28515625" style="102" customWidth="1"/>
    <col min="4617" max="4617" width="14.85546875" style="102" customWidth="1"/>
    <col min="4618" max="4618" width="17.7109375" style="102" customWidth="1"/>
    <col min="4619" max="4619" width="14.85546875" style="102" customWidth="1"/>
    <col min="4620" max="4620" width="17.28515625" style="102" customWidth="1"/>
    <col min="4621" max="4621" width="11.85546875" style="102" customWidth="1"/>
    <col min="4622" max="4622" width="15.85546875" style="102" customWidth="1"/>
    <col min="4623" max="4864" width="11.42578125" style="102"/>
    <col min="4865" max="4865" width="7.85546875" style="102" customWidth="1"/>
    <col min="4866" max="4866" width="42.42578125" style="102" customWidth="1"/>
    <col min="4867" max="4867" width="16.42578125" style="102" customWidth="1"/>
    <col min="4868" max="4868" width="15.42578125" style="102" customWidth="1"/>
    <col min="4869" max="4869" width="16.85546875" style="102" customWidth="1"/>
    <col min="4870" max="4870" width="18" style="102" customWidth="1"/>
    <col min="4871" max="4871" width="18.140625" style="102" customWidth="1"/>
    <col min="4872" max="4872" width="16.28515625" style="102" customWidth="1"/>
    <col min="4873" max="4873" width="14.85546875" style="102" customWidth="1"/>
    <col min="4874" max="4874" width="17.7109375" style="102" customWidth="1"/>
    <col min="4875" max="4875" width="14.85546875" style="102" customWidth="1"/>
    <col min="4876" max="4876" width="17.28515625" style="102" customWidth="1"/>
    <col min="4877" max="4877" width="11.85546875" style="102" customWidth="1"/>
    <col min="4878" max="4878" width="15.85546875" style="102" customWidth="1"/>
    <col min="4879" max="5120" width="11.42578125" style="102"/>
    <col min="5121" max="5121" width="7.85546875" style="102" customWidth="1"/>
    <col min="5122" max="5122" width="42.42578125" style="102" customWidth="1"/>
    <col min="5123" max="5123" width="16.42578125" style="102" customWidth="1"/>
    <col min="5124" max="5124" width="15.42578125" style="102" customWidth="1"/>
    <col min="5125" max="5125" width="16.85546875" style="102" customWidth="1"/>
    <col min="5126" max="5126" width="18" style="102" customWidth="1"/>
    <col min="5127" max="5127" width="18.140625" style="102" customWidth="1"/>
    <col min="5128" max="5128" width="16.28515625" style="102" customWidth="1"/>
    <col min="5129" max="5129" width="14.85546875" style="102" customWidth="1"/>
    <col min="5130" max="5130" width="17.7109375" style="102" customWidth="1"/>
    <col min="5131" max="5131" width="14.85546875" style="102" customWidth="1"/>
    <col min="5132" max="5132" width="17.28515625" style="102" customWidth="1"/>
    <col min="5133" max="5133" width="11.85546875" style="102" customWidth="1"/>
    <col min="5134" max="5134" width="15.85546875" style="102" customWidth="1"/>
    <col min="5135" max="5376" width="11.42578125" style="102"/>
    <col min="5377" max="5377" width="7.85546875" style="102" customWidth="1"/>
    <col min="5378" max="5378" width="42.42578125" style="102" customWidth="1"/>
    <col min="5379" max="5379" width="16.42578125" style="102" customWidth="1"/>
    <col min="5380" max="5380" width="15.42578125" style="102" customWidth="1"/>
    <col min="5381" max="5381" width="16.85546875" style="102" customWidth="1"/>
    <col min="5382" max="5382" width="18" style="102" customWidth="1"/>
    <col min="5383" max="5383" width="18.140625" style="102" customWidth="1"/>
    <col min="5384" max="5384" width="16.28515625" style="102" customWidth="1"/>
    <col min="5385" max="5385" width="14.85546875" style="102" customWidth="1"/>
    <col min="5386" max="5386" width="17.7109375" style="102" customWidth="1"/>
    <col min="5387" max="5387" width="14.85546875" style="102" customWidth="1"/>
    <col min="5388" max="5388" width="17.28515625" style="102" customWidth="1"/>
    <col min="5389" max="5389" width="11.85546875" style="102" customWidth="1"/>
    <col min="5390" max="5390" width="15.85546875" style="102" customWidth="1"/>
    <col min="5391" max="5632" width="11.42578125" style="102"/>
    <col min="5633" max="5633" width="7.85546875" style="102" customWidth="1"/>
    <col min="5634" max="5634" width="42.42578125" style="102" customWidth="1"/>
    <col min="5635" max="5635" width="16.42578125" style="102" customWidth="1"/>
    <col min="5636" max="5636" width="15.42578125" style="102" customWidth="1"/>
    <col min="5637" max="5637" width="16.85546875" style="102" customWidth="1"/>
    <col min="5638" max="5638" width="18" style="102" customWidth="1"/>
    <col min="5639" max="5639" width="18.140625" style="102" customWidth="1"/>
    <col min="5640" max="5640" width="16.28515625" style="102" customWidth="1"/>
    <col min="5641" max="5641" width="14.85546875" style="102" customWidth="1"/>
    <col min="5642" max="5642" width="17.7109375" style="102" customWidth="1"/>
    <col min="5643" max="5643" width="14.85546875" style="102" customWidth="1"/>
    <col min="5644" max="5644" width="17.28515625" style="102" customWidth="1"/>
    <col min="5645" max="5645" width="11.85546875" style="102" customWidth="1"/>
    <col min="5646" max="5646" width="15.85546875" style="102" customWidth="1"/>
    <col min="5647" max="5888" width="11.42578125" style="102"/>
    <col min="5889" max="5889" width="7.85546875" style="102" customWidth="1"/>
    <col min="5890" max="5890" width="42.42578125" style="102" customWidth="1"/>
    <col min="5891" max="5891" width="16.42578125" style="102" customWidth="1"/>
    <col min="5892" max="5892" width="15.42578125" style="102" customWidth="1"/>
    <col min="5893" max="5893" width="16.85546875" style="102" customWidth="1"/>
    <col min="5894" max="5894" width="18" style="102" customWidth="1"/>
    <col min="5895" max="5895" width="18.140625" style="102" customWidth="1"/>
    <col min="5896" max="5896" width="16.28515625" style="102" customWidth="1"/>
    <col min="5897" max="5897" width="14.85546875" style="102" customWidth="1"/>
    <col min="5898" max="5898" width="17.7109375" style="102" customWidth="1"/>
    <col min="5899" max="5899" width="14.85546875" style="102" customWidth="1"/>
    <col min="5900" max="5900" width="17.28515625" style="102" customWidth="1"/>
    <col min="5901" max="5901" width="11.85546875" style="102" customWidth="1"/>
    <col min="5902" max="5902" width="15.85546875" style="102" customWidth="1"/>
    <col min="5903" max="6144" width="11.42578125" style="102"/>
    <col min="6145" max="6145" width="7.85546875" style="102" customWidth="1"/>
    <col min="6146" max="6146" width="42.42578125" style="102" customWidth="1"/>
    <col min="6147" max="6147" width="16.42578125" style="102" customWidth="1"/>
    <col min="6148" max="6148" width="15.42578125" style="102" customWidth="1"/>
    <col min="6149" max="6149" width="16.85546875" style="102" customWidth="1"/>
    <col min="6150" max="6150" width="18" style="102" customWidth="1"/>
    <col min="6151" max="6151" width="18.140625" style="102" customWidth="1"/>
    <col min="6152" max="6152" width="16.28515625" style="102" customWidth="1"/>
    <col min="6153" max="6153" width="14.85546875" style="102" customWidth="1"/>
    <col min="6154" max="6154" width="17.7109375" style="102" customWidth="1"/>
    <col min="6155" max="6155" width="14.85546875" style="102" customWidth="1"/>
    <col min="6156" max="6156" width="17.28515625" style="102" customWidth="1"/>
    <col min="6157" max="6157" width="11.85546875" style="102" customWidth="1"/>
    <col min="6158" max="6158" width="15.85546875" style="102" customWidth="1"/>
    <col min="6159" max="6400" width="11.42578125" style="102"/>
    <col min="6401" max="6401" width="7.85546875" style="102" customWidth="1"/>
    <col min="6402" max="6402" width="42.42578125" style="102" customWidth="1"/>
    <col min="6403" max="6403" width="16.42578125" style="102" customWidth="1"/>
    <col min="6404" max="6404" width="15.42578125" style="102" customWidth="1"/>
    <col min="6405" max="6405" width="16.85546875" style="102" customWidth="1"/>
    <col min="6406" max="6406" width="18" style="102" customWidth="1"/>
    <col min="6407" max="6407" width="18.140625" style="102" customWidth="1"/>
    <col min="6408" max="6408" width="16.28515625" style="102" customWidth="1"/>
    <col min="6409" max="6409" width="14.85546875" style="102" customWidth="1"/>
    <col min="6410" max="6410" width="17.7109375" style="102" customWidth="1"/>
    <col min="6411" max="6411" width="14.85546875" style="102" customWidth="1"/>
    <col min="6412" max="6412" width="17.28515625" style="102" customWidth="1"/>
    <col min="6413" max="6413" width="11.85546875" style="102" customWidth="1"/>
    <col min="6414" max="6414" width="15.85546875" style="102" customWidth="1"/>
    <col min="6415" max="6656" width="11.42578125" style="102"/>
    <col min="6657" max="6657" width="7.85546875" style="102" customWidth="1"/>
    <col min="6658" max="6658" width="42.42578125" style="102" customWidth="1"/>
    <col min="6659" max="6659" width="16.42578125" style="102" customWidth="1"/>
    <col min="6660" max="6660" width="15.42578125" style="102" customWidth="1"/>
    <col min="6661" max="6661" width="16.85546875" style="102" customWidth="1"/>
    <col min="6662" max="6662" width="18" style="102" customWidth="1"/>
    <col min="6663" max="6663" width="18.140625" style="102" customWidth="1"/>
    <col min="6664" max="6664" width="16.28515625" style="102" customWidth="1"/>
    <col min="6665" max="6665" width="14.85546875" style="102" customWidth="1"/>
    <col min="6666" max="6666" width="17.7109375" style="102" customWidth="1"/>
    <col min="6667" max="6667" width="14.85546875" style="102" customWidth="1"/>
    <col min="6668" max="6668" width="17.28515625" style="102" customWidth="1"/>
    <col min="6669" max="6669" width="11.85546875" style="102" customWidth="1"/>
    <col min="6670" max="6670" width="15.85546875" style="102" customWidth="1"/>
    <col min="6671" max="6912" width="11.42578125" style="102"/>
    <col min="6913" max="6913" width="7.85546875" style="102" customWidth="1"/>
    <col min="6914" max="6914" width="42.42578125" style="102" customWidth="1"/>
    <col min="6915" max="6915" width="16.42578125" style="102" customWidth="1"/>
    <col min="6916" max="6916" width="15.42578125" style="102" customWidth="1"/>
    <col min="6917" max="6917" width="16.85546875" style="102" customWidth="1"/>
    <col min="6918" max="6918" width="18" style="102" customWidth="1"/>
    <col min="6919" max="6919" width="18.140625" style="102" customWidth="1"/>
    <col min="6920" max="6920" width="16.28515625" style="102" customWidth="1"/>
    <col min="6921" max="6921" width="14.85546875" style="102" customWidth="1"/>
    <col min="6922" max="6922" width="17.7109375" style="102" customWidth="1"/>
    <col min="6923" max="6923" width="14.85546875" style="102" customWidth="1"/>
    <col min="6924" max="6924" width="17.28515625" style="102" customWidth="1"/>
    <col min="6925" max="6925" width="11.85546875" style="102" customWidth="1"/>
    <col min="6926" max="6926" width="15.85546875" style="102" customWidth="1"/>
    <col min="6927" max="7168" width="11.42578125" style="102"/>
    <col min="7169" max="7169" width="7.85546875" style="102" customWidth="1"/>
    <col min="7170" max="7170" width="42.42578125" style="102" customWidth="1"/>
    <col min="7171" max="7171" width="16.42578125" style="102" customWidth="1"/>
    <col min="7172" max="7172" width="15.42578125" style="102" customWidth="1"/>
    <col min="7173" max="7173" width="16.85546875" style="102" customWidth="1"/>
    <col min="7174" max="7174" width="18" style="102" customWidth="1"/>
    <col min="7175" max="7175" width="18.140625" style="102" customWidth="1"/>
    <col min="7176" max="7176" width="16.28515625" style="102" customWidth="1"/>
    <col min="7177" max="7177" width="14.85546875" style="102" customWidth="1"/>
    <col min="7178" max="7178" width="17.7109375" style="102" customWidth="1"/>
    <col min="7179" max="7179" width="14.85546875" style="102" customWidth="1"/>
    <col min="7180" max="7180" width="17.28515625" style="102" customWidth="1"/>
    <col min="7181" max="7181" width="11.85546875" style="102" customWidth="1"/>
    <col min="7182" max="7182" width="15.85546875" style="102" customWidth="1"/>
    <col min="7183" max="7424" width="11.42578125" style="102"/>
    <col min="7425" max="7425" width="7.85546875" style="102" customWidth="1"/>
    <col min="7426" max="7426" width="42.42578125" style="102" customWidth="1"/>
    <col min="7427" max="7427" width="16.42578125" style="102" customWidth="1"/>
    <col min="7428" max="7428" width="15.42578125" style="102" customWidth="1"/>
    <col min="7429" max="7429" width="16.85546875" style="102" customWidth="1"/>
    <col min="7430" max="7430" width="18" style="102" customWidth="1"/>
    <col min="7431" max="7431" width="18.140625" style="102" customWidth="1"/>
    <col min="7432" max="7432" width="16.28515625" style="102" customWidth="1"/>
    <col min="7433" max="7433" width="14.85546875" style="102" customWidth="1"/>
    <col min="7434" max="7434" width="17.7109375" style="102" customWidth="1"/>
    <col min="7435" max="7435" width="14.85546875" style="102" customWidth="1"/>
    <col min="7436" max="7436" width="17.28515625" style="102" customWidth="1"/>
    <col min="7437" max="7437" width="11.85546875" style="102" customWidth="1"/>
    <col min="7438" max="7438" width="15.85546875" style="102" customWidth="1"/>
    <col min="7439" max="7680" width="11.42578125" style="102"/>
    <col min="7681" max="7681" width="7.85546875" style="102" customWidth="1"/>
    <col min="7682" max="7682" width="42.42578125" style="102" customWidth="1"/>
    <col min="7683" max="7683" width="16.42578125" style="102" customWidth="1"/>
    <col min="7684" max="7684" width="15.42578125" style="102" customWidth="1"/>
    <col min="7685" max="7685" width="16.85546875" style="102" customWidth="1"/>
    <col min="7686" max="7686" width="18" style="102" customWidth="1"/>
    <col min="7687" max="7687" width="18.140625" style="102" customWidth="1"/>
    <col min="7688" max="7688" width="16.28515625" style="102" customWidth="1"/>
    <col min="7689" max="7689" width="14.85546875" style="102" customWidth="1"/>
    <col min="7690" max="7690" width="17.7109375" style="102" customWidth="1"/>
    <col min="7691" max="7691" width="14.85546875" style="102" customWidth="1"/>
    <col min="7692" max="7692" width="17.28515625" style="102" customWidth="1"/>
    <col min="7693" max="7693" width="11.85546875" style="102" customWidth="1"/>
    <col min="7694" max="7694" width="15.85546875" style="102" customWidth="1"/>
    <col min="7695" max="7936" width="11.42578125" style="102"/>
    <col min="7937" max="7937" width="7.85546875" style="102" customWidth="1"/>
    <col min="7938" max="7938" width="42.42578125" style="102" customWidth="1"/>
    <col min="7939" max="7939" width="16.42578125" style="102" customWidth="1"/>
    <col min="7940" max="7940" width="15.42578125" style="102" customWidth="1"/>
    <col min="7941" max="7941" width="16.85546875" style="102" customWidth="1"/>
    <col min="7942" max="7942" width="18" style="102" customWidth="1"/>
    <col min="7943" max="7943" width="18.140625" style="102" customWidth="1"/>
    <col min="7944" max="7944" width="16.28515625" style="102" customWidth="1"/>
    <col min="7945" max="7945" width="14.85546875" style="102" customWidth="1"/>
    <col min="7946" max="7946" width="17.7109375" style="102" customWidth="1"/>
    <col min="7947" max="7947" width="14.85546875" style="102" customWidth="1"/>
    <col min="7948" max="7948" width="17.28515625" style="102" customWidth="1"/>
    <col min="7949" max="7949" width="11.85546875" style="102" customWidth="1"/>
    <col min="7950" max="7950" width="15.85546875" style="102" customWidth="1"/>
    <col min="7951" max="8192" width="11.42578125" style="102"/>
    <col min="8193" max="8193" width="7.85546875" style="102" customWidth="1"/>
    <col min="8194" max="8194" width="42.42578125" style="102" customWidth="1"/>
    <col min="8195" max="8195" width="16.42578125" style="102" customWidth="1"/>
    <col min="8196" max="8196" width="15.42578125" style="102" customWidth="1"/>
    <col min="8197" max="8197" width="16.85546875" style="102" customWidth="1"/>
    <col min="8198" max="8198" width="18" style="102" customWidth="1"/>
    <col min="8199" max="8199" width="18.140625" style="102" customWidth="1"/>
    <col min="8200" max="8200" width="16.28515625" style="102" customWidth="1"/>
    <col min="8201" max="8201" width="14.85546875" style="102" customWidth="1"/>
    <col min="8202" max="8202" width="17.7109375" style="102" customWidth="1"/>
    <col min="8203" max="8203" width="14.85546875" style="102" customWidth="1"/>
    <col min="8204" max="8204" width="17.28515625" style="102" customWidth="1"/>
    <col min="8205" max="8205" width="11.85546875" style="102" customWidth="1"/>
    <col min="8206" max="8206" width="15.85546875" style="102" customWidth="1"/>
    <col min="8207" max="8448" width="11.42578125" style="102"/>
    <col min="8449" max="8449" width="7.85546875" style="102" customWidth="1"/>
    <col min="8450" max="8450" width="42.42578125" style="102" customWidth="1"/>
    <col min="8451" max="8451" width="16.42578125" style="102" customWidth="1"/>
    <col min="8452" max="8452" width="15.42578125" style="102" customWidth="1"/>
    <col min="8453" max="8453" width="16.85546875" style="102" customWidth="1"/>
    <col min="8454" max="8454" width="18" style="102" customWidth="1"/>
    <col min="8455" max="8455" width="18.140625" style="102" customWidth="1"/>
    <col min="8456" max="8456" width="16.28515625" style="102" customWidth="1"/>
    <col min="8457" max="8457" width="14.85546875" style="102" customWidth="1"/>
    <col min="8458" max="8458" width="17.7109375" style="102" customWidth="1"/>
    <col min="8459" max="8459" width="14.85546875" style="102" customWidth="1"/>
    <col min="8460" max="8460" width="17.28515625" style="102" customWidth="1"/>
    <col min="8461" max="8461" width="11.85546875" style="102" customWidth="1"/>
    <col min="8462" max="8462" width="15.85546875" style="102" customWidth="1"/>
    <col min="8463" max="8704" width="11.42578125" style="102"/>
    <col min="8705" max="8705" width="7.85546875" style="102" customWidth="1"/>
    <col min="8706" max="8706" width="42.42578125" style="102" customWidth="1"/>
    <col min="8707" max="8707" width="16.42578125" style="102" customWidth="1"/>
    <col min="8708" max="8708" width="15.42578125" style="102" customWidth="1"/>
    <col min="8709" max="8709" width="16.85546875" style="102" customWidth="1"/>
    <col min="8710" max="8710" width="18" style="102" customWidth="1"/>
    <col min="8711" max="8711" width="18.140625" style="102" customWidth="1"/>
    <col min="8712" max="8712" width="16.28515625" style="102" customWidth="1"/>
    <col min="8713" max="8713" width="14.85546875" style="102" customWidth="1"/>
    <col min="8714" max="8714" width="17.7109375" style="102" customWidth="1"/>
    <col min="8715" max="8715" width="14.85546875" style="102" customWidth="1"/>
    <col min="8716" max="8716" width="17.28515625" style="102" customWidth="1"/>
    <col min="8717" max="8717" width="11.85546875" style="102" customWidth="1"/>
    <col min="8718" max="8718" width="15.85546875" style="102" customWidth="1"/>
    <col min="8719" max="8960" width="11.42578125" style="102"/>
    <col min="8961" max="8961" width="7.85546875" style="102" customWidth="1"/>
    <col min="8962" max="8962" width="42.42578125" style="102" customWidth="1"/>
    <col min="8963" max="8963" width="16.42578125" style="102" customWidth="1"/>
    <col min="8964" max="8964" width="15.42578125" style="102" customWidth="1"/>
    <col min="8965" max="8965" width="16.85546875" style="102" customWidth="1"/>
    <col min="8966" max="8966" width="18" style="102" customWidth="1"/>
    <col min="8967" max="8967" width="18.140625" style="102" customWidth="1"/>
    <col min="8968" max="8968" width="16.28515625" style="102" customWidth="1"/>
    <col min="8969" max="8969" width="14.85546875" style="102" customWidth="1"/>
    <col min="8970" max="8970" width="17.7109375" style="102" customWidth="1"/>
    <col min="8971" max="8971" width="14.85546875" style="102" customWidth="1"/>
    <col min="8972" max="8972" width="17.28515625" style="102" customWidth="1"/>
    <col min="8973" max="8973" width="11.85546875" style="102" customWidth="1"/>
    <col min="8974" max="8974" width="15.85546875" style="102" customWidth="1"/>
    <col min="8975" max="9216" width="11.42578125" style="102"/>
    <col min="9217" max="9217" width="7.85546875" style="102" customWidth="1"/>
    <col min="9218" max="9218" width="42.42578125" style="102" customWidth="1"/>
    <col min="9219" max="9219" width="16.42578125" style="102" customWidth="1"/>
    <col min="9220" max="9220" width="15.42578125" style="102" customWidth="1"/>
    <col min="9221" max="9221" width="16.85546875" style="102" customWidth="1"/>
    <col min="9222" max="9222" width="18" style="102" customWidth="1"/>
    <col min="9223" max="9223" width="18.140625" style="102" customWidth="1"/>
    <col min="9224" max="9224" width="16.28515625" style="102" customWidth="1"/>
    <col min="9225" max="9225" width="14.85546875" style="102" customWidth="1"/>
    <col min="9226" max="9226" width="17.7109375" style="102" customWidth="1"/>
    <col min="9227" max="9227" width="14.85546875" style="102" customWidth="1"/>
    <col min="9228" max="9228" width="17.28515625" style="102" customWidth="1"/>
    <col min="9229" max="9229" width="11.85546875" style="102" customWidth="1"/>
    <col min="9230" max="9230" width="15.85546875" style="102" customWidth="1"/>
    <col min="9231" max="9472" width="11.42578125" style="102"/>
    <col min="9473" max="9473" width="7.85546875" style="102" customWidth="1"/>
    <col min="9474" max="9474" width="42.42578125" style="102" customWidth="1"/>
    <col min="9475" max="9475" width="16.42578125" style="102" customWidth="1"/>
    <col min="9476" max="9476" width="15.42578125" style="102" customWidth="1"/>
    <col min="9477" max="9477" width="16.85546875" style="102" customWidth="1"/>
    <col min="9478" max="9478" width="18" style="102" customWidth="1"/>
    <col min="9479" max="9479" width="18.140625" style="102" customWidth="1"/>
    <col min="9480" max="9480" width="16.28515625" style="102" customWidth="1"/>
    <col min="9481" max="9481" width="14.85546875" style="102" customWidth="1"/>
    <col min="9482" max="9482" width="17.7109375" style="102" customWidth="1"/>
    <col min="9483" max="9483" width="14.85546875" style="102" customWidth="1"/>
    <col min="9484" max="9484" width="17.28515625" style="102" customWidth="1"/>
    <col min="9485" max="9485" width="11.85546875" style="102" customWidth="1"/>
    <col min="9486" max="9486" width="15.85546875" style="102" customWidth="1"/>
    <col min="9487" max="9728" width="11.42578125" style="102"/>
    <col min="9729" max="9729" width="7.85546875" style="102" customWidth="1"/>
    <col min="9730" max="9730" width="42.42578125" style="102" customWidth="1"/>
    <col min="9731" max="9731" width="16.42578125" style="102" customWidth="1"/>
    <col min="9732" max="9732" width="15.42578125" style="102" customWidth="1"/>
    <col min="9733" max="9733" width="16.85546875" style="102" customWidth="1"/>
    <col min="9734" max="9734" width="18" style="102" customWidth="1"/>
    <col min="9735" max="9735" width="18.140625" style="102" customWidth="1"/>
    <col min="9736" max="9736" width="16.28515625" style="102" customWidth="1"/>
    <col min="9737" max="9737" width="14.85546875" style="102" customWidth="1"/>
    <col min="9738" max="9738" width="17.7109375" style="102" customWidth="1"/>
    <col min="9739" max="9739" width="14.85546875" style="102" customWidth="1"/>
    <col min="9740" max="9740" width="17.28515625" style="102" customWidth="1"/>
    <col min="9741" max="9741" width="11.85546875" style="102" customWidth="1"/>
    <col min="9742" max="9742" width="15.85546875" style="102" customWidth="1"/>
    <col min="9743" max="9984" width="11.42578125" style="102"/>
    <col min="9985" max="9985" width="7.85546875" style="102" customWidth="1"/>
    <col min="9986" max="9986" width="42.42578125" style="102" customWidth="1"/>
    <col min="9987" max="9987" width="16.42578125" style="102" customWidth="1"/>
    <col min="9988" max="9988" width="15.42578125" style="102" customWidth="1"/>
    <col min="9989" max="9989" width="16.85546875" style="102" customWidth="1"/>
    <col min="9990" max="9990" width="18" style="102" customWidth="1"/>
    <col min="9991" max="9991" width="18.140625" style="102" customWidth="1"/>
    <col min="9992" max="9992" width="16.28515625" style="102" customWidth="1"/>
    <col min="9993" max="9993" width="14.85546875" style="102" customWidth="1"/>
    <col min="9994" max="9994" width="17.7109375" style="102" customWidth="1"/>
    <col min="9995" max="9995" width="14.85546875" style="102" customWidth="1"/>
    <col min="9996" max="9996" width="17.28515625" style="102" customWidth="1"/>
    <col min="9997" max="9997" width="11.85546875" style="102" customWidth="1"/>
    <col min="9998" max="9998" width="15.85546875" style="102" customWidth="1"/>
    <col min="9999" max="10240" width="11.42578125" style="102"/>
    <col min="10241" max="10241" width="7.85546875" style="102" customWidth="1"/>
    <col min="10242" max="10242" width="42.42578125" style="102" customWidth="1"/>
    <col min="10243" max="10243" width="16.42578125" style="102" customWidth="1"/>
    <col min="10244" max="10244" width="15.42578125" style="102" customWidth="1"/>
    <col min="10245" max="10245" width="16.85546875" style="102" customWidth="1"/>
    <col min="10246" max="10246" width="18" style="102" customWidth="1"/>
    <col min="10247" max="10247" width="18.140625" style="102" customWidth="1"/>
    <col min="10248" max="10248" width="16.28515625" style="102" customWidth="1"/>
    <col min="10249" max="10249" width="14.85546875" style="102" customWidth="1"/>
    <col min="10250" max="10250" width="17.7109375" style="102" customWidth="1"/>
    <col min="10251" max="10251" width="14.85546875" style="102" customWidth="1"/>
    <col min="10252" max="10252" width="17.28515625" style="102" customWidth="1"/>
    <col min="10253" max="10253" width="11.85546875" style="102" customWidth="1"/>
    <col min="10254" max="10254" width="15.85546875" style="102" customWidth="1"/>
    <col min="10255" max="10496" width="11.42578125" style="102"/>
    <col min="10497" max="10497" width="7.85546875" style="102" customWidth="1"/>
    <col min="10498" max="10498" width="42.42578125" style="102" customWidth="1"/>
    <col min="10499" max="10499" width="16.42578125" style="102" customWidth="1"/>
    <col min="10500" max="10500" width="15.42578125" style="102" customWidth="1"/>
    <col min="10501" max="10501" width="16.85546875" style="102" customWidth="1"/>
    <col min="10502" max="10502" width="18" style="102" customWidth="1"/>
    <col min="10503" max="10503" width="18.140625" style="102" customWidth="1"/>
    <col min="10504" max="10504" width="16.28515625" style="102" customWidth="1"/>
    <col min="10505" max="10505" width="14.85546875" style="102" customWidth="1"/>
    <col min="10506" max="10506" width="17.7109375" style="102" customWidth="1"/>
    <col min="10507" max="10507" width="14.85546875" style="102" customWidth="1"/>
    <col min="10508" max="10508" width="17.28515625" style="102" customWidth="1"/>
    <col min="10509" max="10509" width="11.85546875" style="102" customWidth="1"/>
    <col min="10510" max="10510" width="15.85546875" style="102" customWidth="1"/>
    <col min="10511" max="10752" width="11.42578125" style="102"/>
    <col min="10753" max="10753" width="7.85546875" style="102" customWidth="1"/>
    <col min="10754" max="10754" width="42.42578125" style="102" customWidth="1"/>
    <col min="10755" max="10755" width="16.42578125" style="102" customWidth="1"/>
    <col min="10756" max="10756" width="15.42578125" style="102" customWidth="1"/>
    <col min="10757" max="10757" width="16.85546875" style="102" customWidth="1"/>
    <col min="10758" max="10758" width="18" style="102" customWidth="1"/>
    <col min="10759" max="10759" width="18.140625" style="102" customWidth="1"/>
    <col min="10760" max="10760" width="16.28515625" style="102" customWidth="1"/>
    <col min="10761" max="10761" width="14.85546875" style="102" customWidth="1"/>
    <col min="10762" max="10762" width="17.7109375" style="102" customWidth="1"/>
    <col min="10763" max="10763" width="14.85546875" style="102" customWidth="1"/>
    <col min="10764" max="10764" width="17.28515625" style="102" customWidth="1"/>
    <col min="10765" max="10765" width="11.85546875" style="102" customWidth="1"/>
    <col min="10766" max="10766" width="15.85546875" style="102" customWidth="1"/>
    <col min="10767" max="11008" width="11.42578125" style="102"/>
    <col min="11009" max="11009" width="7.85546875" style="102" customWidth="1"/>
    <col min="11010" max="11010" width="42.42578125" style="102" customWidth="1"/>
    <col min="11011" max="11011" width="16.42578125" style="102" customWidth="1"/>
    <col min="11012" max="11012" width="15.42578125" style="102" customWidth="1"/>
    <col min="11013" max="11013" width="16.85546875" style="102" customWidth="1"/>
    <col min="11014" max="11014" width="18" style="102" customWidth="1"/>
    <col min="11015" max="11015" width="18.140625" style="102" customWidth="1"/>
    <col min="11016" max="11016" width="16.28515625" style="102" customWidth="1"/>
    <col min="11017" max="11017" width="14.85546875" style="102" customWidth="1"/>
    <col min="11018" max="11018" width="17.7109375" style="102" customWidth="1"/>
    <col min="11019" max="11019" width="14.85546875" style="102" customWidth="1"/>
    <col min="11020" max="11020" width="17.28515625" style="102" customWidth="1"/>
    <col min="11021" max="11021" width="11.85546875" style="102" customWidth="1"/>
    <col min="11022" max="11022" width="15.85546875" style="102" customWidth="1"/>
    <col min="11023" max="11264" width="11.42578125" style="102"/>
    <col min="11265" max="11265" width="7.85546875" style="102" customWidth="1"/>
    <col min="11266" max="11266" width="42.42578125" style="102" customWidth="1"/>
    <col min="11267" max="11267" width="16.42578125" style="102" customWidth="1"/>
    <col min="11268" max="11268" width="15.42578125" style="102" customWidth="1"/>
    <col min="11269" max="11269" width="16.85546875" style="102" customWidth="1"/>
    <col min="11270" max="11270" width="18" style="102" customWidth="1"/>
    <col min="11271" max="11271" width="18.140625" style="102" customWidth="1"/>
    <col min="11272" max="11272" width="16.28515625" style="102" customWidth="1"/>
    <col min="11273" max="11273" width="14.85546875" style="102" customWidth="1"/>
    <col min="11274" max="11274" width="17.7109375" style="102" customWidth="1"/>
    <col min="11275" max="11275" width="14.85546875" style="102" customWidth="1"/>
    <col min="11276" max="11276" width="17.28515625" style="102" customWidth="1"/>
    <col min="11277" max="11277" width="11.85546875" style="102" customWidth="1"/>
    <col min="11278" max="11278" width="15.85546875" style="102" customWidth="1"/>
    <col min="11279" max="11520" width="11.42578125" style="102"/>
    <col min="11521" max="11521" width="7.85546875" style="102" customWidth="1"/>
    <col min="11522" max="11522" width="42.42578125" style="102" customWidth="1"/>
    <col min="11523" max="11523" width="16.42578125" style="102" customWidth="1"/>
    <col min="11524" max="11524" width="15.42578125" style="102" customWidth="1"/>
    <col min="11525" max="11525" width="16.85546875" style="102" customWidth="1"/>
    <col min="11526" max="11526" width="18" style="102" customWidth="1"/>
    <col min="11527" max="11527" width="18.140625" style="102" customWidth="1"/>
    <col min="11528" max="11528" width="16.28515625" style="102" customWidth="1"/>
    <col min="11529" max="11529" width="14.85546875" style="102" customWidth="1"/>
    <col min="11530" max="11530" width="17.7109375" style="102" customWidth="1"/>
    <col min="11531" max="11531" width="14.85546875" style="102" customWidth="1"/>
    <col min="11532" max="11532" width="17.28515625" style="102" customWidth="1"/>
    <col min="11533" max="11533" width="11.85546875" style="102" customWidth="1"/>
    <col min="11534" max="11534" width="15.85546875" style="102" customWidth="1"/>
    <col min="11535" max="11776" width="11.42578125" style="102"/>
    <col min="11777" max="11777" width="7.85546875" style="102" customWidth="1"/>
    <col min="11778" max="11778" width="42.42578125" style="102" customWidth="1"/>
    <col min="11779" max="11779" width="16.42578125" style="102" customWidth="1"/>
    <col min="11780" max="11780" width="15.42578125" style="102" customWidth="1"/>
    <col min="11781" max="11781" width="16.85546875" style="102" customWidth="1"/>
    <col min="11782" max="11782" width="18" style="102" customWidth="1"/>
    <col min="11783" max="11783" width="18.140625" style="102" customWidth="1"/>
    <col min="11784" max="11784" width="16.28515625" style="102" customWidth="1"/>
    <col min="11785" max="11785" width="14.85546875" style="102" customWidth="1"/>
    <col min="11786" max="11786" width="17.7109375" style="102" customWidth="1"/>
    <col min="11787" max="11787" width="14.85546875" style="102" customWidth="1"/>
    <col min="11788" max="11788" width="17.28515625" style="102" customWidth="1"/>
    <col min="11789" max="11789" width="11.85546875" style="102" customWidth="1"/>
    <col min="11790" max="11790" width="15.85546875" style="102" customWidth="1"/>
    <col min="11791" max="12032" width="11.42578125" style="102"/>
    <col min="12033" max="12033" width="7.85546875" style="102" customWidth="1"/>
    <col min="12034" max="12034" width="42.42578125" style="102" customWidth="1"/>
    <col min="12035" max="12035" width="16.42578125" style="102" customWidth="1"/>
    <col min="12036" max="12036" width="15.42578125" style="102" customWidth="1"/>
    <col min="12037" max="12037" width="16.85546875" style="102" customWidth="1"/>
    <col min="12038" max="12038" width="18" style="102" customWidth="1"/>
    <col min="12039" max="12039" width="18.140625" style="102" customWidth="1"/>
    <col min="12040" max="12040" width="16.28515625" style="102" customWidth="1"/>
    <col min="12041" max="12041" width="14.85546875" style="102" customWidth="1"/>
    <col min="12042" max="12042" width="17.7109375" style="102" customWidth="1"/>
    <col min="12043" max="12043" width="14.85546875" style="102" customWidth="1"/>
    <col min="12044" max="12044" width="17.28515625" style="102" customWidth="1"/>
    <col min="12045" max="12045" width="11.85546875" style="102" customWidth="1"/>
    <col min="12046" max="12046" width="15.85546875" style="102" customWidth="1"/>
    <col min="12047" max="12288" width="11.42578125" style="102"/>
    <col min="12289" max="12289" width="7.85546875" style="102" customWidth="1"/>
    <col min="12290" max="12290" width="42.42578125" style="102" customWidth="1"/>
    <col min="12291" max="12291" width="16.42578125" style="102" customWidth="1"/>
    <col min="12292" max="12292" width="15.42578125" style="102" customWidth="1"/>
    <col min="12293" max="12293" width="16.85546875" style="102" customWidth="1"/>
    <col min="12294" max="12294" width="18" style="102" customWidth="1"/>
    <col min="12295" max="12295" width="18.140625" style="102" customWidth="1"/>
    <col min="12296" max="12296" width="16.28515625" style="102" customWidth="1"/>
    <col min="12297" max="12297" width="14.85546875" style="102" customWidth="1"/>
    <col min="12298" max="12298" width="17.7109375" style="102" customWidth="1"/>
    <col min="12299" max="12299" width="14.85546875" style="102" customWidth="1"/>
    <col min="12300" max="12300" width="17.28515625" style="102" customWidth="1"/>
    <col min="12301" max="12301" width="11.85546875" style="102" customWidth="1"/>
    <col min="12302" max="12302" width="15.85546875" style="102" customWidth="1"/>
    <col min="12303" max="12544" width="11.42578125" style="102"/>
    <col min="12545" max="12545" width="7.85546875" style="102" customWidth="1"/>
    <col min="12546" max="12546" width="42.42578125" style="102" customWidth="1"/>
    <col min="12547" max="12547" width="16.42578125" style="102" customWidth="1"/>
    <col min="12548" max="12548" width="15.42578125" style="102" customWidth="1"/>
    <col min="12549" max="12549" width="16.85546875" style="102" customWidth="1"/>
    <col min="12550" max="12550" width="18" style="102" customWidth="1"/>
    <col min="12551" max="12551" width="18.140625" style="102" customWidth="1"/>
    <col min="12552" max="12552" width="16.28515625" style="102" customWidth="1"/>
    <col min="12553" max="12553" width="14.85546875" style="102" customWidth="1"/>
    <col min="12554" max="12554" width="17.7109375" style="102" customWidth="1"/>
    <col min="12555" max="12555" width="14.85546875" style="102" customWidth="1"/>
    <col min="12556" max="12556" width="17.28515625" style="102" customWidth="1"/>
    <col min="12557" max="12557" width="11.85546875" style="102" customWidth="1"/>
    <col min="12558" max="12558" width="15.85546875" style="102" customWidth="1"/>
    <col min="12559" max="12800" width="11.42578125" style="102"/>
    <col min="12801" max="12801" width="7.85546875" style="102" customWidth="1"/>
    <col min="12802" max="12802" width="42.42578125" style="102" customWidth="1"/>
    <col min="12803" max="12803" width="16.42578125" style="102" customWidth="1"/>
    <col min="12804" max="12804" width="15.42578125" style="102" customWidth="1"/>
    <col min="12805" max="12805" width="16.85546875" style="102" customWidth="1"/>
    <col min="12806" max="12806" width="18" style="102" customWidth="1"/>
    <col min="12807" max="12807" width="18.140625" style="102" customWidth="1"/>
    <col min="12808" max="12808" width="16.28515625" style="102" customWidth="1"/>
    <col min="12809" max="12809" width="14.85546875" style="102" customWidth="1"/>
    <col min="12810" max="12810" width="17.7109375" style="102" customWidth="1"/>
    <col min="12811" max="12811" width="14.85546875" style="102" customWidth="1"/>
    <col min="12812" max="12812" width="17.28515625" style="102" customWidth="1"/>
    <col min="12813" max="12813" width="11.85546875" style="102" customWidth="1"/>
    <col min="12814" max="12814" width="15.85546875" style="102" customWidth="1"/>
    <col min="12815" max="13056" width="11.42578125" style="102"/>
    <col min="13057" max="13057" width="7.85546875" style="102" customWidth="1"/>
    <col min="13058" max="13058" width="42.42578125" style="102" customWidth="1"/>
    <col min="13059" max="13059" width="16.42578125" style="102" customWidth="1"/>
    <col min="13060" max="13060" width="15.42578125" style="102" customWidth="1"/>
    <col min="13061" max="13061" width="16.85546875" style="102" customWidth="1"/>
    <col min="13062" max="13062" width="18" style="102" customWidth="1"/>
    <col min="13063" max="13063" width="18.140625" style="102" customWidth="1"/>
    <col min="13064" max="13064" width="16.28515625" style="102" customWidth="1"/>
    <col min="13065" max="13065" width="14.85546875" style="102" customWidth="1"/>
    <col min="13066" max="13066" width="17.7109375" style="102" customWidth="1"/>
    <col min="13067" max="13067" width="14.85546875" style="102" customWidth="1"/>
    <col min="13068" max="13068" width="17.28515625" style="102" customWidth="1"/>
    <col min="13069" max="13069" width="11.85546875" style="102" customWidth="1"/>
    <col min="13070" max="13070" width="15.85546875" style="102" customWidth="1"/>
    <col min="13071" max="13312" width="11.42578125" style="102"/>
    <col min="13313" max="13313" width="7.85546875" style="102" customWidth="1"/>
    <col min="13314" max="13314" width="42.42578125" style="102" customWidth="1"/>
    <col min="13315" max="13315" width="16.42578125" style="102" customWidth="1"/>
    <col min="13316" max="13316" width="15.42578125" style="102" customWidth="1"/>
    <col min="13317" max="13317" width="16.85546875" style="102" customWidth="1"/>
    <col min="13318" max="13318" width="18" style="102" customWidth="1"/>
    <col min="13319" max="13319" width="18.140625" style="102" customWidth="1"/>
    <col min="13320" max="13320" width="16.28515625" style="102" customWidth="1"/>
    <col min="13321" max="13321" width="14.85546875" style="102" customWidth="1"/>
    <col min="13322" max="13322" width="17.7109375" style="102" customWidth="1"/>
    <col min="13323" max="13323" width="14.85546875" style="102" customWidth="1"/>
    <col min="13324" max="13324" width="17.28515625" style="102" customWidth="1"/>
    <col min="13325" max="13325" width="11.85546875" style="102" customWidth="1"/>
    <col min="13326" max="13326" width="15.85546875" style="102" customWidth="1"/>
    <col min="13327" max="13568" width="11.42578125" style="102"/>
    <col min="13569" max="13569" width="7.85546875" style="102" customWidth="1"/>
    <col min="13570" max="13570" width="42.42578125" style="102" customWidth="1"/>
    <col min="13571" max="13571" width="16.42578125" style="102" customWidth="1"/>
    <col min="13572" max="13572" width="15.42578125" style="102" customWidth="1"/>
    <col min="13573" max="13573" width="16.85546875" style="102" customWidth="1"/>
    <col min="13574" max="13574" width="18" style="102" customWidth="1"/>
    <col min="13575" max="13575" width="18.140625" style="102" customWidth="1"/>
    <col min="13576" max="13576" width="16.28515625" style="102" customWidth="1"/>
    <col min="13577" max="13577" width="14.85546875" style="102" customWidth="1"/>
    <col min="13578" max="13578" width="17.7109375" style="102" customWidth="1"/>
    <col min="13579" max="13579" width="14.85546875" style="102" customWidth="1"/>
    <col min="13580" max="13580" width="17.28515625" style="102" customWidth="1"/>
    <col min="13581" max="13581" width="11.85546875" style="102" customWidth="1"/>
    <col min="13582" max="13582" width="15.85546875" style="102" customWidth="1"/>
    <col min="13583" max="13824" width="11.42578125" style="102"/>
    <col min="13825" max="13825" width="7.85546875" style="102" customWidth="1"/>
    <col min="13826" max="13826" width="42.42578125" style="102" customWidth="1"/>
    <col min="13827" max="13827" width="16.42578125" style="102" customWidth="1"/>
    <col min="13828" max="13828" width="15.42578125" style="102" customWidth="1"/>
    <col min="13829" max="13829" width="16.85546875" style="102" customWidth="1"/>
    <col min="13830" max="13830" width="18" style="102" customWidth="1"/>
    <col min="13831" max="13831" width="18.140625" style="102" customWidth="1"/>
    <col min="13832" max="13832" width="16.28515625" style="102" customWidth="1"/>
    <col min="13833" max="13833" width="14.85546875" style="102" customWidth="1"/>
    <col min="13834" max="13834" width="17.7109375" style="102" customWidth="1"/>
    <col min="13835" max="13835" width="14.85546875" style="102" customWidth="1"/>
    <col min="13836" max="13836" width="17.28515625" style="102" customWidth="1"/>
    <col min="13837" max="13837" width="11.85546875" style="102" customWidth="1"/>
    <col min="13838" max="13838" width="15.85546875" style="102" customWidth="1"/>
    <col min="13839" max="14080" width="11.42578125" style="102"/>
    <col min="14081" max="14081" width="7.85546875" style="102" customWidth="1"/>
    <col min="14082" max="14082" width="42.42578125" style="102" customWidth="1"/>
    <col min="14083" max="14083" width="16.42578125" style="102" customWidth="1"/>
    <col min="14084" max="14084" width="15.42578125" style="102" customWidth="1"/>
    <col min="14085" max="14085" width="16.85546875" style="102" customWidth="1"/>
    <col min="14086" max="14086" width="18" style="102" customWidth="1"/>
    <col min="14087" max="14087" width="18.140625" style="102" customWidth="1"/>
    <col min="14088" max="14088" width="16.28515625" style="102" customWidth="1"/>
    <col min="14089" max="14089" width="14.85546875" style="102" customWidth="1"/>
    <col min="14090" max="14090" width="17.7109375" style="102" customWidth="1"/>
    <col min="14091" max="14091" width="14.85546875" style="102" customWidth="1"/>
    <col min="14092" max="14092" width="17.28515625" style="102" customWidth="1"/>
    <col min="14093" max="14093" width="11.85546875" style="102" customWidth="1"/>
    <col min="14094" max="14094" width="15.85546875" style="102" customWidth="1"/>
    <col min="14095" max="14336" width="11.42578125" style="102"/>
    <col min="14337" max="14337" width="7.85546875" style="102" customWidth="1"/>
    <col min="14338" max="14338" width="42.42578125" style="102" customWidth="1"/>
    <col min="14339" max="14339" width="16.42578125" style="102" customWidth="1"/>
    <col min="14340" max="14340" width="15.42578125" style="102" customWidth="1"/>
    <col min="14341" max="14341" width="16.85546875" style="102" customWidth="1"/>
    <col min="14342" max="14342" width="18" style="102" customWidth="1"/>
    <col min="14343" max="14343" width="18.140625" style="102" customWidth="1"/>
    <col min="14344" max="14344" width="16.28515625" style="102" customWidth="1"/>
    <col min="14345" max="14345" width="14.85546875" style="102" customWidth="1"/>
    <col min="14346" max="14346" width="17.7109375" style="102" customWidth="1"/>
    <col min="14347" max="14347" width="14.85546875" style="102" customWidth="1"/>
    <col min="14348" max="14348" width="17.28515625" style="102" customWidth="1"/>
    <col min="14349" max="14349" width="11.85546875" style="102" customWidth="1"/>
    <col min="14350" max="14350" width="15.85546875" style="102" customWidth="1"/>
    <col min="14351" max="14592" width="11.42578125" style="102"/>
    <col min="14593" max="14593" width="7.85546875" style="102" customWidth="1"/>
    <col min="14594" max="14594" width="42.42578125" style="102" customWidth="1"/>
    <col min="14595" max="14595" width="16.42578125" style="102" customWidth="1"/>
    <col min="14596" max="14596" width="15.42578125" style="102" customWidth="1"/>
    <col min="14597" max="14597" width="16.85546875" style="102" customWidth="1"/>
    <col min="14598" max="14598" width="18" style="102" customWidth="1"/>
    <col min="14599" max="14599" width="18.140625" style="102" customWidth="1"/>
    <col min="14600" max="14600" width="16.28515625" style="102" customWidth="1"/>
    <col min="14601" max="14601" width="14.85546875" style="102" customWidth="1"/>
    <col min="14602" max="14602" width="17.7109375" style="102" customWidth="1"/>
    <col min="14603" max="14603" width="14.85546875" style="102" customWidth="1"/>
    <col min="14604" max="14604" width="17.28515625" style="102" customWidth="1"/>
    <col min="14605" max="14605" width="11.85546875" style="102" customWidth="1"/>
    <col min="14606" max="14606" width="15.85546875" style="102" customWidth="1"/>
    <col min="14607" max="14848" width="11.42578125" style="102"/>
    <col min="14849" max="14849" width="7.85546875" style="102" customWidth="1"/>
    <col min="14850" max="14850" width="42.42578125" style="102" customWidth="1"/>
    <col min="14851" max="14851" width="16.42578125" style="102" customWidth="1"/>
    <col min="14852" max="14852" width="15.42578125" style="102" customWidth="1"/>
    <col min="14853" max="14853" width="16.85546875" style="102" customWidth="1"/>
    <col min="14854" max="14854" width="18" style="102" customWidth="1"/>
    <col min="14855" max="14855" width="18.140625" style="102" customWidth="1"/>
    <col min="14856" max="14856" width="16.28515625" style="102" customWidth="1"/>
    <col min="14857" max="14857" width="14.85546875" style="102" customWidth="1"/>
    <col min="14858" max="14858" width="17.7109375" style="102" customWidth="1"/>
    <col min="14859" max="14859" width="14.85546875" style="102" customWidth="1"/>
    <col min="14860" max="14860" width="17.28515625" style="102" customWidth="1"/>
    <col min="14861" max="14861" width="11.85546875" style="102" customWidth="1"/>
    <col min="14862" max="14862" width="15.85546875" style="102" customWidth="1"/>
    <col min="14863" max="15104" width="11.42578125" style="102"/>
    <col min="15105" max="15105" width="7.85546875" style="102" customWidth="1"/>
    <col min="15106" max="15106" width="42.42578125" style="102" customWidth="1"/>
    <col min="15107" max="15107" width="16.42578125" style="102" customWidth="1"/>
    <col min="15108" max="15108" width="15.42578125" style="102" customWidth="1"/>
    <col min="15109" max="15109" width="16.85546875" style="102" customWidth="1"/>
    <col min="15110" max="15110" width="18" style="102" customWidth="1"/>
    <col min="15111" max="15111" width="18.140625" style="102" customWidth="1"/>
    <col min="15112" max="15112" width="16.28515625" style="102" customWidth="1"/>
    <col min="15113" max="15113" width="14.85546875" style="102" customWidth="1"/>
    <col min="15114" max="15114" width="17.7109375" style="102" customWidth="1"/>
    <col min="15115" max="15115" width="14.85546875" style="102" customWidth="1"/>
    <col min="15116" max="15116" width="17.28515625" style="102" customWidth="1"/>
    <col min="15117" max="15117" width="11.85546875" style="102" customWidth="1"/>
    <col min="15118" max="15118" width="15.85546875" style="102" customWidth="1"/>
    <col min="15119" max="15360" width="11.42578125" style="102"/>
    <col min="15361" max="15361" width="7.85546875" style="102" customWidth="1"/>
    <col min="15362" max="15362" width="42.42578125" style="102" customWidth="1"/>
    <col min="15363" max="15363" width="16.42578125" style="102" customWidth="1"/>
    <col min="15364" max="15364" width="15.42578125" style="102" customWidth="1"/>
    <col min="15365" max="15365" width="16.85546875" style="102" customWidth="1"/>
    <col min="15366" max="15366" width="18" style="102" customWidth="1"/>
    <col min="15367" max="15367" width="18.140625" style="102" customWidth="1"/>
    <col min="15368" max="15368" width="16.28515625" style="102" customWidth="1"/>
    <col min="15369" max="15369" width="14.85546875" style="102" customWidth="1"/>
    <col min="15370" max="15370" width="17.7109375" style="102" customWidth="1"/>
    <col min="15371" max="15371" width="14.85546875" style="102" customWidth="1"/>
    <col min="15372" max="15372" width="17.28515625" style="102" customWidth="1"/>
    <col min="15373" max="15373" width="11.85546875" style="102" customWidth="1"/>
    <col min="15374" max="15374" width="15.85546875" style="102" customWidth="1"/>
    <col min="15375" max="15616" width="11.42578125" style="102"/>
    <col min="15617" max="15617" width="7.85546875" style="102" customWidth="1"/>
    <col min="15618" max="15618" width="42.42578125" style="102" customWidth="1"/>
    <col min="15619" max="15619" width="16.42578125" style="102" customWidth="1"/>
    <col min="15620" max="15620" width="15.42578125" style="102" customWidth="1"/>
    <col min="15621" max="15621" width="16.85546875" style="102" customWidth="1"/>
    <col min="15622" max="15622" width="18" style="102" customWidth="1"/>
    <col min="15623" max="15623" width="18.140625" style="102" customWidth="1"/>
    <col min="15624" max="15624" width="16.28515625" style="102" customWidth="1"/>
    <col min="15625" max="15625" width="14.85546875" style="102" customWidth="1"/>
    <col min="15626" max="15626" width="17.7109375" style="102" customWidth="1"/>
    <col min="15627" max="15627" width="14.85546875" style="102" customWidth="1"/>
    <col min="15628" max="15628" width="17.28515625" style="102" customWidth="1"/>
    <col min="15629" max="15629" width="11.85546875" style="102" customWidth="1"/>
    <col min="15630" max="15630" width="15.85546875" style="102" customWidth="1"/>
    <col min="15631" max="15872" width="11.42578125" style="102"/>
    <col min="15873" max="15873" width="7.85546875" style="102" customWidth="1"/>
    <col min="15874" max="15874" width="42.42578125" style="102" customWidth="1"/>
    <col min="15875" max="15875" width="16.42578125" style="102" customWidth="1"/>
    <col min="15876" max="15876" width="15.42578125" style="102" customWidth="1"/>
    <col min="15877" max="15877" width="16.85546875" style="102" customWidth="1"/>
    <col min="15878" max="15878" width="18" style="102" customWidth="1"/>
    <col min="15879" max="15879" width="18.140625" style="102" customWidth="1"/>
    <col min="15880" max="15880" width="16.28515625" style="102" customWidth="1"/>
    <col min="15881" max="15881" width="14.85546875" style="102" customWidth="1"/>
    <col min="15882" max="15882" width="17.7109375" style="102" customWidth="1"/>
    <col min="15883" max="15883" width="14.85546875" style="102" customWidth="1"/>
    <col min="15884" max="15884" width="17.28515625" style="102" customWidth="1"/>
    <col min="15885" max="15885" width="11.85546875" style="102" customWidth="1"/>
    <col min="15886" max="15886" width="15.85546875" style="102" customWidth="1"/>
    <col min="15887" max="16128" width="11.42578125" style="102"/>
    <col min="16129" max="16129" width="7.85546875" style="102" customWidth="1"/>
    <col min="16130" max="16130" width="42.42578125" style="102" customWidth="1"/>
    <col min="16131" max="16131" width="16.42578125" style="102" customWidth="1"/>
    <col min="16132" max="16132" width="15.42578125" style="102" customWidth="1"/>
    <col min="16133" max="16133" width="16.85546875" style="102" customWidth="1"/>
    <col min="16134" max="16134" width="18" style="102" customWidth="1"/>
    <col min="16135" max="16135" width="18.140625" style="102" customWidth="1"/>
    <col min="16136" max="16136" width="16.28515625" style="102" customWidth="1"/>
    <col min="16137" max="16137" width="14.85546875" style="102" customWidth="1"/>
    <col min="16138" max="16138" width="17.7109375" style="102" customWidth="1"/>
    <col min="16139" max="16139" width="14.85546875" style="102" customWidth="1"/>
    <col min="16140" max="16140" width="17.28515625" style="102" customWidth="1"/>
    <col min="16141" max="16141" width="11.85546875" style="102" customWidth="1"/>
    <col min="16142" max="16142" width="15.85546875" style="102" customWidth="1"/>
    <col min="16143" max="16384" width="11.42578125" style="102"/>
  </cols>
  <sheetData>
    <row r="4" spans="1:5" ht="13.5" thickBot="1">
      <c r="A4" s="249" t="s">
        <v>410</v>
      </c>
      <c r="B4" s="250"/>
      <c r="C4" s="250"/>
      <c r="D4" s="250"/>
      <c r="E4" s="251"/>
    </row>
    <row r="5" spans="1:5" ht="13.5" thickBot="1"/>
    <row r="6" spans="1:5" ht="13.5" thickBot="1">
      <c r="A6" s="103" t="s">
        <v>411</v>
      </c>
      <c r="B6" s="103" t="s">
        <v>412</v>
      </c>
      <c r="C6" s="103" t="s">
        <v>413</v>
      </c>
      <c r="D6" s="103" t="s">
        <v>414</v>
      </c>
      <c r="E6" s="103" t="s">
        <v>415</v>
      </c>
    </row>
    <row r="7" spans="1:5">
      <c r="A7" s="104">
        <v>1</v>
      </c>
      <c r="B7" s="105" t="s">
        <v>25</v>
      </c>
      <c r="C7" s="106" t="s">
        <v>406</v>
      </c>
      <c r="D7" s="107">
        <v>2761.4374999999995</v>
      </c>
      <c r="E7" s="108">
        <v>9775</v>
      </c>
    </row>
    <row r="8" spans="1:5">
      <c r="A8" s="109">
        <v>2</v>
      </c>
      <c r="B8" s="110" t="s">
        <v>416</v>
      </c>
      <c r="C8" s="111" t="s">
        <v>406</v>
      </c>
      <c r="D8" s="112">
        <v>81218.749999999985</v>
      </c>
      <c r="E8" s="113">
        <v>287500</v>
      </c>
    </row>
    <row r="9" spans="1:5">
      <c r="A9" s="109">
        <v>3</v>
      </c>
      <c r="B9" s="110" t="s">
        <v>417</v>
      </c>
      <c r="C9" s="111" t="s">
        <v>406</v>
      </c>
      <c r="D9" s="112">
        <v>194924.99999999997</v>
      </c>
      <c r="E9" s="113">
        <v>690000</v>
      </c>
    </row>
    <row r="10" spans="1:5">
      <c r="A10" s="109">
        <v>4</v>
      </c>
      <c r="B10" s="110" t="s">
        <v>418</v>
      </c>
      <c r="C10" s="111" t="s">
        <v>406</v>
      </c>
      <c r="D10" s="112">
        <v>113706.24999999999</v>
      </c>
      <c r="E10" s="113">
        <v>402500</v>
      </c>
    </row>
    <row r="11" spans="1:5">
      <c r="A11" s="109">
        <v>5</v>
      </c>
      <c r="B11" s="110" t="s">
        <v>416</v>
      </c>
      <c r="C11" s="111" t="s">
        <v>406</v>
      </c>
      <c r="D11" s="112">
        <v>81218.749999999985</v>
      </c>
      <c r="E11" s="113">
        <v>287500</v>
      </c>
    </row>
    <row r="12" spans="1:5">
      <c r="A12" s="109">
        <v>6</v>
      </c>
      <c r="B12" s="110" t="s">
        <v>419</v>
      </c>
      <c r="C12" s="111" t="s">
        <v>406</v>
      </c>
      <c r="D12" s="112">
        <v>81218.749999999985</v>
      </c>
      <c r="E12" s="113">
        <v>287500</v>
      </c>
    </row>
    <row r="13" spans="1:5">
      <c r="A13" s="109">
        <v>7</v>
      </c>
      <c r="B13" s="110" t="s">
        <v>420</v>
      </c>
      <c r="C13" s="111" t="s">
        <v>406</v>
      </c>
      <c r="D13" s="112">
        <v>97462.499999999985</v>
      </c>
      <c r="E13" s="113">
        <v>345000</v>
      </c>
    </row>
    <row r="14" spans="1:5">
      <c r="A14" s="109">
        <v>8</v>
      </c>
      <c r="B14" s="110" t="s">
        <v>24</v>
      </c>
      <c r="C14" s="111" t="s">
        <v>406</v>
      </c>
      <c r="D14" s="112">
        <v>29238.749999999996</v>
      </c>
      <c r="E14" s="113">
        <v>103500</v>
      </c>
    </row>
    <row r="15" spans="1:5">
      <c r="A15" s="109">
        <v>9</v>
      </c>
      <c r="B15" s="110" t="s">
        <v>421</v>
      </c>
      <c r="C15" s="111" t="s">
        <v>406</v>
      </c>
      <c r="D15" s="112">
        <v>11370.624999999998</v>
      </c>
      <c r="E15" s="113">
        <v>40250</v>
      </c>
    </row>
    <row r="16" spans="1:5">
      <c r="A16" s="109">
        <v>10</v>
      </c>
      <c r="B16" s="110" t="s">
        <v>422</v>
      </c>
      <c r="C16" s="111" t="s">
        <v>406</v>
      </c>
      <c r="D16" s="112">
        <v>4873.1249999999991</v>
      </c>
      <c r="E16" s="113">
        <v>17250</v>
      </c>
    </row>
    <row r="17" spans="1:5">
      <c r="A17" s="109">
        <v>11</v>
      </c>
      <c r="B17" s="110" t="s">
        <v>423</v>
      </c>
      <c r="C17" s="111" t="s">
        <v>406</v>
      </c>
      <c r="D17" s="112">
        <v>6497.4999999999991</v>
      </c>
      <c r="E17" s="113">
        <v>23000</v>
      </c>
    </row>
    <row r="18" spans="1:5">
      <c r="A18" s="109">
        <v>12</v>
      </c>
      <c r="B18" s="110" t="s">
        <v>424</v>
      </c>
      <c r="C18" s="111" t="s">
        <v>406</v>
      </c>
      <c r="D18" s="112">
        <v>11370.624999999998</v>
      </c>
      <c r="E18" s="113">
        <v>40250</v>
      </c>
    </row>
    <row r="19" spans="1:5">
      <c r="A19" s="109">
        <v>13</v>
      </c>
      <c r="B19" s="110" t="s">
        <v>22</v>
      </c>
      <c r="C19" s="111" t="s">
        <v>406</v>
      </c>
      <c r="D19" s="112">
        <v>2436.5624999999995</v>
      </c>
      <c r="E19" s="113">
        <v>8625</v>
      </c>
    </row>
    <row r="20" spans="1:5">
      <c r="A20" s="109">
        <v>14</v>
      </c>
      <c r="B20" s="110" t="s">
        <v>23</v>
      </c>
      <c r="C20" s="114" t="s">
        <v>406</v>
      </c>
      <c r="D20" s="112">
        <v>1461.9374999999998</v>
      </c>
      <c r="E20" s="113">
        <v>5175</v>
      </c>
    </row>
    <row r="21" spans="1:5">
      <c r="A21" s="109">
        <v>15</v>
      </c>
      <c r="B21" s="110" t="s">
        <v>425</v>
      </c>
      <c r="C21" s="111" t="s">
        <v>406</v>
      </c>
      <c r="D21" s="112">
        <v>113706.24999999999</v>
      </c>
      <c r="E21" s="113">
        <v>402500</v>
      </c>
    </row>
    <row r="22" spans="1:5">
      <c r="A22" s="109">
        <v>16</v>
      </c>
      <c r="B22" s="110" t="s">
        <v>426</v>
      </c>
      <c r="C22" s="111" t="s">
        <v>427</v>
      </c>
      <c r="D22" s="112">
        <v>311879.99999999994</v>
      </c>
      <c r="E22" s="113">
        <v>138000</v>
      </c>
    </row>
    <row r="23" spans="1:5">
      <c r="A23" s="109">
        <v>17</v>
      </c>
      <c r="B23" s="110" t="s">
        <v>428</v>
      </c>
      <c r="C23" s="111" t="s">
        <v>429</v>
      </c>
      <c r="D23" s="112">
        <v>142945</v>
      </c>
      <c r="E23" s="113">
        <v>506000</v>
      </c>
    </row>
    <row r="24" spans="1:5">
      <c r="A24" s="109">
        <v>18</v>
      </c>
      <c r="B24" s="110" t="s">
        <v>430</v>
      </c>
      <c r="C24" s="111" t="s">
        <v>429</v>
      </c>
      <c r="D24" s="112">
        <v>168934.99999999997</v>
      </c>
      <c r="E24" s="113">
        <v>598000</v>
      </c>
    </row>
    <row r="25" spans="1:5">
      <c r="A25" s="109">
        <v>19</v>
      </c>
      <c r="B25" s="110" t="s">
        <v>431</v>
      </c>
      <c r="C25" s="111" t="s">
        <v>429</v>
      </c>
      <c r="D25" s="112">
        <v>12994.999999999998</v>
      </c>
      <c r="E25" s="113">
        <v>46000</v>
      </c>
    </row>
    <row r="26" spans="1:5">
      <c r="A26" s="109">
        <v>20</v>
      </c>
      <c r="B26" s="110" t="s">
        <v>432</v>
      </c>
      <c r="C26" s="111" t="s">
        <v>429</v>
      </c>
      <c r="D26" s="112">
        <v>11370.624999999998</v>
      </c>
      <c r="E26" s="113">
        <v>40250</v>
      </c>
    </row>
    <row r="27" spans="1:5">
      <c r="A27" s="109">
        <v>21</v>
      </c>
      <c r="B27" s="110" t="s">
        <v>433</v>
      </c>
      <c r="C27" s="111" t="s">
        <v>429</v>
      </c>
      <c r="D27" s="112">
        <v>16243.749999999998</v>
      </c>
      <c r="E27" s="113">
        <v>57500</v>
      </c>
    </row>
    <row r="28" spans="1:5">
      <c r="A28" s="109">
        <v>22</v>
      </c>
      <c r="B28" s="110" t="s">
        <v>434</v>
      </c>
      <c r="C28" s="111" t="s">
        <v>429</v>
      </c>
      <c r="D28" s="112">
        <v>9746.2499999999982</v>
      </c>
      <c r="E28" s="113">
        <v>34500</v>
      </c>
    </row>
    <row r="29" spans="1:5">
      <c r="A29" s="109">
        <v>23</v>
      </c>
      <c r="B29" s="110" t="s">
        <v>435</v>
      </c>
      <c r="C29" s="111" t="s">
        <v>429</v>
      </c>
      <c r="D29" s="112">
        <v>10395.999999999998</v>
      </c>
      <c r="E29" s="113">
        <v>36800</v>
      </c>
    </row>
    <row r="30" spans="1:5">
      <c r="A30" s="109">
        <v>24</v>
      </c>
      <c r="B30" s="115" t="s">
        <v>436</v>
      </c>
      <c r="C30" s="111" t="s">
        <v>429</v>
      </c>
      <c r="D30" s="112">
        <v>974.62499999999989</v>
      </c>
      <c r="E30" s="113">
        <v>3450</v>
      </c>
    </row>
    <row r="50" spans="1:29" ht="13.5" thickBot="1">
      <c r="A50" s="249" t="s">
        <v>437</v>
      </c>
      <c r="B50" s="250" t="s">
        <v>437</v>
      </c>
      <c r="C50" s="250"/>
      <c r="D50" s="250"/>
      <c r="E50" s="251"/>
    </row>
    <row r="51" spans="1:29">
      <c r="A51" s="109"/>
      <c r="B51" s="115" t="s">
        <v>438</v>
      </c>
      <c r="C51" s="111" t="s">
        <v>439</v>
      </c>
      <c r="D51" s="112">
        <v>90000</v>
      </c>
      <c r="E51" s="113"/>
    </row>
    <row r="52" spans="1:29">
      <c r="A52" s="109"/>
      <c r="B52" s="115" t="s">
        <v>440</v>
      </c>
      <c r="C52" s="111" t="s">
        <v>439</v>
      </c>
      <c r="D52" s="112">
        <v>160000</v>
      </c>
      <c r="E52" s="113"/>
    </row>
    <row r="53" spans="1:29">
      <c r="A53" s="109"/>
      <c r="B53" s="115" t="s">
        <v>441</v>
      </c>
      <c r="C53" s="111" t="s">
        <v>442</v>
      </c>
      <c r="D53" s="112">
        <v>8000</v>
      </c>
      <c r="E53" s="113"/>
    </row>
    <row r="54" spans="1:29">
      <c r="A54" s="109"/>
      <c r="B54" s="115" t="s">
        <v>443</v>
      </c>
      <c r="C54" s="111" t="s">
        <v>439</v>
      </c>
      <c r="D54" s="112">
        <v>32000</v>
      </c>
      <c r="E54" s="113"/>
    </row>
    <row r="55" spans="1:29" ht="13.5" thickBot="1">
      <c r="A55" s="116"/>
      <c r="B55" s="117" t="s">
        <v>444</v>
      </c>
      <c r="C55" s="118" t="s">
        <v>439</v>
      </c>
      <c r="D55" s="119">
        <v>8500</v>
      </c>
      <c r="E55" s="120"/>
    </row>
    <row r="56" spans="1:29">
      <c r="A56" s="121"/>
    </row>
    <row r="57" spans="1:29" ht="19.5" customHeight="1">
      <c r="A57" s="115"/>
      <c r="F57" s="122" t="s">
        <v>445</v>
      </c>
      <c r="G57" s="123" t="s">
        <v>446</v>
      </c>
      <c r="H57" s="123"/>
      <c r="I57" s="124" t="s">
        <v>473</v>
      </c>
      <c r="J57" s="123"/>
    </row>
    <row r="58" spans="1:29">
      <c r="B58" s="252" t="s">
        <v>472</v>
      </c>
      <c r="C58" s="252"/>
      <c r="D58" s="173">
        <v>0.13120000000000001</v>
      </c>
      <c r="F58" s="125">
        <v>1300000</v>
      </c>
      <c r="G58" s="125">
        <v>162000</v>
      </c>
      <c r="H58" s="125"/>
      <c r="I58" s="125">
        <f>F58*F61</f>
        <v>83538.000000000015</v>
      </c>
      <c r="J58" s="126">
        <f>F58+I58-0.8</f>
        <v>1383537.2</v>
      </c>
      <c r="K58" s="126"/>
    </row>
    <row r="59" spans="1:29">
      <c r="B59" s="252" t="s">
        <v>471</v>
      </c>
      <c r="C59" s="252"/>
      <c r="D59" s="173">
        <v>9.2799999999999994E-2</v>
      </c>
      <c r="F59" s="125"/>
      <c r="G59" s="125"/>
      <c r="H59" s="125"/>
      <c r="I59" s="125">
        <f>G58*G61</f>
        <v>10509.264000000003</v>
      </c>
      <c r="J59" s="126">
        <f>G58+I59-381.36</f>
        <v>172127.90400000001</v>
      </c>
      <c r="K59" s="127"/>
      <c r="L59" s="128"/>
      <c r="W59" s="102" t="s">
        <v>464</v>
      </c>
      <c r="X59" s="102" t="s">
        <v>465</v>
      </c>
    </row>
    <row r="60" spans="1:29">
      <c r="B60" s="252" t="s">
        <v>470</v>
      </c>
      <c r="C60" s="252"/>
      <c r="D60" s="173">
        <v>7.6999999999999999E-2</v>
      </c>
      <c r="W60" s="102">
        <v>1</v>
      </c>
      <c r="X60" s="102">
        <f>D58*100</f>
        <v>13.120000000000001</v>
      </c>
      <c r="AA60" s="102" t="s">
        <v>466</v>
      </c>
      <c r="AB60" s="102" t="s">
        <v>467</v>
      </c>
      <c r="AC60" s="102" t="s">
        <v>468</v>
      </c>
    </row>
    <row r="61" spans="1:29">
      <c r="B61" s="253" t="s">
        <v>469</v>
      </c>
      <c r="C61" s="254"/>
      <c r="D61" s="174">
        <f>X63/100</f>
        <v>6.1200000000000011E-2</v>
      </c>
      <c r="E61" s="129"/>
      <c r="F61" s="129">
        <f>+D61*1.05</f>
        <v>6.4260000000000012E-2</v>
      </c>
      <c r="G61" s="130">
        <f>+D61*1.06</f>
        <v>6.4872000000000013E-2</v>
      </c>
      <c r="W61" s="102">
        <v>2</v>
      </c>
      <c r="X61" s="102">
        <f>D59*100</f>
        <v>9.2799999999999994</v>
      </c>
      <c r="AA61" s="102">
        <f>X60</f>
        <v>13.120000000000001</v>
      </c>
      <c r="AB61" s="102">
        <f>((X61-X60)/(W61-W60))</f>
        <v>-3.8400000000000016</v>
      </c>
      <c r="AC61" s="102">
        <f>(((X62-X61)/(W62-W61))-AB61)/(W63-W60)</f>
        <v>0.75333333333333419</v>
      </c>
    </row>
    <row r="62" spans="1:29" ht="13.5" thickBot="1">
      <c r="F62" s="131"/>
      <c r="G62" s="131"/>
      <c r="W62" s="102">
        <v>3</v>
      </c>
      <c r="X62" s="102">
        <f>D60*100</f>
        <v>7.7</v>
      </c>
    </row>
    <row r="63" spans="1:29" ht="21.75" customHeight="1" thickBot="1">
      <c r="A63" s="246" t="s">
        <v>447</v>
      </c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8"/>
      <c r="W63" s="102">
        <v>4</v>
      </c>
      <c r="X63" s="102">
        <f>(AA61+(AB61*(W63-W60))+(AC61*(W63-W60)*(W63-W61)))</f>
        <v>6.120000000000001</v>
      </c>
    </row>
    <row r="65" spans="1:15">
      <c r="A65" s="132"/>
      <c r="B65" s="133" t="s">
        <v>474</v>
      </c>
      <c r="C65" s="134" t="s">
        <v>448</v>
      </c>
      <c r="D65" s="135">
        <f>J58*'[1]Cants.'!D771</f>
        <v>1383537.2</v>
      </c>
      <c r="E65" s="132"/>
      <c r="F65" s="132"/>
      <c r="G65" s="132"/>
      <c r="H65" s="132"/>
      <c r="I65" s="132"/>
      <c r="J65" s="132"/>
      <c r="K65" s="132"/>
      <c r="L65" s="132"/>
      <c r="M65" s="132"/>
      <c r="N65" s="132"/>
    </row>
    <row r="66" spans="1:15">
      <c r="A66" s="132"/>
      <c r="B66" s="133" t="s">
        <v>475</v>
      </c>
      <c r="C66" s="134" t="s">
        <v>448</v>
      </c>
      <c r="D66" s="135">
        <f>J59*'[1]Cants.'!D771</f>
        <v>172127.90400000001</v>
      </c>
      <c r="E66" s="132"/>
      <c r="F66" s="132"/>
      <c r="G66" s="132"/>
      <c r="H66" s="132"/>
      <c r="I66" s="132"/>
      <c r="J66" s="132"/>
      <c r="K66" s="132"/>
      <c r="L66" s="132"/>
      <c r="M66" s="132"/>
      <c r="N66" s="132"/>
    </row>
    <row r="67" spans="1:15" ht="13.5" thickBot="1"/>
    <row r="68" spans="1:15" s="139" customFormat="1" ht="26.25" thickBot="1">
      <c r="A68" s="136" t="s">
        <v>411</v>
      </c>
      <c r="B68" s="136" t="s">
        <v>412</v>
      </c>
      <c r="C68" s="136" t="s">
        <v>406</v>
      </c>
      <c r="D68" s="136" t="s">
        <v>449</v>
      </c>
      <c r="E68" s="136" t="s">
        <v>450</v>
      </c>
      <c r="F68" s="136" t="s">
        <v>451</v>
      </c>
      <c r="G68" s="136" t="s">
        <v>452</v>
      </c>
      <c r="H68" s="136" t="s">
        <v>453</v>
      </c>
      <c r="I68" s="137" t="s">
        <v>454</v>
      </c>
      <c r="J68" s="136" t="s">
        <v>455</v>
      </c>
      <c r="K68" s="136" t="s">
        <v>456</v>
      </c>
      <c r="L68" s="136" t="s">
        <v>457</v>
      </c>
      <c r="M68" s="136" t="s">
        <v>458</v>
      </c>
      <c r="N68" s="138" t="s">
        <v>459</v>
      </c>
    </row>
    <row r="69" spans="1:15">
      <c r="A69" s="140">
        <v>1</v>
      </c>
      <c r="B69" s="141" t="s">
        <v>29</v>
      </c>
      <c r="C69" s="142">
        <f>N76</f>
        <v>684054.39966552507</v>
      </c>
      <c r="D69" s="143"/>
      <c r="E69" s="144">
        <v>0.28999999999999998</v>
      </c>
      <c r="F69" s="144">
        <v>0.09</v>
      </c>
      <c r="G69" s="144">
        <v>0.21829999999999999</v>
      </c>
      <c r="H69" s="143"/>
      <c r="I69" s="145"/>
      <c r="J69" s="145"/>
      <c r="K69" s="145"/>
      <c r="L69" s="145"/>
      <c r="M69" s="145"/>
      <c r="N69" s="146">
        <f>SUM(E69:H69)</f>
        <v>0.59830000000000005</v>
      </c>
    </row>
    <row r="70" spans="1:15">
      <c r="A70" s="147">
        <v>1.01</v>
      </c>
      <c r="B70" s="115" t="s">
        <v>478</v>
      </c>
      <c r="C70" s="111" t="s">
        <v>448</v>
      </c>
      <c r="D70" s="148">
        <f>+F58*3.5</f>
        <v>4550000</v>
      </c>
      <c r="E70" s="149">
        <f>D70*$E$69</f>
        <v>1319500</v>
      </c>
      <c r="F70" s="149">
        <f>D70*$F$69</f>
        <v>409500</v>
      </c>
      <c r="G70" s="149">
        <f>D70*$G$69</f>
        <v>993265</v>
      </c>
      <c r="H70" s="149">
        <v>0</v>
      </c>
      <c r="I70" s="150">
        <v>0</v>
      </c>
      <c r="J70" s="150"/>
      <c r="K70" s="150"/>
      <c r="L70" s="150"/>
      <c r="M70" s="151">
        <v>0.25</v>
      </c>
      <c r="N70" s="152">
        <f>SUM(D70:L70)*M70</f>
        <v>1818066.25</v>
      </c>
    </row>
    <row r="71" spans="1:15">
      <c r="A71" s="147">
        <v>1.02</v>
      </c>
      <c r="B71" s="115" t="s">
        <v>479</v>
      </c>
      <c r="C71" s="111" t="s">
        <v>448</v>
      </c>
      <c r="D71" s="148">
        <f>+F58*2.5</f>
        <v>3250000</v>
      </c>
      <c r="E71" s="149">
        <f>D71*$E$69</f>
        <v>942499.99999999988</v>
      </c>
      <c r="F71" s="149">
        <f>D71*$F$69</f>
        <v>292500</v>
      </c>
      <c r="G71" s="149">
        <f>D71*$G$69</f>
        <v>709475</v>
      </c>
      <c r="H71" s="149">
        <f>+D66</f>
        <v>172127.90400000001</v>
      </c>
      <c r="I71" s="150">
        <v>0</v>
      </c>
      <c r="J71" s="150"/>
      <c r="K71" s="150"/>
      <c r="L71" s="150"/>
      <c r="M71" s="151">
        <v>0.5</v>
      </c>
      <c r="N71" s="152">
        <f>SUM(D71:L71)*M71</f>
        <v>2683301.452</v>
      </c>
    </row>
    <row r="72" spans="1:15">
      <c r="A72" s="147">
        <v>1.03</v>
      </c>
      <c r="B72" s="115" t="s">
        <v>463</v>
      </c>
      <c r="C72" s="111" t="s">
        <v>448</v>
      </c>
      <c r="D72" s="148">
        <f>+F58*1.5</f>
        <v>1950000</v>
      </c>
      <c r="E72" s="149">
        <f>D72*$E$69</f>
        <v>565500</v>
      </c>
      <c r="F72" s="149">
        <f>D72*$F$69</f>
        <v>175500</v>
      </c>
      <c r="G72" s="149">
        <f>D72*$G$69</f>
        <v>425685</v>
      </c>
      <c r="H72" s="149">
        <f>+D66</f>
        <v>172127.90400000001</v>
      </c>
      <c r="I72" s="149">
        <f>+E66</f>
        <v>0</v>
      </c>
      <c r="J72" s="150"/>
      <c r="K72" s="150"/>
      <c r="L72" s="150"/>
      <c r="M72" s="151">
        <v>2</v>
      </c>
      <c r="N72" s="152">
        <f>SUM(D72:L72)*M72</f>
        <v>6577625.8080000002</v>
      </c>
    </row>
    <row r="73" spans="1:15">
      <c r="A73" s="147">
        <v>1.04</v>
      </c>
      <c r="B73" s="115" t="s">
        <v>477</v>
      </c>
      <c r="C73" s="111" t="s">
        <v>448</v>
      </c>
      <c r="D73" s="148">
        <f>+F58*1.2</f>
        <v>1560000</v>
      </c>
      <c r="E73" s="149">
        <f>D73*$E$69</f>
        <v>452399.99999999994</v>
      </c>
      <c r="F73" s="149">
        <f>D73*$F$69</f>
        <v>140400</v>
      </c>
      <c r="G73" s="149">
        <f>D73*$G$69</f>
        <v>340548</v>
      </c>
      <c r="H73" s="149">
        <f>+D66</f>
        <v>172127.90400000001</v>
      </c>
      <c r="I73" s="149">
        <f>+E66</f>
        <v>0</v>
      </c>
      <c r="J73" s="150"/>
      <c r="K73" s="150"/>
      <c r="L73" s="150"/>
      <c r="M73" s="151">
        <v>2</v>
      </c>
      <c r="N73" s="152">
        <f>SUM(D73:L73)*M73</f>
        <v>5330951.8080000002</v>
      </c>
    </row>
    <row r="74" spans="1:15">
      <c r="A74" s="147">
        <v>1.05</v>
      </c>
      <c r="B74" s="115" t="s">
        <v>476</v>
      </c>
      <c r="C74" s="111"/>
      <c r="D74" s="153">
        <f>+D51</f>
        <v>90000</v>
      </c>
      <c r="E74" s="153">
        <f>+D52</f>
        <v>160000</v>
      </c>
      <c r="F74" s="153">
        <f>+D53</f>
        <v>8000</v>
      </c>
      <c r="G74" s="153">
        <f>+D54</f>
        <v>32000</v>
      </c>
      <c r="H74" s="153">
        <f>+D55</f>
        <v>8500</v>
      </c>
      <c r="I74" s="154">
        <v>2</v>
      </c>
      <c r="J74" s="155"/>
      <c r="K74" s="155"/>
      <c r="L74" s="155"/>
      <c r="M74" s="156">
        <f>+M73+M72+M71</f>
        <v>4.5</v>
      </c>
      <c r="N74" s="152">
        <f>(D74+E74+F74+G74+H74)*I74/365*M74</f>
        <v>7360.2739726027394</v>
      </c>
    </row>
    <row r="75" spans="1:15">
      <c r="A75" s="147"/>
      <c r="B75" s="157" t="s">
        <v>460</v>
      </c>
      <c r="C75" s="111"/>
      <c r="D75" s="154" t="s">
        <v>438</v>
      </c>
      <c r="E75" s="154" t="s">
        <v>440</v>
      </c>
      <c r="F75" s="154" t="s">
        <v>443</v>
      </c>
      <c r="G75" s="154" t="s">
        <v>441</v>
      </c>
      <c r="H75" s="154" t="s">
        <v>444</v>
      </c>
      <c r="I75" s="154" t="s">
        <v>461</v>
      </c>
      <c r="J75" s="155"/>
      <c r="K75" s="155"/>
      <c r="L75" s="155"/>
      <c r="M75" s="155"/>
      <c r="N75" s="158">
        <f>SUM(N70:N74)</f>
        <v>16417305.591972603</v>
      </c>
    </row>
    <row r="76" spans="1:15">
      <c r="A76" s="147"/>
      <c r="B76" s="157" t="s">
        <v>462</v>
      </c>
      <c r="C76" s="111"/>
      <c r="D76" s="159"/>
      <c r="E76" s="159"/>
      <c r="F76" s="159"/>
      <c r="G76" s="159"/>
      <c r="H76" s="159"/>
      <c r="I76" s="159"/>
      <c r="J76" s="160"/>
      <c r="K76" s="160"/>
      <c r="L76" s="160"/>
      <c r="M76" s="160"/>
      <c r="N76" s="161">
        <f>N75/24</f>
        <v>684054.39966552507</v>
      </c>
      <c r="O76" s="175">
        <f>N76*D61</f>
        <v>41864.129259530142</v>
      </c>
    </row>
    <row r="77" spans="1:15">
      <c r="A77" s="147"/>
      <c r="B77" s="115"/>
      <c r="C77" s="111"/>
      <c r="D77" s="115"/>
      <c r="E77" s="115"/>
      <c r="F77" s="115"/>
      <c r="G77" s="115"/>
      <c r="H77" s="115"/>
      <c r="I77" s="115"/>
      <c r="J77" s="162"/>
      <c r="K77" s="162"/>
      <c r="L77" s="162"/>
      <c r="M77" s="162"/>
      <c r="N77" s="176">
        <f>N76+O76</f>
        <v>725918.52892505517</v>
      </c>
    </row>
    <row r="78" spans="1:15">
      <c r="A78" s="163">
        <v>2</v>
      </c>
      <c r="B78" s="164" t="s">
        <v>30</v>
      </c>
      <c r="C78" s="165">
        <f>N85</f>
        <v>646024.68041609589</v>
      </c>
      <c r="D78" s="115"/>
      <c r="E78" s="166">
        <v>0.28999999999999998</v>
      </c>
      <c r="F78" s="166">
        <v>0.09</v>
      </c>
      <c r="G78" s="166">
        <v>0.21829999999999999</v>
      </c>
      <c r="H78" s="115"/>
      <c r="I78" s="115"/>
      <c r="J78" s="162"/>
      <c r="K78" s="162"/>
      <c r="L78" s="162"/>
      <c r="M78" s="162"/>
      <c r="N78" s="167">
        <f>SUM(E78:H78)</f>
        <v>0.59830000000000005</v>
      </c>
    </row>
    <row r="79" spans="1:15">
      <c r="A79" s="147">
        <v>2.0099999999999998</v>
      </c>
      <c r="B79" s="115" t="s">
        <v>481</v>
      </c>
      <c r="C79" s="111" t="s">
        <v>448</v>
      </c>
      <c r="D79" s="148">
        <f>D70</f>
        <v>4550000</v>
      </c>
      <c r="E79" s="149">
        <f>+E78*D79</f>
        <v>1319500</v>
      </c>
      <c r="F79" s="149">
        <f>+F78*D79</f>
        <v>409500</v>
      </c>
      <c r="G79" s="149">
        <f>+G78*D79</f>
        <v>993265</v>
      </c>
      <c r="H79" s="149">
        <v>0</v>
      </c>
      <c r="I79" s="149">
        <v>0</v>
      </c>
      <c r="J79" s="150"/>
      <c r="K79" s="150"/>
      <c r="L79" s="150"/>
      <c r="M79" s="151">
        <v>0.125</v>
      </c>
      <c r="N79" s="152">
        <f>SUM(D79:L79)*M79</f>
        <v>909033.125</v>
      </c>
    </row>
    <row r="80" spans="1:15">
      <c r="A80" s="147">
        <v>2.02</v>
      </c>
      <c r="B80" s="115" t="s">
        <v>479</v>
      </c>
      <c r="C80" s="111" t="s">
        <v>448</v>
      </c>
      <c r="D80" s="148">
        <f>D71</f>
        <v>3250000</v>
      </c>
      <c r="E80" s="149">
        <f>D80*E78</f>
        <v>942499.99999999988</v>
      </c>
      <c r="F80" s="149">
        <f>D80*F78</f>
        <v>292500</v>
      </c>
      <c r="G80" s="149">
        <f>D80*G78</f>
        <v>709475</v>
      </c>
      <c r="H80" s="149">
        <f>D66</f>
        <v>172127.90400000001</v>
      </c>
      <c r="I80" s="149">
        <v>0</v>
      </c>
      <c r="J80" s="150"/>
      <c r="K80" s="150"/>
      <c r="L80" s="150"/>
      <c r="M80" s="151">
        <v>0.5</v>
      </c>
      <c r="N80" s="152">
        <f>SUM(D80:L80)*M80</f>
        <v>2683301.452</v>
      </c>
    </row>
    <row r="81" spans="1:15">
      <c r="A81" s="147">
        <v>2.0299999999999998</v>
      </c>
      <c r="B81" s="115" t="s">
        <v>463</v>
      </c>
      <c r="C81" s="111" t="s">
        <v>448</v>
      </c>
      <c r="D81" s="148">
        <f>D72</f>
        <v>1950000</v>
      </c>
      <c r="E81" s="149">
        <f>D81*E78</f>
        <v>565500</v>
      </c>
      <c r="F81" s="149">
        <f>D81*F78</f>
        <v>175500</v>
      </c>
      <c r="G81" s="149">
        <f>D81*G78</f>
        <v>425685</v>
      </c>
      <c r="H81" s="149">
        <f>D66</f>
        <v>172127.90400000001</v>
      </c>
      <c r="I81" s="149">
        <v>0</v>
      </c>
      <c r="J81" s="150"/>
      <c r="K81" s="150"/>
      <c r="L81" s="150"/>
      <c r="M81" s="151">
        <v>2</v>
      </c>
      <c r="N81" s="152">
        <f>SUM(D81:L81)*M81</f>
        <v>6577625.8080000002</v>
      </c>
    </row>
    <row r="82" spans="1:15">
      <c r="A82" s="147">
        <v>2.04</v>
      </c>
      <c r="B82" s="115" t="s">
        <v>477</v>
      </c>
      <c r="C82" s="111" t="s">
        <v>448</v>
      </c>
      <c r="D82" s="148">
        <f>D73</f>
        <v>1560000</v>
      </c>
      <c r="E82" s="149">
        <f>D82*E78</f>
        <v>452399.99999999994</v>
      </c>
      <c r="F82" s="149">
        <f>D82*F78</f>
        <v>140400</v>
      </c>
      <c r="G82" s="149">
        <f>D82*G78</f>
        <v>340548</v>
      </c>
      <c r="H82" s="149">
        <f>D66</f>
        <v>172127.90400000001</v>
      </c>
      <c r="I82" s="149">
        <v>0</v>
      </c>
      <c r="J82" s="150"/>
      <c r="K82" s="150"/>
      <c r="L82" s="150"/>
      <c r="M82" s="151">
        <v>2</v>
      </c>
      <c r="N82" s="152">
        <f>SUM(D82:L82)*M82</f>
        <v>5330951.8080000002</v>
      </c>
    </row>
    <row r="83" spans="1:15">
      <c r="A83" s="147">
        <v>2.0499999999999998</v>
      </c>
      <c r="B83" s="115" t="s">
        <v>480</v>
      </c>
      <c r="C83" s="111"/>
      <c r="D83" s="153">
        <f>D51</f>
        <v>90000</v>
      </c>
      <c r="E83" s="153">
        <f>+D52</f>
        <v>160000</v>
      </c>
      <c r="F83" s="153">
        <f>+D53</f>
        <v>8000</v>
      </c>
      <c r="G83" s="153">
        <f>+D54</f>
        <v>32000</v>
      </c>
      <c r="H83" s="153">
        <f>D55</f>
        <v>8500</v>
      </c>
      <c r="I83" s="154">
        <v>1</v>
      </c>
      <c r="J83" s="155"/>
      <c r="K83" s="155"/>
      <c r="L83" s="155"/>
      <c r="M83" s="156">
        <f>+M82+M81+M80</f>
        <v>4.5</v>
      </c>
      <c r="N83" s="152">
        <f>(D83+E83+F83+G83+H83)*I83/365*M83</f>
        <v>3680.1369863013697</v>
      </c>
    </row>
    <row r="84" spans="1:15">
      <c r="A84" s="147"/>
      <c r="B84" s="157" t="s">
        <v>460</v>
      </c>
      <c r="C84" s="111"/>
      <c r="D84" s="154" t="s">
        <v>438</v>
      </c>
      <c r="E84" s="154" t="s">
        <v>440</v>
      </c>
      <c r="F84" s="154" t="s">
        <v>443</v>
      </c>
      <c r="G84" s="154" t="s">
        <v>441</v>
      </c>
      <c r="H84" s="154" t="s">
        <v>444</v>
      </c>
      <c r="I84" s="154" t="s">
        <v>461</v>
      </c>
      <c r="J84" s="155"/>
      <c r="K84" s="155"/>
      <c r="L84" s="155"/>
      <c r="M84" s="155"/>
      <c r="N84" s="158">
        <f>SUM(N79:N83)</f>
        <v>15504592.329986302</v>
      </c>
    </row>
    <row r="85" spans="1:15" ht="13.5" thickBot="1">
      <c r="A85" s="168"/>
      <c r="B85" s="169" t="s">
        <v>462</v>
      </c>
      <c r="C85" s="118"/>
      <c r="D85" s="170"/>
      <c r="E85" s="170"/>
      <c r="F85" s="170"/>
      <c r="G85" s="170"/>
      <c r="H85" s="170"/>
      <c r="I85" s="171"/>
      <c r="J85" s="171"/>
      <c r="K85" s="171"/>
      <c r="L85" s="171"/>
      <c r="M85" s="171"/>
      <c r="N85" s="172">
        <f>N84/24</f>
        <v>646024.68041609589</v>
      </c>
      <c r="O85" s="102">
        <f>+N85*D61</f>
        <v>39536.710441465075</v>
      </c>
    </row>
    <row r="86" spans="1:15">
      <c r="N86" s="176">
        <f>+N85+O85</f>
        <v>685561.39085756091</v>
      </c>
    </row>
  </sheetData>
  <mergeCells count="7">
    <mergeCell ref="A63:N63"/>
    <mergeCell ref="A4:E4"/>
    <mergeCell ref="A50:E50"/>
    <mergeCell ref="B58:C58"/>
    <mergeCell ref="B59:C59"/>
    <mergeCell ref="B60:C60"/>
    <mergeCell ref="B61:C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88DB-2D9E-4B69-AF75-F01F07508767}">
  <dimension ref="A1:B238"/>
  <sheetViews>
    <sheetView workbookViewId="0">
      <selection activeCell="F1" sqref="F1"/>
    </sheetView>
  </sheetViews>
  <sheetFormatPr baseColWidth="10" defaultRowHeight="15"/>
  <cols>
    <col min="1" max="1" width="93.42578125" bestFit="1" customWidth="1"/>
  </cols>
  <sheetData>
    <row r="1" spans="1:2">
      <c r="A1" t="s">
        <v>843</v>
      </c>
      <c r="B1" t="s">
        <v>844</v>
      </c>
    </row>
    <row r="2" spans="1:2">
      <c r="A2" t="s">
        <v>845</v>
      </c>
      <c r="B2">
        <v>8000</v>
      </c>
    </row>
    <row r="3" spans="1:2">
      <c r="A3" t="s">
        <v>846</v>
      </c>
      <c r="B3">
        <v>32700</v>
      </c>
    </row>
    <row r="4" spans="1:2">
      <c r="A4" t="s">
        <v>847</v>
      </c>
      <c r="B4">
        <v>5800</v>
      </c>
    </row>
    <row r="5" spans="1:2">
      <c r="A5" t="s">
        <v>848</v>
      </c>
      <c r="B5">
        <v>22350</v>
      </c>
    </row>
    <row r="6" spans="1:2">
      <c r="A6" t="s">
        <v>849</v>
      </c>
      <c r="B6">
        <v>11550</v>
      </c>
    </row>
    <row r="7" spans="1:2">
      <c r="A7" t="s">
        <v>850</v>
      </c>
      <c r="B7">
        <v>17050</v>
      </c>
    </row>
    <row r="8" spans="1:2">
      <c r="A8" t="s">
        <v>851</v>
      </c>
      <c r="B8">
        <v>194800</v>
      </c>
    </row>
    <row r="9" spans="1:2">
      <c r="A9" t="s">
        <v>852</v>
      </c>
      <c r="B9">
        <v>119150</v>
      </c>
    </row>
    <row r="10" spans="1:2">
      <c r="A10" t="s">
        <v>853</v>
      </c>
      <c r="B10">
        <v>15800</v>
      </c>
    </row>
    <row r="11" spans="1:2">
      <c r="A11" t="s">
        <v>854</v>
      </c>
      <c r="B11">
        <v>88800</v>
      </c>
    </row>
    <row r="12" spans="1:2">
      <c r="A12" t="s">
        <v>855</v>
      </c>
      <c r="B12">
        <v>71100</v>
      </c>
    </row>
    <row r="13" spans="1:2">
      <c r="A13" t="s">
        <v>856</v>
      </c>
      <c r="B13">
        <v>16350</v>
      </c>
    </row>
    <row r="14" spans="1:2">
      <c r="A14" t="s">
        <v>857</v>
      </c>
      <c r="B14">
        <v>51450</v>
      </c>
    </row>
    <row r="15" spans="1:2">
      <c r="A15" t="s">
        <v>858</v>
      </c>
      <c r="B15">
        <v>35500</v>
      </c>
    </row>
    <row r="16" spans="1:2">
      <c r="A16" t="s">
        <v>859</v>
      </c>
      <c r="B16">
        <v>59600</v>
      </c>
    </row>
    <row r="17" spans="1:2">
      <c r="A17" t="s">
        <v>860</v>
      </c>
      <c r="B17">
        <v>4400</v>
      </c>
    </row>
    <row r="18" spans="1:2">
      <c r="A18" t="s">
        <v>861</v>
      </c>
      <c r="B18">
        <v>12650</v>
      </c>
    </row>
    <row r="19" spans="1:2">
      <c r="A19" t="s">
        <v>862</v>
      </c>
      <c r="B19">
        <v>8500</v>
      </c>
    </row>
    <row r="20" spans="1:2">
      <c r="A20" t="s">
        <v>863</v>
      </c>
      <c r="B20">
        <v>189800</v>
      </c>
    </row>
    <row r="21" spans="1:2">
      <c r="A21" t="s">
        <v>864</v>
      </c>
      <c r="B21">
        <v>84750</v>
      </c>
    </row>
    <row r="22" spans="1:2">
      <c r="A22" t="s">
        <v>865</v>
      </c>
      <c r="B22">
        <v>50150</v>
      </c>
    </row>
    <row r="23" spans="1:2">
      <c r="A23" t="s">
        <v>866</v>
      </c>
      <c r="B23">
        <v>34100</v>
      </c>
    </row>
    <row r="24" spans="1:2">
      <c r="A24" t="s">
        <v>867</v>
      </c>
      <c r="B24">
        <v>22400</v>
      </c>
    </row>
    <row r="25" spans="1:2">
      <c r="A25" t="s">
        <v>866</v>
      </c>
      <c r="B25">
        <v>33200</v>
      </c>
    </row>
    <row r="26" spans="1:2">
      <c r="A26" t="s">
        <v>865</v>
      </c>
      <c r="B26">
        <v>48800</v>
      </c>
    </row>
    <row r="27" spans="1:2">
      <c r="A27" t="s">
        <v>864</v>
      </c>
      <c r="B27">
        <v>88700</v>
      </c>
    </row>
    <row r="28" spans="1:2">
      <c r="A28" t="s">
        <v>868</v>
      </c>
      <c r="B28">
        <v>80450</v>
      </c>
    </row>
    <row r="29" spans="1:2">
      <c r="A29" t="s">
        <v>869</v>
      </c>
      <c r="B29">
        <v>106300</v>
      </c>
    </row>
    <row r="30" spans="1:2">
      <c r="A30" t="s">
        <v>870</v>
      </c>
      <c r="B30">
        <v>241500</v>
      </c>
    </row>
    <row r="31" spans="1:2">
      <c r="A31" t="s">
        <v>871</v>
      </c>
      <c r="B31">
        <v>346100</v>
      </c>
    </row>
    <row r="32" spans="1:2">
      <c r="A32" t="s">
        <v>872</v>
      </c>
      <c r="B32">
        <v>400</v>
      </c>
    </row>
    <row r="33" spans="1:2">
      <c r="A33" t="s">
        <v>873</v>
      </c>
      <c r="B33">
        <v>1100</v>
      </c>
    </row>
    <row r="34" spans="1:2">
      <c r="A34" t="s">
        <v>874</v>
      </c>
      <c r="B34">
        <v>1350</v>
      </c>
    </row>
    <row r="35" spans="1:2">
      <c r="A35" t="s">
        <v>875</v>
      </c>
      <c r="B35">
        <v>250</v>
      </c>
    </row>
    <row r="36" spans="1:2">
      <c r="A36" t="s">
        <v>876</v>
      </c>
      <c r="B36">
        <v>250</v>
      </c>
    </row>
    <row r="37" spans="1:2">
      <c r="A37" t="s">
        <v>877</v>
      </c>
      <c r="B37">
        <v>400</v>
      </c>
    </row>
    <row r="38" spans="1:2">
      <c r="A38" t="s">
        <v>878</v>
      </c>
      <c r="B38">
        <v>27850</v>
      </c>
    </row>
    <row r="39" spans="1:2">
      <c r="A39" t="s">
        <v>879</v>
      </c>
      <c r="B39">
        <v>36650</v>
      </c>
    </row>
    <row r="40" spans="1:2">
      <c r="A40" t="s">
        <v>880</v>
      </c>
      <c r="B40">
        <v>600</v>
      </c>
    </row>
    <row r="41" spans="1:2">
      <c r="A41" t="s">
        <v>881</v>
      </c>
      <c r="B41">
        <v>5800</v>
      </c>
    </row>
    <row r="42" spans="1:2">
      <c r="A42" t="s">
        <v>882</v>
      </c>
      <c r="B42">
        <v>19671</v>
      </c>
    </row>
    <row r="43" spans="1:2">
      <c r="A43" t="s">
        <v>883</v>
      </c>
      <c r="B43">
        <v>13900</v>
      </c>
    </row>
    <row r="44" spans="1:2">
      <c r="A44" t="s">
        <v>884</v>
      </c>
      <c r="B44">
        <v>6250</v>
      </c>
    </row>
    <row r="45" spans="1:2">
      <c r="A45" t="s">
        <v>885</v>
      </c>
      <c r="B45">
        <v>8306</v>
      </c>
    </row>
    <row r="46" spans="1:2">
      <c r="A46" t="s">
        <v>886</v>
      </c>
      <c r="B46">
        <v>12500</v>
      </c>
    </row>
    <row r="47" spans="1:2">
      <c r="A47" t="s">
        <v>887</v>
      </c>
      <c r="B47">
        <v>7550</v>
      </c>
    </row>
    <row r="48" spans="1:2">
      <c r="A48" t="s">
        <v>888</v>
      </c>
      <c r="B48">
        <v>2600</v>
      </c>
    </row>
    <row r="49" spans="1:2">
      <c r="A49" t="s">
        <v>889</v>
      </c>
      <c r="B49">
        <v>2400</v>
      </c>
    </row>
    <row r="50" spans="1:2">
      <c r="A50" t="s">
        <v>890</v>
      </c>
      <c r="B50">
        <v>53750</v>
      </c>
    </row>
    <row r="51" spans="1:2">
      <c r="A51" t="s">
        <v>891</v>
      </c>
      <c r="B51">
        <v>2850</v>
      </c>
    </row>
    <row r="52" spans="1:2">
      <c r="A52" t="s">
        <v>892</v>
      </c>
      <c r="B52">
        <v>5100</v>
      </c>
    </row>
    <row r="53" spans="1:2">
      <c r="A53" t="s">
        <v>893</v>
      </c>
      <c r="B53">
        <v>7450</v>
      </c>
    </row>
    <row r="54" spans="1:2">
      <c r="A54" t="s">
        <v>894</v>
      </c>
      <c r="B54">
        <v>11650</v>
      </c>
    </row>
    <row r="55" spans="1:2">
      <c r="A55" t="s">
        <v>895</v>
      </c>
      <c r="B55">
        <v>16450</v>
      </c>
    </row>
    <row r="56" spans="1:2">
      <c r="A56" t="s">
        <v>896</v>
      </c>
      <c r="B56">
        <v>61200</v>
      </c>
    </row>
    <row r="57" spans="1:2">
      <c r="A57" t="s">
        <v>897</v>
      </c>
      <c r="B57">
        <v>16950</v>
      </c>
    </row>
    <row r="58" spans="1:2">
      <c r="A58" t="s">
        <v>898</v>
      </c>
      <c r="B58">
        <v>7850</v>
      </c>
    </row>
    <row r="59" spans="1:2">
      <c r="A59" t="s">
        <v>899</v>
      </c>
      <c r="B59">
        <v>11450</v>
      </c>
    </row>
    <row r="60" spans="1:2">
      <c r="A60" t="s">
        <v>900</v>
      </c>
      <c r="B60">
        <v>24000</v>
      </c>
    </row>
    <row r="61" spans="1:2">
      <c r="A61" t="s">
        <v>901</v>
      </c>
      <c r="B61">
        <v>112450</v>
      </c>
    </row>
    <row r="62" spans="1:2">
      <c r="A62" t="s">
        <v>902</v>
      </c>
      <c r="B62">
        <v>1050</v>
      </c>
    </row>
    <row r="63" spans="1:2">
      <c r="A63" t="s">
        <v>903</v>
      </c>
      <c r="B63">
        <v>4850</v>
      </c>
    </row>
    <row r="64" spans="1:2">
      <c r="A64" t="s">
        <v>904</v>
      </c>
      <c r="B64">
        <v>500</v>
      </c>
    </row>
    <row r="65" spans="1:2">
      <c r="A65" t="s">
        <v>905</v>
      </c>
      <c r="B65">
        <v>750</v>
      </c>
    </row>
    <row r="66" spans="1:2">
      <c r="A66" t="s">
        <v>906</v>
      </c>
      <c r="B66">
        <v>2000</v>
      </c>
    </row>
    <row r="67" spans="1:2">
      <c r="A67" t="s">
        <v>907</v>
      </c>
      <c r="B67">
        <v>3150</v>
      </c>
    </row>
    <row r="68" spans="1:2">
      <c r="A68" t="s">
        <v>908</v>
      </c>
      <c r="B68">
        <v>1200</v>
      </c>
    </row>
    <row r="69" spans="1:2">
      <c r="A69" t="s">
        <v>909</v>
      </c>
      <c r="B69">
        <v>850</v>
      </c>
    </row>
    <row r="70" spans="1:2">
      <c r="A70" t="s">
        <v>910</v>
      </c>
      <c r="B70">
        <v>3350</v>
      </c>
    </row>
    <row r="71" spans="1:2">
      <c r="A71" t="s">
        <v>911</v>
      </c>
      <c r="B71">
        <v>2000</v>
      </c>
    </row>
    <row r="72" spans="1:2">
      <c r="A72" t="s">
        <v>912</v>
      </c>
      <c r="B72">
        <v>4950</v>
      </c>
    </row>
    <row r="73" spans="1:2">
      <c r="A73" t="s">
        <v>913</v>
      </c>
      <c r="B73">
        <v>98950</v>
      </c>
    </row>
    <row r="74" spans="1:2">
      <c r="A74" t="s">
        <v>914</v>
      </c>
      <c r="B74">
        <v>177650</v>
      </c>
    </row>
    <row r="75" spans="1:2">
      <c r="A75" t="s">
        <v>915</v>
      </c>
      <c r="B75">
        <v>14450</v>
      </c>
    </row>
    <row r="76" spans="1:2">
      <c r="A76" t="s">
        <v>916</v>
      </c>
      <c r="B76">
        <v>27250</v>
      </c>
    </row>
    <row r="77" spans="1:2">
      <c r="A77" t="s">
        <v>917</v>
      </c>
      <c r="B77">
        <v>4100</v>
      </c>
    </row>
    <row r="78" spans="1:2">
      <c r="A78" t="s">
        <v>918</v>
      </c>
      <c r="B78">
        <v>6200</v>
      </c>
    </row>
    <row r="79" spans="1:2">
      <c r="A79" t="s">
        <v>919</v>
      </c>
      <c r="B79">
        <v>6000</v>
      </c>
    </row>
    <row r="80" spans="1:2">
      <c r="A80" t="s">
        <v>920</v>
      </c>
      <c r="B80">
        <v>2000</v>
      </c>
    </row>
    <row r="81" spans="1:2">
      <c r="A81" t="s">
        <v>921</v>
      </c>
      <c r="B81">
        <v>26550</v>
      </c>
    </row>
    <row r="82" spans="1:2">
      <c r="A82" t="s">
        <v>922</v>
      </c>
      <c r="B82">
        <v>40950</v>
      </c>
    </row>
    <row r="83" spans="1:2">
      <c r="A83" t="s">
        <v>923</v>
      </c>
      <c r="B83">
        <v>3950</v>
      </c>
    </row>
    <row r="84" spans="1:2">
      <c r="A84" t="s">
        <v>924</v>
      </c>
      <c r="B84">
        <v>1050</v>
      </c>
    </row>
    <row r="85" spans="1:2">
      <c r="A85" t="s">
        <v>925</v>
      </c>
      <c r="B85">
        <v>1300</v>
      </c>
    </row>
    <row r="86" spans="1:2">
      <c r="A86" t="s">
        <v>926</v>
      </c>
      <c r="B86">
        <v>5300</v>
      </c>
    </row>
    <row r="87" spans="1:2">
      <c r="A87" t="s">
        <v>927</v>
      </c>
      <c r="B87">
        <v>4850</v>
      </c>
    </row>
    <row r="88" spans="1:2">
      <c r="A88" t="s">
        <v>928</v>
      </c>
      <c r="B88">
        <v>150</v>
      </c>
    </row>
    <row r="89" spans="1:2">
      <c r="A89" t="s">
        <v>929</v>
      </c>
      <c r="B89">
        <v>250</v>
      </c>
    </row>
    <row r="90" spans="1:2">
      <c r="A90" t="s">
        <v>930</v>
      </c>
      <c r="B90">
        <v>200</v>
      </c>
    </row>
    <row r="91" spans="1:2">
      <c r="A91" t="s">
        <v>931</v>
      </c>
      <c r="B91">
        <v>850</v>
      </c>
    </row>
    <row r="92" spans="1:2">
      <c r="A92" t="s">
        <v>932</v>
      </c>
      <c r="B92">
        <v>3500</v>
      </c>
    </row>
    <row r="93" spans="1:2">
      <c r="A93" t="s">
        <v>933</v>
      </c>
      <c r="B93">
        <v>3450</v>
      </c>
    </row>
    <row r="94" spans="1:2">
      <c r="A94" t="s">
        <v>934</v>
      </c>
      <c r="B94">
        <v>2350</v>
      </c>
    </row>
    <row r="95" spans="1:2">
      <c r="A95" t="s">
        <v>935</v>
      </c>
      <c r="B95">
        <v>483</v>
      </c>
    </row>
    <row r="96" spans="1:2">
      <c r="A96" t="s">
        <v>936</v>
      </c>
      <c r="B96">
        <v>1800</v>
      </c>
    </row>
    <row r="97" spans="1:2">
      <c r="A97" t="s">
        <v>937</v>
      </c>
      <c r="B97">
        <v>5125</v>
      </c>
    </row>
    <row r="98" spans="1:2">
      <c r="A98" t="s">
        <v>938</v>
      </c>
      <c r="B98">
        <v>1500</v>
      </c>
    </row>
    <row r="99" spans="1:2">
      <c r="A99" t="s">
        <v>939</v>
      </c>
      <c r="B99">
        <v>2600</v>
      </c>
    </row>
    <row r="100" spans="1:2">
      <c r="A100" t="s">
        <v>940</v>
      </c>
      <c r="B100">
        <v>500</v>
      </c>
    </row>
    <row r="101" spans="1:2">
      <c r="A101" t="s">
        <v>941</v>
      </c>
      <c r="B101">
        <v>3050</v>
      </c>
    </row>
    <row r="102" spans="1:2">
      <c r="A102" t="s">
        <v>942</v>
      </c>
      <c r="B102">
        <v>6150</v>
      </c>
    </row>
    <row r="103" spans="1:2">
      <c r="A103" t="s">
        <v>943</v>
      </c>
      <c r="B103">
        <v>33050</v>
      </c>
    </row>
    <row r="104" spans="1:2">
      <c r="A104" t="s">
        <v>944</v>
      </c>
      <c r="B104">
        <v>1150</v>
      </c>
    </row>
    <row r="105" spans="1:2">
      <c r="A105" t="s">
        <v>945</v>
      </c>
      <c r="B105">
        <v>10200</v>
      </c>
    </row>
    <row r="106" spans="1:2">
      <c r="A106" t="s">
        <v>946</v>
      </c>
      <c r="B106">
        <v>24450</v>
      </c>
    </row>
    <row r="107" spans="1:2">
      <c r="A107" t="s">
        <v>947</v>
      </c>
      <c r="B107">
        <v>700</v>
      </c>
    </row>
    <row r="108" spans="1:2">
      <c r="A108" t="s">
        <v>948</v>
      </c>
      <c r="B108">
        <v>2150</v>
      </c>
    </row>
    <row r="109" spans="1:2">
      <c r="A109" t="s">
        <v>949</v>
      </c>
      <c r="B109">
        <v>4150</v>
      </c>
    </row>
    <row r="110" spans="1:2">
      <c r="A110" t="s">
        <v>950</v>
      </c>
      <c r="B110">
        <v>1050</v>
      </c>
    </row>
    <row r="111" spans="1:2">
      <c r="A111" t="s">
        <v>951</v>
      </c>
      <c r="B111">
        <v>1400</v>
      </c>
    </row>
    <row r="112" spans="1:2">
      <c r="A112" t="s">
        <v>952</v>
      </c>
      <c r="B112">
        <v>346554</v>
      </c>
    </row>
    <row r="113" spans="1:2">
      <c r="A113" t="s">
        <v>953</v>
      </c>
      <c r="B113">
        <v>63492</v>
      </c>
    </row>
    <row r="114" spans="1:2">
      <c r="A114" t="s">
        <v>954</v>
      </c>
      <c r="B114">
        <v>9600</v>
      </c>
    </row>
    <row r="115" spans="1:2">
      <c r="A115" t="s">
        <v>955</v>
      </c>
      <c r="B115">
        <v>2600</v>
      </c>
    </row>
    <row r="116" spans="1:2">
      <c r="A116" t="s">
        <v>956</v>
      </c>
      <c r="B116">
        <v>67450</v>
      </c>
    </row>
    <row r="117" spans="1:2">
      <c r="A117" t="s">
        <v>957</v>
      </c>
      <c r="B117">
        <v>175000</v>
      </c>
    </row>
    <row r="118" spans="1:2">
      <c r="A118" t="s">
        <v>958</v>
      </c>
      <c r="B118">
        <v>27500</v>
      </c>
    </row>
    <row r="119" spans="1:2">
      <c r="A119" t="s">
        <v>959</v>
      </c>
      <c r="B119">
        <v>18300</v>
      </c>
    </row>
    <row r="120" spans="1:2">
      <c r="A120" t="s">
        <v>960</v>
      </c>
      <c r="B120">
        <v>10100</v>
      </c>
    </row>
    <row r="121" spans="1:2">
      <c r="A121" t="s">
        <v>961</v>
      </c>
      <c r="B121">
        <v>6450</v>
      </c>
    </row>
    <row r="122" spans="1:2">
      <c r="A122" t="s">
        <v>962</v>
      </c>
      <c r="B122">
        <v>6100</v>
      </c>
    </row>
    <row r="123" spans="1:2">
      <c r="A123" t="s">
        <v>963</v>
      </c>
      <c r="B123">
        <v>4350</v>
      </c>
    </row>
    <row r="124" spans="1:2">
      <c r="A124" t="s">
        <v>964</v>
      </c>
      <c r="B124">
        <v>44150</v>
      </c>
    </row>
    <row r="125" spans="1:2">
      <c r="A125" t="s">
        <v>965</v>
      </c>
      <c r="B125">
        <v>125000</v>
      </c>
    </row>
    <row r="126" spans="1:2">
      <c r="A126" t="s">
        <v>966</v>
      </c>
      <c r="B126">
        <v>87600</v>
      </c>
    </row>
    <row r="127" spans="1:2">
      <c r="A127" t="s">
        <v>967</v>
      </c>
      <c r="B127">
        <v>116950</v>
      </c>
    </row>
    <row r="128" spans="1:2">
      <c r="A128" t="s">
        <v>968</v>
      </c>
      <c r="B128">
        <v>21800</v>
      </c>
    </row>
    <row r="129" spans="1:2">
      <c r="A129" t="s">
        <v>969</v>
      </c>
      <c r="B129">
        <v>6200</v>
      </c>
    </row>
    <row r="130" spans="1:2">
      <c r="A130" t="s">
        <v>970</v>
      </c>
      <c r="B130">
        <v>3250</v>
      </c>
    </row>
    <row r="131" spans="1:2">
      <c r="A131" t="s">
        <v>971</v>
      </c>
      <c r="B131">
        <v>34008</v>
      </c>
    </row>
    <row r="132" spans="1:2">
      <c r="A132" t="s">
        <v>972</v>
      </c>
      <c r="B132">
        <v>27700</v>
      </c>
    </row>
    <row r="133" spans="1:2">
      <c r="A133" t="s">
        <v>973</v>
      </c>
      <c r="B133">
        <v>70980</v>
      </c>
    </row>
    <row r="134" spans="1:2">
      <c r="A134" t="s">
        <v>974</v>
      </c>
      <c r="B134">
        <v>5200</v>
      </c>
    </row>
    <row r="135" spans="1:2">
      <c r="A135" t="s">
        <v>975</v>
      </c>
      <c r="B135">
        <v>6050</v>
      </c>
    </row>
    <row r="136" spans="1:2">
      <c r="A136" t="s">
        <v>976</v>
      </c>
      <c r="B136">
        <v>11100</v>
      </c>
    </row>
    <row r="137" spans="1:2">
      <c r="A137" t="s">
        <v>971</v>
      </c>
      <c r="B137">
        <v>30810</v>
      </c>
    </row>
    <row r="138" spans="1:2">
      <c r="A138" t="s">
        <v>977</v>
      </c>
      <c r="B138">
        <v>3650</v>
      </c>
    </row>
    <row r="139" spans="1:2">
      <c r="A139" t="s">
        <v>978</v>
      </c>
      <c r="B139">
        <v>8200</v>
      </c>
    </row>
    <row r="140" spans="1:2">
      <c r="A140" t="s">
        <v>979</v>
      </c>
      <c r="B140">
        <v>10250</v>
      </c>
    </row>
    <row r="141" spans="1:2">
      <c r="A141" t="s">
        <v>980</v>
      </c>
      <c r="B141">
        <v>13100</v>
      </c>
    </row>
    <row r="142" spans="1:2">
      <c r="A142" t="s">
        <v>981</v>
      </c>
      <c r="B142">
        <v>29850</v>
      </c>
    </row>
    <row r="143" spans="1:2">
      <c r="A143" t="s">
        <v>982</v>
      </c>
      <c r="B143">
        <v>55536</v>
      </c>
    </row>
    <row r="144" spans="1:2">
      <c r="A144" t="s">
        <v>983</v>
      </c>
      <c r="B144">
        <v>17706</v>
      </c>
    </row>
    <row r="145" spans="1:2">
      <c r="A145" t="s">
        <v>984</v>
      </c>
      <c r="B145">
        <v>38986</v>
      </c>
    </row>
    <row r="146" spans="1:2">
      <c r="A146" t="s">
        <v>985</v>
      </c>
      <c r="B146">
        <v>5550</v>
      </c>
    </row>
    <row r="147" spans="1:2">
      <c r="A147" t="s">
        <v>986</v>
      </c>
      <c r="B147">
        <v>7350</v>
      </c>
    </row>
    <row r="148" spans="1:2">
      <c r="A148" t="s">
        <v>987</v>
      </c>
      <c r="B148">
        <v>4536</v>
      </c>
    </row>
    <row r="149" spans="1:2">
      <c r="A149" t="s">
        <v>988</v>
      </c>
      <c r="B149">
        <v>1260</v>
      </c>
    </row>
    <row r="150" spans="1:2">
      <c r="A150" t="s">
        <v>989</v>
      </c>
      <c r="B150">
        <v>899</v>
      </c>
    </row>
    <row r="151" spans="1:2">
      <c r="A151" t="s">
        <v>990</v>
      </c>
      <c r="B151">
        <v>5916</v>
      </c>
    </row>
    <row r="152" spans="1:2">
      <c r="A152" t="s">
        <v>991</v>
      </c>
      <c r="B152">
        <v>875</v>
      </c>
    </row>
    <row r="153" spans="1:2">
      <c r="A153" t="s">
        <v>992</v>
      </c>
      <c r="B153">
        <v>1566</v>
      </c>
    </row>
    <row r="154" spans="1:2">
      <c r="A154" t="s">
        <v>993</v>
      </c>
      <c r="B154">
        <v>2581</v>
      </c>
    </row>
    <row r="155" spans="1:2">
      <c r="A155" t="s">
        <v>994</v>
      </c>
      <c r="B155">
        <v>1200</v>
      </c>
    </row>
    <row r="156" spans="1:2">
      <c r="A156" t="s">
        <v>995</v>
      </c>
      <c r="B156">
        <v>4000</v>
      </c>
    </row>
    <row r="157" spans="1:2">
      <c r="A157" t="s">
        <v>996</v>
      </c>
      <c r="B157">
        <v>4800</v>
      </c>
    </row>
    <row r="158" spans="1:2">
      <c r="A158" t="s">
        <v>997</v>
      </c>
      <c r="B158">
        <v>40200</v>
      </c>
    </row>
    <row r="159" spans="1:2">
      <c r="A159" t="s">
        <v>998</v>
      </c>
      <c r="B159">
        <v>3700</v>
      </c>
    </row>
    <row r="160" spans="1:2">
      <c r="A160" t="s">
        <v>999</v>
      </c>
      <c r="B160">
        <v>3100</v>
      </c>
    </row>
    <row r="161" spans="1:2">
      <c r="A161" t="s">
        <v>1000</v>
      </c>
      <c r="B161">
        <v>1450</v>
      </c>
    </row>
    <row r="162" spans="1:2">
      <c r="A162" t="s">
        <v>1001</v>
      </c>
      <c r="B162">
        <v>1350</v>
      </c>
    </row>
    <row r="163" spans="1:2">
      <c r="A163" t="s">
        <v>1002</v>
      </c>
      <c r="B163">
        <v>1050</v>
      </c>
    </row>
    <row r="164" spans="1:2">
      <c r="A164" t="s">
        <v>1003</v>
      </c>
      <c r="B164">
        <v>1700</v>
      </c>
    </row>
    <row r="165" spans="1:2">
      <c r="A165" t="s">
        <v>1004</v>
      </c>
      <c r="B165">
        <v>3100</v>
      </c>
    </row>
    <row r="166" spans="1:2">
      <c r="A166" t="s">
        <v>1005</v>
      </c>
      <c r="B166">
        <v>2500</v>
      </c>
    </row>
    <row r="167" spans="1:2">
      <c r="A167" t="s">
        <v>1006</v>
      </c>
      <c r="B167">
        <v>2350</v>
      </c>
    </row>
    <row r="168" spans="1:2">
      <c r="A168" t="s">
        <v>1007</v>
      </c>
      <c r="B168">
        <v>1350</v>
      </c>
    </row>
    <row r="169" spans="1:2">
      <c r="A169" t="s">
        <v>1008</v>
      </c>
      <c r="B169">
        <v>1950</v>
      </c>
    </row>
    <row r="170" spans="1:2">
      <c r="A170" t="s">
        <v>1009</v>
      </c>
      <c r="B170">
        <v>500</v>
      </c>
    </row>
    <row r="171" spans="1:2">
      <c r="A171" t="s">
        <v>1010</v>
      </c>
      <c r="B171">
        <v>16100</v>
      </c>
    </row>
    <row r="172" spans="1:2">
      <c r="A172" t="s">
        <v>1011</v>
      </c>
      <c r="B172">
        <v>27850</v>
      </c>
    </row>
    <row r="173" spans="1:2">
      <c r="A173" t="s">
        <v>1012</v>
      </c>
      <c r="B173">
        <v>16400</v>
      </c>
    </row>
    <row r="174" spans="1:2">
      <c r="A174" t="s">
        <v>1013</v>
      </c>
      <c r="B174">
        <v>2500</v>
      </c>
    </row>
    <row r="175" spans="1:2">
      <c r="A175" t="s">
        <v>1014</v>
      </c>
      <c r="B175">
        <v>19400</v>
      </c>
    </row>
    <row r="176" spans="1:2">
      <c r="A176" t="s">
        <v>1015</v>
      </c>
      <c r="B176">
        <v>3400</v>
      </c>
    </row>
    <row r="177" spans="1:2">
      <c r="A177" t="s">
        <v>1016</v>
      </c>
      <c r="B177">
        <v>300</v>
      </c>
    </row>
    <row r="178" spans="1:2">
      <c r="A178" t="s">
        <v>1017</v>
      </c>
      <c r="B178">
        <v>4250</v>
      </c>
    </row>
    <row r="179" spans="1:2">
      <c r="A179" t="s">
        <v>1018</v>
      </c>
      <c r="B179">
        <v>850</v>
      </c>
    </row>
    <row r="180" spans="1:2">
      <c r="A180" t="s">
        <v>1019</v>
      </c>
      <c r="B180">
        <v>2200</v>
      </c>
    </row>
    <row r="181" spans="1:2">
      <c r="A181" t="s">
        <v>1020</v>
      </c>
      <c r="B181">
        <v>15200</v>
      </c>
    </row>
    <row r="182" spans="1:2">
      <c r="A182" t="s">
        <v>1021</v>
      </c>
      <c r="B182">
        <v>1300</v>
      </c>
    </row>
    <row r="183" spans="1:2">
      <c r="A183" t="s">
        <v>1022</v>
      </c>
      <c r="B183">
        <v>11650</v>
      </c>
    </row>
    <row r="184" spans="1:2">
      <c r="A184" t="s">
        <v>1023</v>
      </c>
      <c r="B184">
        <v>11950</v>
      </c>
    </row>
    <row r="185" spans="1:2">
      <c r="A185" t="s">
        <v>1024</v>
      </c>
      <c r="B185">
        <v>20450</v>
      </c>
    </row>
    <row r="186" spans="1:2">
      <c r="A186" t="s">
        <v>1025</v>
      </c>
      <c r="B186">
        <v>12150</v>
      </c>
    </row>
    <row r="187" spans="1:2">
      <c r="A187" t="s">
        <v>1026</v>
      </c>
      <c r="B187">
        <v>10450</v>
      </c>
    </row>
    <row r="188" spans="1:2">
      <c r="A188" t="s">
        <v>1027</v>
      </c>
      <c r="B188">
        <v>1012</v>
      </c>
    </row>
    <row r="189" spans="1:2">
      <c r="A189" t="s">
        <v>1028</v>
      </c>
      <c r="B189">
        <v>2200</v>
      </c>
    </row>
    <row r="190" spans="1:2">
      <c r="A190" t="s">
        <v>1029</v>
      </c>
      <c r="B190">
        <v>1600</v>
      </c>
    </row>
    <row r="191" spans="1:2">
      <c r="A191" t="s">
        <v>1030</v>
      </c>
      <c r="B191">
        <v>3100</v>
      </c>
    </row>
    <row r="192" spans="1:2">
      <c r="A192" t="s">
        <v>1031</v>
      </c>
      <c r="B192">
        <v>12500</v>
      </c>
    </row>
    <row r="193" spans="1:2">
      <c r="A193" t="s">
        <v>1032</v>
      </c>
      <c r="B193">
        <v>3600</v>
      </c>
    </row>
    <row r="194" spans="1:2">
      <c r="A194" t="s">
        <v>1033</v>
      </c>
      <c r="B194">
        <v>14300</v>
      </c>
    </row>
    <row r="195" spans="1:2">
      <c r="A195" t="s">
        <v>1034</v>
      </c>
      <c r="B195">
        <v>850</v>
      </c>
    </row>
    <row r="196" spans="1:2">
      <c r="A196" t="s">
        <v>1035</v>
      </c>
      <c r="B196">
        <v>1200</v>
      </c>
    </row>
    <row r="197" spans="1:2">
      <c r="A197" t="s">
        <v>1036</v>
      </c>
      <c r="B197">
        <v>33600</v>
      </c>
    </row>
    <row r="198" spans="1:2">
      <c r="A198" t="s">
        <v>1037</v>
      </c>
      <c r="B198">
        <v>49450</v>
      </c>
    </row>
    <row r="199" spans="1:2">
      <c r="A199" t="s">
        <v>1038</v>
      </c>
      <c r="B199">
        <v>26700</v>
      </c>
    </row>
    <row r="200" spans="1:2">
      <c r="A200" t="s">
        <v>1039</v>
      </c>
      <c r="B200">
        <v>38550</v>
      </c>
    </row>
    <row r="201" spans="1:2">
      <c r="A201" t="s">
        <v>1040</v>
      </c>
      <c r="B201">
        <v>19550</v>
      </c>
    </row>
    <row r="202" spans="1:2">
      <c r="A202" t="s">
        <v>1041</v>
      </c>
      <c r="B202">
        <v>57250</v>
      </c>
    </row>
    <row r="203" spans="1:2">
      <c r="A203" t="s">
        <v>1042</v>
      </c>
      <c r="B203">
        <v>129800</v>
      </c>
    </row>
    <row r="204" spans="1:2">
      <c r="A204" t="s">
        <v>1043</v>
      </c>
      <c r="B204">
        <v>103300</v>
      </c>
    </row>
    <row r="205" spans="1:2">
      <c r="A205" t="s">
        <v>1044</v>
      </c>
      <c r="B205">
        <v>21874</v>
      </c>
    </row>
    <row r="206" spans="1:2">
      <c r="A206" t="s">
        <v>1045</v>
      </c>
      <c r="B206">
        <v>40688</v>
      </c>
    </row>
    <row r="207" spans="1:2">
      <c r="A207" t="s">
        <v>1046</v>
      </c>
      <c r="B207">
        <v>105650</v>
      </c>
    </row>
    <row r="208" spans="1:2">
      <c r="A208" t="s">
        <v>1047</v>
      </c>
      <c r="B208">
        <v>282250</v>
      </c>
    </row>
    <row r="209" spans="1:2">
      <c r="A209" t="s">
        <v>1048</v>
      </c>
      <c r="B209">
        <v>98200</v>
      </c>
    </row>
    <row r="210" spans="1:2">
      <c r="A210" t="s">
        <v>1049</v>
      </c>
      <c r="B210">
        <v>191800</v>
      </c>
    </row>
    <row r="211" spans="1:2">
      <c r="A211" t="s">
        <v>1050</v>
      </c>
      <c r="B211">
        <v>431250</v>
      </c>
    </row>
    <row r="212" spans="1:2">
      <c r="A212" t="s">
        <v>1051</v>
      </c>
      <c r="B212">
        <v>200</v>
      </c>
    </row>
    <row r="213" spans="1:2">
      <c r="A213" t="s">
        <v>1052</v>
      </c>
      <c r="B213">
        <v>850</v>
      </c>
    </row>
    <row r="214" spans="1:2">
      <c r="A214" t="s">
        <v>1053</v>
      </c>
      <c r="B214">
        <v>2350</v>
      </c>
    </row>
    <row r="215" spans="1:2">
      <c r="A215" t="s">
        <v>1054</v>
      </c>
      <c r="B215">
        <v>250</v>
      </c>
    </row>
    <row r="216" spans="1:2">
      <c r="A216" t="s">
        <v>1055</v>
      </c>
      <c r="B216">
        <v>245</v>
      </c>
    </row>
    <row r="217" spans="1:2">
      <c r="A217" t="s">
        <v>1056</v>
      </c>
      <c r="B217">
        <v>35613</v>
      </c>
    </row>
    <row r="218" spans="1:2">
      <c r="A218" t="s">
        <v>1057</v>
      </c>
      <c r="B218">
        <v>222700</v>
      </c>
    </row>
    <row r="219" spans="1:2">
      <c r="A219" t="s">
        <v>1058</v>
      </c>
      <c r="B219">
        <v>11144</v>
      </c>
    </row>
    <row r="220" spans="1:2">
      <c r="A220" t="s">
        <v>1059</v>
      </c>
      <c r="B220">
        <v>68200</v>
      </c>
    </row>
    <row r="221" spans="1:2">
      <c r="A221" t="s">
        <v>1060</v>
      </c>
      <c r="B221">
        <v>190550</v>
      </c>
    </row>
    <row r="222" spans="1:2">
      <c r="A222" t="s">
        <v>1061</v>
      </c>
      <c r="B222">
        <v>204550</v>
      </c>
    </row>
    <row r="223" spans="1:2">
      <c r="A223" t="s">
        <v>1062</v>
      </c>
      <c r="B223">
        <v>40900</v>
      </c>
    </row>
    <row r="224" spans="1:2">
      <c r="A224" t="s">
        <v>1063</v>
      </c>
      <c r="B224">
        <v>57600</v>
      </c>
    </row>
    <row r="225" spans="1:2">
      <c r="A225" t="s">
        <v>1064</v>
      </c>
      <c r="B225">
        <v>23800</v>
      </c>
    </row>
    <row r="226" spans="1:2">
      <c r="A226" t="s">
        <v>1065</v>
      </c>
      <c r="B226">
        <v>36800</v>
      </c>
    </row>
    <row r="227" spans="1:2">
      <c r="A227" t="s">
        <v>1066</v>
      </c>
      <c r="B227">
        <v>33450</v>
      </c>
    </row>
    <row r="228" spans="1:2">
      <c r="A228" t="s">
        <v>1067</v>
      </c>
      <c r="B228">
        <v>48300</v>
      </c>
    </row>
    <row r="229" spans="1:2">
      <c r="A229" t="s">
        <v>1068</v>
      </c>
      <c r="B229">
        <v>317300</v>
      </c>
    </row>
    <row r="230" spans="1:2">
      <c r="A230" t="s">
        <v>1069</v>
      </c>
      <c r="B230">
        <v>51900</v>
      </c>
    </row>
    <row r="231" spans="1:2">
      <c r="A231" t="s">
        <v>1070</v>
      </c>
      <c r="B231">
        <v>239750</v>
      </c>
    </row>
    <row r="232" spans="1:2">
      <c r="A232" t="s">
        <v>1071</v>
      </c>
      <c r="B232">
        <v>249500</v>
      </c>
    </row>
    <row r="233" spans="1:2">
      <c r="A233" t="s">
        <v>1072</v>
      </c>
      <c r="B233">
        <v>71500</v>
      </c>
    </row>
    <row r="234" spans="1:2">
      <c r="A234" t="s">
        <v>1073</v>
      </c>
      <c r="B234">
        <v>420950</v>
      </c>
    </row>
    <row r="235" spans="1:2">
      <c r="A235" t="s">
        <v>1074</v>
      </c>
      <c r="B235">
        <v>525800</v>
      </c>
    </row>
    <row r="236" spans="1:2">
      <c r="A236" t="s">
        <v>1075</v>
      </c>
      <c r="B236">
        <v>620000</v>
      </c>
    </row>
    <row r="237" spans="1:2">
      <c r="A237" t="s">
        <v>1076</v>
      </c>
      <c r="B237">
        <v>567550</v>
      </c>
    </row>
    <row r="238" spans="1:2">
      <c r="A238" t="s">
        <v>1077</v>
      </c>
      <c r="B238">
        <v>223750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AA31-1164-41D2-84A6-65A41D196035}">
  <dimension ref="A1:B238"/>
  <sheetViews>
    <sheetView topLeftCell="A40" workbookViewId="0">
      <selection activeCell="A40" sqref="A40"/>
    </sheetView>
  </sheetViews>
  <sheetFormatPr baseColWidth="10" defaultRowHeight="15"/>
  <cols>
    <col min="1" max="1" width="95.42578125" bestFit="1" customWidth="1"/>
  </cols>
  <sheetData>
    <row r="1" spans="1:2">
      <c r="A1" t="s">
        <v>843</v>
      </c>
      <c r="B1" t="s">
        <v>1078</v>
      </c>
    </row>
    <row r="2" spans="1:2">
      <c r="A2" t="s">
        <v>845</v>
      </c>
    </row>
    <row r="3" spans="1:2">
      <c r="A3" t="s">
        <v>846</v>
      </c>
    </row>
    <row r="4" spans="1:2">
      <c r="A4" t="s">
        <v>847</v>
      </c>
    </row>
    <row r="5" spans="1:2">
      <c r="A5" t="s">
        <v>848</v>
      </c>
    </row>
    <row r="6" spans="1:2">
      <c r="A6" t="s">
        <v>849</v>
      </c>
    </row>
    <row r="7" spans="1:2">
      <c r="A7" t="s">
        <v>850</v>
      </c>
    </row>
    <row r="8" spans="1:2">
      <c r="A8" t="s">
        <v>851</v>
      </c>
    </row>
    <row r="9" spans="1:2">
      <c r="A9" t="s">
        <v>852</v>
      </c>
    </row>
    <row r="10" spans="1:2">
      <c r="A10" t="s">
        <v>853</v>
      </c>
    </row>
    <row r="11" spans="1:2">
      <c r="A11" t="s">
        <v>854</v>
      </c>
    </row>
    <row r="12" spans="1:2">
      <c r="A12" t="s">
        <v>855</v>
      </c>
    </row>
    <row r="13" spans="1:2">
      <c r="A13" t="s">
        <v>856</v>
      </c>
    </row>
    <row r="14" spans="1:2">
      <c r="A14" t="s">
        <v>857</v>
      </c>
    </row>
    <row r="15" spans="1:2">
      <c r="A15" t="s">
        <v>858</v>
      </c>
    </row>
    <row r="16" spans="1:2">
      <c r="A16" t="s">
        <v>859</v>
      </c>
    </row>
    <row r="17" spans="1:1">
      <c r="A17" t="s">
        <v>860</v>
      </c>
    </row>
    <row r="18" spans="1:1">
      <c r="A18" t="s">
        <v>861</v>
      </c>
    </row>
    <row r="19" spans="1:1">
      <c r="A19" t="s">
        <v>862</v>
      </c>
    </row>
    <row r="20" spans="1:1">
      <c r="A20" t="s">
        <v>863</v>
      </c>
    </row>
    <row r="21" spans="1:1">
      <c r="A21" t="s">
        <v>864</v>
      </c>
    </row>
    <row r="22" spans="1:1">
      <c r="A22" t="s">
        <v>865</v>
      </c>
    </row>
    <row r="23" spans="1:1">
      <c r="A23" t="s">
        <v>866</v>
      </c>
    </row>
    <row r="24" spans="1:1">
      <c r="A24" t="s">
        <v>867</v>
      </c>
    </row>
    <row r="25" spans="1:1">
      <c r="A25" t="s">
        <v>866</v>
      </c>
    </row>
    <row r="26" spans="1:1">
      <c r="A26" t="s">
        <v>865</v>
      </c>
    </row>
    <row r="27" spans="1:1">
      <c r="A27" t="s">
        <v>864</v>
      </c>
    </row>
    <row r="28" spans="1:1">
      <c r="A28" t="s">
        <v>868</v>
      </c>
    </row>
    <row r="29" spans="1:1">
      <c r="A29" t="s">
        <v>869</v>
      </c>
    </row>
    <row r="30" spans="1:1">
      <c r="A30" t="s">
        <v>870</v>
      </c>
    </row>
    <row r="31" spans="1:1">
      <c r="A31" t="s">
        <v>871</v>
      </c>
    </row>
    <row r="32" spans="1:1">
      <c r="A32" t="s">
        <v>872</v>
      </c>
    </row>
    <row r="33" spans="1:1">
      <c r="A33" t="s">
        <v>873</v>
      </c>
    </row>
    <row r="34" spans="1:1">
      <c r="A34" t="s">
        <v>874</v>
      </c>
    </row>
    <row r="35" spans="1:1">
      <c r="A35" t="s">
        <v>875</v>
      </c>
    </row>
    <row r="36" spans="1:1">
      <c r="A36" t="s">
        <v>876</v>
      </c>
    </row>
    <row r="37" spans="1:1">
      <c r="A37" t="s">
        <v>877</v>
      </c>
    </row>
    <row r="38" spans="1:1">
      <c r="A38" t="s">
        <v>878</v>
      </c>
    </row>
    <row r="39" spans="1:1">
      <c r="A39" t="s">
        <v>879</v>
      </c>
    </row>
    <row r="40" spans="1:1">
      <c r="A40" t="s">
        <v>880</v>
      </c>
    </row>
    <row r="41" spans="1:1">
      <c r="A41" t="s">
        <v>881</v>
      </c>
    </row>
    <row r="42" spans="1:1">
      <c r="A42" t="s">
        <v>882</v>
      </c>
    </row>
    <row r="43" spans="1:1">
      <c r="A43" t="s">
        <v>883</v>
      </c>
    </row>
    <row r="44" spans="1:1">
      <c r="A44" t="s">
        <v>884</v>
      </c>
    </row>
    <row r="45" spans="1:1">
      <c r="A45" t="s">
        <v>885</v>
      </c>
    </row>
    <row r="46" spans="1:1">
      <c r="A46" t="s">
        <v>886</v>
      </c>
    </row>
    <row r="47" spans="1:1">
      <c r="A47" t="s">
        <v>887</v>
      </c>
    </row>
    <row r="48" spans="1:1">
      <c r="A48" t="s">
        <v>888</v>
      </c>
    </row>
    <row r="49" spans="1:1">
      <c r="A49" t="s">
        <v>889</v>
      </c>
    </row>
    <row r="50" spans="1:1">
      <c r="A50" t="s">
        <v>890</v>
      </c>
    </row>
    <row r="51" spans="1:1">
      <c r="A51" t="s">
        <v>891</v>
      </c>
    </row>
    <row r="52" spans="1:1">
      <c r="A52" t="s">
        <v>892</v>
      </c>
    </row>
    <row r="53" spans="1:1">
      <c r="A53" t="s">
        <v>893</v>
      </c>
    </row>
    <row r="54" spans="1:1">
      <c r="A54" t="s">
        <v>894</v>
      </c>
    </row>
    <row r="55" spans="1:1">
      <c r="A55" t="s">
        <v>895</v>
      </c>
    </row>
    <row r="56" spans="1:1">
      <c r="A56" t="s">
        <v>896</v>
      </c>
    </row>
    <row r="57" spans="1:1">
      <c r="A57" t="s">
        <v>897</v>
      </c>
    </row>
    <row r="58" spans="1:1">
      <c r="A58" t="s">
        <v>898</v>
      </c>
    </row>
    <row r="59" spans="1:1">
      <c r="A59" t="s">
        <v>899</v>
      </c>
    </row>
    <row r="60" spans="1:1">
      <c r="A60" t="s">
        <v>900</v>
      </c>
    </row>
    <row r="61" spans="1:1">
      <c r="A61" t="s">
        <v>901</v>
      </c>
    </row>
    <row r="62" spans="1:1">
      <c r="A62" t="s">
        <v>902</v>
      </c>
    </row>
    <row r="63" spans="1:1">
      <c r="A63" t="s">
        <v>903</v>
      </c>
    </row>
    <row r="64" spans="1:1">
      <c r="A64" t="s">
        <v>904</v>
      </c>
    </row>
    <row r="65" spans="1:1">
      <c r="A65" t="s">
        <v>905</v>
      </c>
    </row>
    <row r="66" spans="1:1">
      <c r="A66" t="s">
        <v>906</v>
      </c>
    </row>
    <row r="67" spans="1:1">
      <c r="A67" t="s">
        <v>907</v>
      </c>
    </row>
    <row r="68" spans="1:1">
      <c r="A68" t="s">
        <v>908</v>
      </c>
    </row>
    <row r="69" spans="1:1">
      <c r="A69" t="s">
        <v>909</v>
      </c>
    </row>
    <row r="70" spans="1:1">
      <c r="A70" t="s">
        <v>910</v>
      </c>
    </row>
    <row r="71" spans="1:1">
      <c r="A71" t="s">
        <v>911</v>
      </c>
    </row>
    <row r="72" spans="1:1">
      <c r="A72" t="s">
        <v>912</v>
      </c>
    </row>
    <row r="73" spans="1:1">
      <c r="A73" t="s">
        <v>913</v>
      </c>
    </row>
    <row r="74" spans="1:1">
      <c r="A74" t="s">
        <v>914</v>
      </c>
    </row>
    <row r="75" spans="1:1">
      <c r="A75" t="s">
        <v>915</v>
      </c>
    </row>
    <row r="76" spans="1:1">
      <c r="A76" t="s">
        <v>916</v>
      </c>
    </row>
    <row r="77" spans="1:1">
      <c r="A77" t="s">
        <v>917</v>
      </c>
    </row>
    <row r="78" spans="1:1">
      <c r="A78" t="s">
        <v>918</v>
      </c>
    </row>
    <row r="79" spans="1:1">
      <c r="A79" t="s">
        <v>919</v>
      </c>
    </row>
    <row r="80" spans="1:1">
      <c r="A80" t="s">
        <v>920</v>
      </c>
    </row>
    <row r="81" spans="1:1">
      <c r="A81" t="s">
        <v>921</v>
      </c>
    </row>
    <row r="82" spans="1:1">
      <c r="A82" t="s">
        <v>922</v>
      </c>
    </row>
    <row r="83" spans="1:1">
      <c r="A83" t="s">
        <v>923</v>
      </c>
    </row>
    <row r="84" spans="1:1">
      <c r="A84" t="s">
        <v>924</v>
      </c>
    </row>
    <row r="85" spans="1:1">
      <c r="A85" t="s">
        <v>925</v>
      </c>
    </row>
    <row r="86" spans="1:1">
      <c r="A86" t="s">
        <v>926</v>
      </c>
    </row>
    <row r="87" spans="1:1">
      <c r="A87" t="s">
        <v>927</v>
      </c>
    </row>
    <row r="88" spans="1:1">
      <c r="A88" t="s">
        <v>928</v>
      </c>
    </row>
    <row r="89" spans="1:1">
      <c r="A89" t="s">
        <v>929</v>
      </c>
    </row>
    <row r="90" spans="1:1">
      <c r="A90" t="s">
        <v>930</v>
      </c>
    </row>
    <row r="91" spans="1:1">
      <c r="A91" t="s">
        <v>931</v>
      </c>
    </row>
    <row r="92" spans="1:1">
      <c r="A92" t="s">
        <v>932</v>
      </c>
    </row>
    <row r="93" spans="1:1">
      <c r="A93" t="s">
        <v>933</v>
      </c>
    </row>
    <row r="94" spans="1:1">
      <c r="A94" t="s">
        <v>934</v>
      </c>
    </row>
    <row r="95" spans="1:1">
      <c r="A95" t="s">
        <v>935</v>
      </c>
    </row>
    <row r="96" spans="1:1">
      <c r="A96" t="s">
        <v>936</v>
      </c>
    </row>
    <row r="97" spans="1:1">
      <c r="A97" t="s">
        <v>937</v>
      </c>
    </row>
    <row r="98" spans="1:1">
      <c r="A98" t="s">
        <v>938</v>
      </c>
    </row>
    <row r="99" spans="1:1">
      <c r="A99" t="s">
        <v>939</v>
      </c>
    </row>
    <row r="100" spans="1:1">
      <c r="A100" t="s">
        <v>940</v>
      </c>
    </row>
    <row r="101" spans="1:1">
      <c r="A101" t="s">
        <v>941</v>
      </c>
    </row>
    <row r="102" spans="1:1">
      <c r="A102" t="s">
        <v>942</v>
      </c>
    </row>
    <row r="103" spans="1:1">
      <c r="A103" t="s">
        <v>943</v>
      </c>
    </row>
    <row r="104" spans="1:1">
      <c r="A104" t="s">
        <v>944</v>
      </c>
    </row>
    <row r="105" spans="1:1">
      <c r="A105" t="s">
        <v>945</v>
      </c>
    </row>
    <row r="106" spans="1:1">
      <c r="A106" t="s">
        <v>946</v>
      </c>
    </row>
    <row r="107" spans="1:1">
      <c r="A107" t="s">
        <v>947</v>
      </c>
    </row>
    <row r="108" spans="1:1">
      <c r="A108" t="s">
        <v>948</v>
      </c>
    </row>
    <row r="109" spans="1:1">
      <c r="A109" t="s">
        <v>949</v>
      </c>
    </row>
    <row r="110" spans="1:1">
      <c r="A110" t="s">
        <v>950</v>
      </c>
    </row>
    <row r="111" spans="1:1">
      <c r="A111" t="s">
        <v>951</v>
      </c>
    </row>
    <row r="112" spans="1:1">
      <c r="A112" t="s">
        <v>952</v>
      </c>
    </row>
    <row r="113" spans="1:1">
      <c r="A113" t="s">
        <v>953</v>
      </c>
    </row>
    <row r="114" spans="1:1">
      <c r="A114" t="s">
        <v>954</v>
      </c>
    </row>
    <row r="115" spans="1:1">
      <c r="A115" t="s">
        <v>955</v>
      </c>
    </row>
    <row r="116" spans="1:1">
      <c r="A116" t="s">
        <v>956</v>
      </c>
    </row>
    <row r="117" spans="1:1">
      <c r="A117" t="s">
        <v>957</v>
      </c>
    </row>
    <row r="118" spans="1:1">
      <c r="A118" t="s">
        <v>958</v>
      </c>
    </row>
    <row r="119" spans="1:1">
      <c r="A119" t="s">
        <v>959</v>
      </c>
    </row>
    <row r="120" spans="1:1">
      <c r="A120" t="s">
        <v>960</v>
      </c>
    </row>
    <row r="121" spans="1:1">
      <c r="A121" t="s">
        <v>961</v>
      </c>
    </row>
    <row r="122" spans="1:1">
      <c r="A122" t="s">
        <v>962</v>
      </c>
    </row>
    <row r="123" spans="1:1">
      <c r="A123" t="s">
        <v>963</v>
      </c>
    </row>
    <row r="124" spans="1:1">
      <c r="A124" t="s">
        <v>964</v>
      </c>
    </row>
    <row r="125" spans="1:1">
      <c r="A125" t="s">
        <v>965</v>
      </c>
    </row>
    <row r="126" spans="1:1">
      <c r="A126" t="s">
        <v>966</v>
      </c>
    </row>
    <row r="127" spans="1:1">
      <c r="A127" t="s">
        <v>967</v>
      </c>
    </row>
    <row r="128" spans="1:1">
      <c r="A128" t="s">
        <v>968</v>
      </c>
    </row>
    <row r="129" spans="1:1">
      <c r="A129" t="s">
        <v>969</v>
      </c>
    </row>
    <row r="130" spans="1:1">
      <c r="A130" t="s">
        <v>970</v>
      </c>
    </row>
    <row r="131" spans="1:1">
      <c r="A131" t="s">
        <v>971</v>
      </c>
    </row>
    <row r="132" spans="1:1">
      <c r="A132" t="s">
        <v>972</v>
      </c>
    </row>
    <row r="133" spans="1:1">
      <c r="A133" t="s">
        <v>973</v>
      </c>
    </row>
    <row r="134" spans="1:1">
      <c r="A134" t="s">
        <v>974</v>
      </c>
    </row>
    <row r="135" spans="1:1">
      <c r="A135" t="s">
        <v>975</v>
      </c>
    </row>
    <row r="136" spans="1:1">
      <c r="A136" t="s">
        <v>976</v>
      </c>
    </row>
    <row r="137" spans="1:1">
      <c r="A137" t="s">
        <v>971</v>
      </c>
    </row>
    <row r="138" spans="1:1">
      <c r="A138" t="s">
        <v>977</v>
      </c>
    </row>
    <row r="139" spans="1:1">
      <c r="A139" t="s">
        <v>978</v>
      </c>
    </row>
    <row r="140" spans="1:1">
      <c r="A140" t="s">
        <v>979</v>
      </c>
    </row>
    <row r="141" spans="1:1">
      <c r="A141" t="s">
        <v>980</v>
      </c>
    </row>
    <row r="142" spans="1:1">
      <c r="A142" t="s">
        <v>981</v>
      </c>
    </row>
    <row r="143" spans="1:1">
      <c r="A143" t="s">
        <v>982</v>
      </c>
    </row>
    <row r="144" spans="1:1">
      <c r="A144" t="s">
        <v>983</v>
      </c>
    </row>
    <row r="145" spans="1:1">
      <c r="A145" t="s">
        <v>984</v>
      </c>
    </row>
    <row r="146" spans="1:1">
      <c r="A146" t="s">
        <v>985</v>
      </c>
    </row>
    <row r="147" spans="1:1">
      <c r="A147" t="s">
        <v>986</v>
      </c>
    </row>
    <row r="148" spans="1:1">
      <c r="A148" t="s">
        <v>987</v>
      </c>
    </row>
    <row r="149" spans="1:1">
      <c r="A149" t="s">
        <v>988</v>
      </c>
    </row>
    <row r="150" spans="1:1">
      <c r="A150" t="s">
        <v>989</v>
      </c>
    </row>
    <row r="151" spans="1:1">
      <c r="A151" t="s">
        <v>990</v>
      </c>
    </row>
    <row r="152" spans="1:1">
      <c r="A152" t="s">
        <v>991</v>
      </c>
    </row>
    <row r="153" spans="1:1">
      <c r="A153" t="s">
        <v>992</v>
      </c>
    </row>
    <row r="154" spans="1:1">
      <c r="A154" t="s">
        <v>993</v>
      </c>
    </row>
    <row r="155" spans="1:1">
      <c r="A155" t="s">
        <v>994</v>
      </c>
    </row>
    <row r="156" spans="1:1">
      <c r="A156" t="s">
        <v>995</v>
      </c>
    </row>
    <row r="157" spans="1:1">
      <c r="A157" t="s">
        <v>996</v>
      </c>
    </row>
    <row r="158" spans="1:1">
      <c r="A158" t="s">
        <v>997</v>
      </c>
    </row>
    <row r="159" spans="1:1">
      <c r="A159" t="s">
        <v>998</v>
      </c>
    </row>
    <row r="160" spans="1:1">
      <c r="A160" t="s">
        <v>999</v>
      </c>
    </row>
    <row r="161" spans="1:1">
      <c r="A161" t="s">
        <v>1000</v>
      </c>
    </row>
    <row r="162" spans="1:1">
      <c r="A162" t="s">
        <v>1001</v>
      </c>
    </row>
    <row r="163" spans="1:1">
      <c r="A163" t="s">
        <v>1002</v>
      </c>
    </row>
    <row r="164" spans="1:1">
      <c r="A164" t="s">
        <v>1003</v>
      </c>
    </row>
    <row r="165" spans="1:1">
      <c r="A165" t="s">
        <v>1004</v>
      </c>
    </row>
    <row r="166" spans="1:1">
      <c r="A166" t="s">
        <v>1005</v>
      </c>
    </row>
    <row r="167" spans="1:1">
      <c r="A167" t="s">
        <v>1006</v>
      </c>
    </row>
    <row r="168" spans="1:1">
      <c r="A168" t="s">
        <v>1007</v>
      </c>
    </row>
    <row r="169" spans="1:1">
      <c r="A169" t="s">
        <v>1008</v>
      </c>
    </row>
    <row r="170" spans="1:1">
      <c r="A170" t="s">
        <v>1009</v>
      </c>
    </row>
    <row r="171" spans="1:1">
      <c r="A171" t="s">
        <v>1010</v>
      </c>
    </row>
    <row r="172" spans="1:1">
      <c r="A172" t="s">
        <v>1011</v>
      </c>
    </row>
    <row r="173" spans="1:1">
      <c r="A173" t="s">
        <v>1012</v>
      </c>
    </row>
    <row r="174" spans="1:1">
      <c r="A174" t="s">
        <v>1013</v>
      </c>
    </row>
    <row r="175" spans="1:1">
      <c r="A175" t="s">
        <v>1014</v>
      </c>
    </row>
    <row r="176" spans="1:1">
      <c r="A176" t="s">
        <v>1015</v>
      </c>
    </row>
    <row r="177" spans="1:1">
      <c r="A177" t="s">
        <v>1016</v>
      </c>
    </row>
    <row r="178" spans="1:1">
      <c r="A178" t="s">
        <v>1017</v>
      </c>
    </row>
    <row r="179" spans="1:1">
      <c r="A179" t="s">
        <v>1018</v>
      </c>
    </row>
    <row r="180" spans="1:1">
      <c r="A180" t="s">
        <v>1019</v>
      </c>
    </row>
    <row r="181" spans="1:1">
      <c r="A181" t="s">
        <v>1020</v>
      </c>
    </row>
    <row r="182" spans="1:1">
      <c r="A182" t="s">
        <v>1021</v>
      </c>
    </row>
    <row r="183" spans="1:1">
      <c r="A183" t="s">
        <v>1022</v>
      </c>
    </row>
    <row r="184" spans="1:1">
      <c r="A184" t="s">
        <v>1023</v>
      </c>
    </row>
    <row r="185" spans="1:1">
      <c r="A185" t="s">
        <v>1024</v>
      </c>
    </row>
    <row r="186" spans="1:1">
      <c r="A186" t="s">
        <v>1025</v>
      </c>
    </row>
    <row r="187" spans="1:1">
      <c r="A187" t="s">
        <v>1026</v>
      </c>
    </row>
    <row r="188" spans="1:1">
      <c r="A188" t="s">
        <v>1027</v>
      </c>
    </row>
    <row r="189" spans="1:1">
      <c r="A189" t="s">
        <v>1028</v>
      </c>
    </row>
    <row r="190" spans="1:1">
      <c r="A190" t="s">
        <v>1029</v>
      </c>
    </row>
    <row r="191" spans="1:1">
      <c r="A191" t="s">
        <v>1030</v>
      </c>
    </row>
    <row r="192" spans="1:1">
      <c r="A192" t="s">
        <v>1031</v>
      </c>
    </row>
    <row r="193" spans="1:1">
      <c r="A193" t="s">
        <v>1032</v>
      </c>
    </row>
    <row r="194" spans="1:1">
      <c r="A194" t="s">
        <v>1033</v>
      </c>
    </row>
    <row r="195" spans="1:1">
      <c r="A195" t="s">
        <v>1034</v>
      </c>
    </row>
    <row r="196" spans="1:1">
      <c r="A196" t="s">
        <v>1035</v>
      </c>
    </row>
    <row r="197" spans="1:1">
      <c r="A197" t="s">
        <v>1036</v>
      </c>
    </row>
    <row r="198" spans="1:1">
      <c r="A198" t="s">
        <v>1037</v>
      </c>
    </row>
    <row r="199" spans="1:1">
      <c r="A199" t="s">
        <v>1038</v>
      </c>
    </row>
    <row r="200" spans="1:1">
      <c r="A200" t="s">
        <v>1039</v>
      </c>
    </row>
    <row r="201" spans="1:1">
      <c r="A201" t="s">
        <v>1040</v>
      </c>
    </row>
    <row r="202" spans="1:1">
      <c r="A202" t="s">
        <v>1041</v>
      </c>
    </row>
    <row r="203" spans="1:1">
      <c r="A203" t="s">
        <v>1042</v>
      </c>
    </row>
    <row r="204" spans="1:1">
      <c r="A204" t="s">
        <v>1043</v>
      </c>
    </row>
    <row r="205" spans="1:1">
      <c r="A205" t="s">
        <v>1044</v>
      </c>
    </row>
    <row r="206" spans="1:1">
      <c r="A206" t="s">
        <v>1045</v>
      </c>
    </row>
    <row r="207" spans="1:1">
      <c r="A207" t="s">
        <v>1046</v>
      </c>
    </row>
    <row r="208" spans="1:1">
      <c r="A208" t="s">
        <v>1047</v>
      </c>
    </row>
    <row r="209" spans="1:1">
      <c r="A209" t="s">
        <v>1048</v>
      </c>
    </row>
    <row r="210" spans="1:1">
      <c r="A210" t="s">
        <v>1049</v>
      </c>
    </row>
    <row r="211" spans="1:1">
      <c r="A211" t="s">
        <v>1050</v>
      </c>
    </row>
    <row r="212" spans="1:1">
      <c r="A212" t="s">
        <v>1051</v>
      </c>
    </row>
    <row r="213" spans="1:1">
      <c r="A213" t="s">
        <v>1052</v>
      </c>
    </row>
    <row r="214" spans="1:1">
      <c r="A214" t="s">
        <v>1053</v>
      </c>
    </row>
    <row r="215" spans="1:1">
      <c r="A215" t="s">
        <v>1054</v>
      </c>
    </row>
    <row r="216" spans="1:1">
      <c r="A216" t="s">
        <v>1055</v>
      </c>
    </row>
    <row r="217" spans="1:1">
      <c r="A217" t="s">
        <v>1056</v>
      </c>
    </row>
    <row r="218" spans="1:1">
      <c r="A218" t="s">
        <v>1057</v>
      </c>
    </row>
    <row r="219" spans="1:1">
      <c r="A219" t="s">
        <v>1058</v>
      </c>
    </row>
    <row r="220" spans="1:1">
      <c r="A220" t="s">
        <v>1059</v>
      </c>
    </row>
    <row r="221" spans="1:1">
      <c r="A221" t="s">
        <v>1060</v>
      </c>
    </row>
    <row r="222" spans="1:1">
      <c r="A222" t="s">
        <v>1061</v>
      </c>
    </row>
    <row r="223" spans="1:1">
      <c r="A223" t="s">
        <v>1062</v>
      </c>
    </row>
    <row r="224" spans="1:1">
      <c r="A224" t="s">
        <v>1063</v>
      </c>
    </row>
    <row r="225" spans="1:1">
      <c r="A225" t="s">
        <v>1064</v>
      </c>
    </row>
    <row r="226" spans="1:1">
      <c r="A226" t="s">
        <v>1065</v>
      </c>
    </row>
    <row r="227" spans="1:1">
      <c r="A227" t="s">
        <v>1066</v>
      </c>
    </row>
    <row r="228" spans="1:1">
      <c r="A228" t="s">
        <v>1067</v>
      </c>
    </row>
    <row r="229" spans="1:1">
      <c r="A229" t="s">
        <v>1068</v>
      </c>
    </row>
    <row r="230" spans="1:1">
      <c r="A230" t="s">
        <v>1069</v>
      </c>
    </row>
    <row r="231" spans="1:1">
      <c r="A231" t="s">
        <v>1070</v>
      </c>
    </row>
    <row r="232" spans="1:1">
      <c r="A232" t="s">
        <v>1071</v>
      </c>
    </row>
    <row r="233" spans="1:1">
      <c r="A233" t="s">
        <v>1072</v>
      </c>
    </row>
    <row r="234" spans="1:1">
      <c r="A234" t="s">
        <v>1073</v>
      </c>
    </row>
    <row r="235" spans="1:1">
      <c r="A235" t="s">
        <v>1074</v>
      </c>
    </row>
    <row r="236" spans="1:1">
      <c r="A236" t="s">
        <v>1075</v>
      </c>
    </row>
    <row r="237" spans="1:1">
      <c r="A237" t="s">
        <v>1076</v>
      </c>
    </row>
    <row r="238" spans="1:1">
      <c r="A238" t="s">
        <v>1077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F429-6EF8-4644-B51A-3327A553C0BD}">
  <dimension ref="D2:E28"/>
  <sheetViews>
    <sheetView workbookViewId="0">
      <selection activeCell="E29" sqref="E29"/>
    </sheetView>
  </sheetViews>
  <sheetFormatPr baseColWidth="10" defaultRowHeight="15"/>
  <sheetData>
    <row r="2" spans="4:5">
      <c r="D2" t="s">
        <v>1662</v>
      </c>
    </row>
    <row r="4" spans="4:5">
      <c r="D4" t="s">
        <v>1663</v>
      </c>
      <c r="E4" t="s">
        <v>1664</v>
      </c>
    </row>
    <row r="5" spans="4:5">
      <c r="D5">
        <v>50</v>
      </c>
      <c r="E5">
        <v>55900</v>
      </c>
    </row>
    <row r="6" spans="4:5">
      <c r="D6">
        <v>36</v>
      </c>
      <c r="E6">
        <v>37900</v>
      </c>
    </row>
    <row r="7" spans="4:5">
      <c r="D7">
        <v>137.69999999999999</v>
      </c>
      <c r="E7">
        <v>83170</v>
      </c>
    </row>
    <row r="8" spans="4:5">
      <c r="D8">
        <v>80</v>
      </c>
      <c r="E8">
        <v>71900</v>
      </c>
    </row>
    <row r="9" spans="4:5">
      <c r="D9">
        <v>39.700000000000003</v>
      </c>
      <c r="E9">
        <v>58500</v>
      </c>
    </row>
    <row r="10" spans="4:5">
      <c r="D10">
        <v>39</v>
      </c>
      <c r="E10">
        <v>40459</v>
      </c>
    </row>
    <row r="11" spans="4:5">
      <c r="D11">
        <v>77</v>
      </c>
      <c r="E11">
        <v>56779</v>
      </c>
    </row>
    <row r="12" spans="4:5">
      <c r="D12">
        <v>13</v>
      </c>
      <c r="E12">
        <v>24900</v>
      </c>
    </row>
    <row r="13" spans="4:5">
      <c r="D13">
        <v>37</v>
      </c>
      <c r="E13">
        <v>39900</v>
      </c>
    </row>
    <row r="14" spans="4:5">
      <c r="D14">
        <v>100</v>
      </c>
      <c r="E14">
        <v>67269</v>
      </c>
    </row>
    <row r="15" spans="4:5">
      <c r="D15">
        <v>125</v>
      </c>
      <c r="E15">
        <v>81942</v>
      </c>
    </row>
    <row r="16" spans="4:5">
      <c r="D16">
        <v>138</v>
      </c>
      <c r="E16">
        <v>90000</v>
      </c>
    </row>
    <row r="17" spans="4:5">
      <c r="D17">
        <v>110</v>
      </c>
      <c r="E17">
        <v>78879</v>
      </c>
    </row>
    <row r="18" spans="4:5">
      <c r="D18">
        <v>101</v>
      </c>
      <c r="E18">
        <v>68947</v>
      </c>
    </row>
    <row r="19" spans="4:5">
      <c r="D19">
        <v>72</v>
      </c>
      <c r="E19">
        <v>64960</v>
      </c>
    </row>
    <row r="20" spans="4:5">
      <c r="D20">
        <v>300</v>
      </c>
      <c r="E20">
        <v>220000</v>
      </c>
    </row>
    <row r="28" spans="4:5">
      <c r="D28">
        <v>400</v>
      </c>
      <c r="E28">
        <f>-0.0001*(D28^4)+0.0696*(D28^3)-13.858*(D28^2)+1442.2*D28+6955.4</f>
        <v>260955.4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Cantidades</vt:lpstr>
      <vt:lpstr>APU</vt:lpstr>
      <vt:lpstr>Materiales unitario</vt:lpstr>
      <vt:lpstr>aprox_parciales</vt:lpstr>
      <vt:lpstr>aprox_tableros</vt:lpstr>
      <vt:lpstr>H-MO</vt:lpstr>
      <vt:lpstr>Precios-Interelectricas</vt:lpstr>
      <vt:lpstr>Codigos interelectricas</vt:lpstr>
      <vt:lpstr>plantas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Luis Eduardo</dc:creator>
  <cp:lastModifiedBy>Luis Eduardo Luis Eduardo</cp:lastModifiedBy>
  <dcterms:created xsi:type="dcterms:W3CDTF">2024-03-25T21:29:35Z</dcterms:created>
  <dcterms:modified xsi:type="dcterms:W3CDTF">2025-07-15T23:56:54Z</dcterms:modified>
</cp:coreProperties>
</file>