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Trabajos Iteso\6to Semestre\Administración de Riesgos\Administracion_de_Riesgos\Ejercicios\"/>
    </mc:Choice>
  </mc:AlternateContent>
  <xr:revisionPtr revIDLastSave="0" documentId="13_ncr:1_{EE3C6760-D3D2-44B4-9AE6-8C806DBF6890}" xr6:coauthVersionLast="47" xr6:coauthVersionMax="47" xr10:uidLastSave="{00000000-0000-0000-0000-000000000000}"/>
  <bookViews>
    <workbookView xWindow="-108" yWindow="-108" windowWidth="23256" windowHeight="12576" activeTab="1" xr2:uid="{290A1C89-F290-304F-A272-24133CB5A2A2}"/>
  </bookViews>
  <sheets>
    <sheet name="Datos" sheetId="1" r:id="rId1"/>
    <sheet name="Formato Sugerido" sheetId="5" r:id="rId2"/>
    <sheet name="ans"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5" l="1"/>
  <c r="E17" i="5"/>
  <c r="G6" i="5" s="1"/>
  <c r="C6" i="5"/>
  <c r="C7" i="5"/>
  <c r="D19" i="4"/>
  <c r="H6" i="5" l="1"/>
  <c r="E6" i="5"/>
  <c r="F6" i="5"/>
  <c r="H8" i="5"/>
  <c r="H12" i="5"/>
  <c r="G12" i="5"/>
  <c r="F12" i="5"/>
  <c r="E12" i="5"/>
  <c r="D12" i="5"/>
  <c r="C12" i="5"/>
  <c r="K11" i="5" s="1"/>
  <c r="D8" i="5"/>
  <c r="C8" i="5"/>
  <c r="H6" i="4"/>
  <c r="C10" i="4"/>
  <c r="C12" i="4" s="1"/>
  <c r="F6" i="4"/>
  <c r="G6" i="4"/>
  <c r="E6" i="4"/>
  <c r="E8" i="4"/>
  <c r="D17" i="4"/>
  <c r="C6" i="4"/>
  <c r="C8" i="4" s="1"/>
  <c r="C7" i="4"/>
  <c r="H12" i="4"/>
  <c r="G12" i="4"/>
  <c r="F12" i="4"/>
  <c r="E12" i="4"/>
  <c r="D12" i="4"/>
  <c r="D8" i="4"/>
  <c r="D14" i="4" s="1"/>
  <c r="D14" i="5" l="1"/>
  <c r="H14" i="5"/>
  <c r="C14" i="5"/>
  <c r="C15" i="5" s="1"/>
  <c r="E8" i="5"/>
  <c r="E14" i="5" s="1"/>
  <c r="F8" i="5"/>
  <c r="F14" i="5" s="1"/>
  <c r="G8" i="5"/>
  <c r="G14" i="5" s="1"/>
  <c r="C14" i="4"/>
  <c r="C15" i="4" s="1"/>
  <c r="D15" i="4" s="1"/>
  <c r="H8" i="4"/>
  <c r="G8" i="4"/>
  <c r="G14" i="4" s="1"/>
  <c r="F8" i="4"/>
  <c r="F14" i="4" s="1"/>
  <c r="E14" i="4"/>
  <c r="H14" i="4"/>
  <c r="D15" i="5" l="1"/>
  <c r="E15" i="5" s="1"/>
  <c r="F15" i="5" s="1"/>
  <c r="G15" i="5" s="1"/>
  <c r="H15" i="5" s="1"/>
  <c r="E15" i="4"/>
  <c r="F15" i="4" s="1"/>
  <c r="G15" i="4" s="1"/>
  <c r="H15" i="4" s="1"/>
</calcChain>
</file>

<file path=xl/sharedStrings.xml><?xml version="1.0" encoding="utf-8"?>
<sst xmlns="http://schemas.openxmlformats.org/spreadsheetml/2006/main" count="112" uniqueCount="75">
  <si>
    <t>Cifras en mdp</t>
  </si>
  <si>
    <t>1 día</t>
  </si>
  <si>
    <t>1 semana</t>
  </si>
  <si>
    <t>1 mes</t>
  </si>
  <si>
    <t>3 meses</t>
  </si>
  <si>
    <t>6 meses</t>
  </si>
  <si>
    <t>1 año</t>
  </si>
  <si>
    <t>Inflows</t>
  </si>
  <si>
    <t>Outflows</t>
  </si>
  <si>
    <t>En efectivo depositado en el banco central se tenían 3894 millones de pesos y 4689 millones en títulos de deuda gubernamental disponibles para la venta</t>
  </si>
  <si>
    <t>B) de los 5187 millones que teníamos contemplado cobrar o recibir, nos pagan 4275, lo demás nos piden sea refinanciado</t>
  </si>
  <si>
    <t>C) de lo que esperabamos cobrar en 3 meses, nos prepagan (pagan antes de lo acordado) 428 millones, y de lo que contemplabamos</t>
  </si>
  <si>
    <t>cobrar en 6 meses, nos pagan anticipadamente hoy 800 millones</t>
  </si>
  <si>
    <t>F) colocamos varios créditos por 400 millones a plazo de 90 días, capital e interés al vencimiento (tasa del 10.50%), otros más por 900 millones</t>
  </si>
  <si>
    <t>y finalmente se presenta el nuevo reporte o la nueva foto (cómo queda el reporte despues de considerar las operaciones de día)</t>
  </si>
  <si>
    <t>Gap Liquidez</t>
  </si>
  <si>
    <t>Efectivo</t>
  </si>
  <si>
    <t>Títulos liquidos</t>
  </si>
  <si>
    <t>Counterbalance</t>
  </si>
  <si>
    <t>Gap Neto</t>
  </si>
  <si>
    <t>Gap Acumulado</t>
  </si>
  <si>
    <t>Modificar Inflows, Outflows y Efectivo según las operaciones realizadas en "Datos":</t>
  </si>
  <si>
    <t>Calcular, después de llenar operaciones tu LCR</t>
  </si>
  <si>
    <t>350 millones a 30 días tasa 11%, 250 millones a 90 días tasa 11.1% y lo demás a 180 días a tasa 11.25%</t>
  </si>
  <si>
    <t>D) diferentes clientes que tienen líneas de crédito revolventes con nosotros, hoy disponen en conjunto 540 millones a 90 días a tasa 11.10% y 324 millones a 180 días a tasa 11.25%</t>
  </si>
  <si>
    <t>E) colocamos diferentes créditos por un monto total de 2350 millones a 5 años, pagos de capital e interés mensual, tasa fija 11.75%</t>
  </si>
  <si>
    <t>a plazo de 1 año, capital e interés al vencimiento (tasa fija del 11.25%).</t>
  </si>
  <si>
    <t>A) de los 7450 mdp que se tenian en salidas estimadas, nos retiran 1905 millones pero nos llegan dépositos nuevos por 843 mdp</t>
  </si>
  <si>
    <t xml:space="preserve">G) Después de reflejar las operaciones, calcula el LCR, en caso de que tu LCR sea menor a 1, propón algunas alternativas para aumentar tu liquidez en el corto plazo. </t>
  </si>
  <si>
    <t>LCR</t>
  </si>
  <si>
    <r>
      <t xml:space="preserve">1.- Este SIEMPRE tiene que ser mayor o igual que 1. </t>
    </r>
    <r>
      <rPr>
        <sz val="12"/>
        <color rgb="FFFF0000"/>
        <rFont val="Calibri (Cuerpo)"/>
      </rPr>
      <t>NO CUMPLIMOS</t>
    </r>
  </si>
  <si>
    <t>Tambien se espera que los gaps acumulados</t>
  </si>
  <si>
    <r>
      <t xml:space="preserve">sean siempre positivos.  </t>
    </r>
    <r>
      <rPr>
        <sz val="12"/>
        <color rgb="FFFF0000"/>
        <rFont val="Calibri (Cuerpo)"/>
      </rPr>
      <t>NO CUMPLIMOS</t>
    </r>
  </si>
  <si>
    <t>Entonces, como no cumplo ninguna de las condiciones de liquidez tengo que obtener liquidez</t>
  </si>
  <si>
    <t>¿Qué alternativas puedo utilizar para obtener liquidez?</t>
  </si>
  <si>
    <t>.- Préstamo Interbancario</t>
  </si>
  <si>
    <t>.- Préstamo del Banco Central</t>
  </si>
  <si>
    <t>.- Emisión de Deuda (CEBURE)</t>
  </si>
  <si>
    <t>.- Campaña para obtener depósitos  a plazo</t>
  </si>
  <si>
    <t>Contra: Tasas un poco más altas que otras alternativas</t>
  </si>
  <si>
    <t>Pros: Inmediato</t>
  </si>
  <si>
    <t>Pros: Tasa</t>
  </si>
  <si>
    <t>Contra: Riesgo Reputacional de pedirle al banco central dinero</t>
  </si>
  <si>
    <t>Pros: Tasas muy bajas, características que necesites</t>
  </si>
  <si>
    <t>Contra: Mediano Plazo</t>
  </si>
  <si>
    <t>Pros: Tasas muy bajas (más que CEBURE)</t>
  </si>
  <si>
    <t>Contra: MUYYYYYYY largo plazo</t>
  </si>
  <si>
    <t>Este es la estimación de entradas y salidas de flujos para el 24-mar-2025 (elaborado al final del día 23-mar-2025)</t>
  </si>
  <si>
    <t>Elaborar el reporte de brechas de liquidez (gaps de liquidez) para el 25-mar-2025 despues de las transacciones que se tuvieron durante el 24-mar</t>
  </si>
  <si>
    <t>Instrucciones</t>
  </si>
  <si>
    <t>Para elaborar el reporte de brechas de liquidez se parte de la foto inicial (cómo estaba el reporte antes de), luego se toma en cuenta todas las transacciones que se realizaron durante el día</t>
  </si>
  <si>
    <t>PAGO</t>
  </si>
  <si>
    <t>Este debería de ser mayor a 1 por regulación</t>
  </si>
  <si>
    <t>NO CUMPLE</t>
  </si>
  <si>
    <t>Solo puedo cubrir el 54% de mis obligaciones de un día a un mes con mi contrabalance</t>
  </si>
  <si>
    <t>Tengo que buscar opciones para financiarme</t>
  </si>
  <si>
    <t>Descripción</t>
  </si>
  <si>
    <t>Pros</t>
  </si>
  <si>
    <t>Contras</t>
  </si>
  <si>
    <t>Banco central</t>
  </si>
  <si>
    <t>Préstamo interbancario</t>
  </si>
  <si>
    <t>Captar depósitos a plazo</t>
  </si>
  <si>
    <t>Emisión de CEBURES</t>
  </si>
  <si>
    <t>Plazo</t>
  </si>
  <si>
    <t>A corto plazo</t>
  </si>
  <si>
    <t>A tasa de referencia (baja)</t>
  </si>
  <si>
    <t>Riesgo reputacional</t>
  </si>
  <si>
    <t>A tasa interbancaria</t>
  </si>
  <si>
    <t>Puedes obtener tasas mas bajas con el resto de opciones</t>
  </si>
  <si>
    <t>A largo plazo</t>
  </si>
  <si>
    <t>Es la tasa más baja</t>
  </si>
  <si>
    <t>Tarda mucho y además la cantidad puede estar muy granularizada</t>
  </si>
  <si>
    <t>A mediano plazo</t>
  </si>
  <si>
    <t>La tasa es muy baja</t>
  </si>
  <si>
    <t>Pueden aumentar ciertas métricas de información financiera que no queríamos que aumentaran, lo cual no le gustará mucho a los accionistas. Aumenta tu apalancamiento, disminuye tu coverage y puede aumentar el WACC (Weighted Average Cost of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</si>
</sst>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Red]\-&quot;$&quot;#,##0.00"/>
    <numFmt numFmtId="44" formatCode="_-&quot;$&quot;* #,##0.00_-;\-&quot;$&quot;* #,##0.00_-;_-&quot;$&quot;* &quot;-&quot;??_-;_-@_-"/>
    <numFmt numFmtId="43" formatCode="_-* #,##0.00_-;\-* #,##0.00_-;_-* &quot;-&quot;??_-;_-@_-"/>
    <numFmt numFmtId="164" formatCode="&quot;$&quot;#,##0.0000_);[Red]\(&quot;$&quot;#,##0.0000\)"/>
    <numFmt numFmtId="165" formatCode="&quot;$&quot;#,##0.000_);[Red]\(&quot;$&quot;#,##0.000\)"/>
    <numFmt numFmtId="166" formatCode="_-* #,##0.0000_-;\-* #,##0.0000_-;_-* &quot;-&quot;??_-;_-@_-"/>
    <numFmt numFmtId="169" formatCode="_-* #,##0.000_-;\-* #,##0.000_-;_-* &quot;-&quot;??_-;_-@_-"/>
  </numFmts>
  <fonts count="9">
    <font>
      <sz val="12"/>
      <color theme="1"/>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
      <sz val="12"/>
      <color rgb="FFFF0000"/>
      <name val="Calibri (Cuerpo)"/>
    </font>
    <font>
      <sz val="12"/>
      <color theme="0"/>
      <name val="Calibri"/>
      <family val="2"/>
      <scheme val="minor"/>
    </font>
    <font>
      <b/>
      <sz val="16"/>
      <color theme="1"/>
      <name val="Calibri"/>
      <family val="2"/>
      <scheme val="minor"/>
    </font>
    <font>
      <b/>
      <sz val="12"/>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30">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8" fontId="0" fillId="0" borderId="0" xfId="0" applyNumberFormat="1"/>
    <xf numFmtId="0" fontId="0" fillId="0" borderId="1" xfId="0" applyBorder="1" applyAlignment="1">
      <alignment horizontal="center"/>
    </xf>
    <xf numFmtId="0" fontId="0" fillId="0" borderId="1" xfId="0" applyBorder="1"/>
    <xf numFmtId="0" fontId="2" fillId="0" borderId="0" xfId="0" applyFont="1"/>
    <xf numFmtId="0" fontId="4" fillId="0" borderId="1" xfId="0" applyFont="1" applyBorder="1"/>
    <xf numFmtId="0" fontId="4" fillId="0" borderId="1" xfId="0" applyFont="1" applyBorder="1" applyAlignment="1">
      <alignment horizontal="center"/>
    </xf>
    <xf numFmtId="44" fontId="0" fillId="0" borderId="1" xfId="0" applyNumberFormat="1" applyBorder="1"/>
    <xf numFmtId="44" fontId="0" fillId="0" borderId="0" xfId="0" applyNumberFormat="1"/>
    <xf numFmtId="44" fontId="4" fillId="0" borderId="1" xfId="1" applyFont="1" applyFill="1" applyBorder="1"/>
    <xf numFmtId="44" fontId="4" fillId="0" borderId="1" xfId="0" applyNumberFormat="1" applyFont="1" applyBorder="1"/>
    <xf numFmtId="43" fontId="0" fillId="0" borderId="1" xfId="2" applyFont="1" applyBorder="1" applyAlignment="1">
      <alignment horizontal="center"/>
    </xf>
    <xf numFmtId="166" fontId="0" fillId="0" borderId="0" xfId="2" applyNumberFormat="1" applyFont="1"/>
    <xf numFmtId="0" fontId="7" fillId="0" borderId="0" xfId="0" applyFont="1"/>
    <xf numFmtId="0" fontId="6" fillId="2" borderId="1" xfId="0" applyFont="1" applyFill="1" applyBorder="1"/>
    <xf numFmtId="0" fontId="6" fillId="2" borderId="1" xfId="0" applyFont="1" applyFill="1" applyBorder="1" applyAlignment="1">
      <alignment horizontal="center"/>
    </xf>
    <xf numFmtId="0" fontId="0" fillId="3" borderId="0" xfId="0" applyFill="1"/>
    <xf numFmtId="0" fontId="0" fillId="0" borderId="0" xfId="0" applyAlignment="1">
      <alignment horizontal="right"/>
    </xf>
    <xf numFmtId="169" fontId="0" fillId="0" borderId="0" xfId="0" applyNumberFormat="1"/>
    <xf numFmtId="0" fontId="0" fillId="0" borderId="1" xfId="0" applyBorder="1" applyAlignment="1">
      <alignment horizontal="left"/>
    </xf>
    <xf numFmtId="0" fontId="8" fillId="4" borderId="1" xfId="0" applyFont="1" applyFill="1" applyBorder="1" applyAlignment="1">
      <alignment horizontal="center"/>
    </xf>
    <xf numFmtId="0" fontId="0" fillId="0" borderId="1" xfId="0" applyBorder="1" applyAlignment="1">
      <alignment wrapText="1"/>
    </xf>
    <xf numFmtId="0" fontId="0" fillId="0" borderId="0" xfId="0" applyAlignment="1">
      <alignmen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vertical="center"/>
    </xf>
  </cellXfs>
  <cellStyles count="3">
    <cellStyle name="Millares" xfId="2" builtinId="3"/>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688D-529A-5D48-93EB-6A2C38C3B8D2}">
  <dimension ref="A1:L25"/>
  <sheetViews>
    <sheetView zoomScale="112" workbookViewId="0">
      <selection activeCell="E16" sqref="E16"/>
    </sheetView>
  </sheetViews>
  <sheetFormatPr baseColWidth="10" defaultRowHeight="15.6"/>
  <cols>
    <col min="1" max="1" width="12.796875" customWidth="1"/>
  </cols>
  <sheetData>
    <row r="1" spans="1:7" ht="21">
      <c r="A1" s="17" t="s">
        <v>49</v>
      </c>
    </row>
    <row r="3" spans="1:7">
      <c r="A3" s="18" t="s">
        <v>0</v>
      </c>
      <c r="B3" s="19" t="s">
        <v>1</v>
      </c>
      <c r="C3" s="19" t="s">
        <v>2</v>
      </c>
      <c r="D3" s="19" t="s">
        <v>3</v>
      </c>
      <c r="E3" s="19" t="s">
        <v>4</v>
      </c>
      <c r="F3" s="19" t="s">
        <v>5</v>
      </c>
      <c r="G3" s="19" t="s">
        <v>6</v>
      </c>
    </row>
    <row r="4" spans="1:7">
      <c r="A4" s="7" t="s">
        <v>7</v>
      </c>
      <c r="B4" s="6">
        <v>5187</v>
      </c>
      <c r="C4" s="6">
        <v>2649</v>
      </c>
      <c r="D4" s="6">
        <v>3124</v>
      </c>
      <c r="E4" s="6">
        <v>5786</v>
      </c>
      <c r="F4" s="6">
        <v>6892</v>
      </c>
      <c r="G4" s="6">
        <v>10504</v>
      </c>
    </row>
    <row r="5" spans="1:7">
      <c r="A5" s="7" t="s">
        <v>8</v>
      </c>
      <c r="B5" s="6">
        <v>7450</v>
      </c>
      <c r="C5" s="6">
        <v>3824</v>
      </c>
      <c r="D5" s="6">
        <v>5673</v>
      </c>
      <c r="E5" s="6">
        <v>10319</v>
      </c>
      <c r="F5" s="6">
        <v>8016</v>
      </c>
      <c r="G5" s="6">
        <v>6147</v>
      </c>
    </row>
    <row r="7" spans="1:7">
      <c r="A7" s="1" t="s">
        <v>47</v>
      </c>
    </row>
    <row r="8" spans="1:7">
      <c r="A8" t="s">
        <v>9</v>
      </c>
    </row>
    <row r="10" spans="1:7">
      <c r="A10" s="2" t="s">
        <v>48</v>
      </c>
    </row>
    <row r="12" spans="1:7">
      <c r="A12" t="s">
        <v>27</v>
      </c>
    </row>
    <row r="13" spans="1:7">
      <c r="A13" t="s">
        <v>10</v>
      </c>
    </row>
    <row r="14" spans="1:7">
      <c r="A14" t="s">
        <v>23</v>
      </c>
    </row>
    <row r="15" spans="1:7">
      <c r="A15" t="s">
        <v>11</v>
      </c>
    </row>
    <row r="16" spans="1:7">
      <c r="A16" t="s">
        <v>12</v>
      </c>
    </row>
    <row r="17" spans="1:12">
      <c r="A17" t="s">
        <v>24</v>
      </c>
    </row>
    <row r="18" spans="1:12">
      <c r="A18" t="s">
        <v>25</v>
      </c>
      <c r="L18" s="3"/>
    </row>
    <row r="19" spans="1:12">
      <c r="A19" t="s">
        <v>13</v>
      </c>
    </row>
    <row r="20" spans="1:12">
      <c r="A20" t="s">
        <v>26</v>
      </c>
    </row>
    <row r="22" spans="1:12">
      <c r="A22" s="1" t="s">
        <v>50</v>
      </c>
      <c r="H22" s="4"/>
    </row>
    <row r="23" spans="1:12">
      <c r="A23" s="1" t="s">
        <v>14</v>
      </c>
    </row>
    <row r="25" spans="1:12">
      <c r="A25"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C3A9-4933-614A-997F-8D422D05D8F3}">
  <dimension ref="B2:O32"/>
  <sheetViews>
    <sheetView tabSelected="1" topLeftCell="J9" zoomScale="133" workbookViewId="0">
      <selection activeCell="F17" sqref="F17"/>
    </sheetView>
  </sheetViews>
  <sheetFormatPr baseColWidth="10" defaultRowHeight="15.6"/>
  <cols>
    <col min="1" max="1" width="4.69921875" customWidth="1"/>
    <col min="2" max="2" width="13.5" bestFit="1" customWidth="1"/>
    <col min="3" max="3" width="12" customWidth="1"/>
    <col min="4" max="5" width="11" bestFit="1" customWidth="1"/>
    <col min="6" max="7" width="11.19921875" bestFit="1" customWidth="1"/>
    <col min="8" max="8" width="11.69921875" bestFit="1" customWidth="1"/>
    <col min="12" max="12" width="21.09765625" customWidth="1"/>
    <col min="13" max="13" width="15.5" customWidth="1"/>
    <col min="14" max="14" width="23.09765625" bestFit="1" customWidth="1"/>
    <col min="15" max="15" width="57.5" bestFit="1" customWidth="1"/>
  </cols>
  <sheetData>
    <row r="2" spans="2:15">
      <c r="B2" s="8" t="s">
        <v>21</v>
      </c>
    </row>
    <row r="3" spans="2:15">
      <c r="B3" s="8" t="s">
        <v>22</v>
      </c>
    </row>
    <row r="5" spans="2:15">
      <c r="B5" s="9" t="s">
        <v>0</v>
      </c>
      <c r="C5" s="10" t="s">
        <v>1</v>
      </c>
      <c r="D5" s="10" t="s">
        <v>2</v>
      </c>
      <c r="E5" s="10" t="s">
        <v>3</v>
      </c>
      <c r="F5" s="10" t="s">
        <v>4</v>
      </c>
      <c r="G5" s="10" t="s">
        <v>5</v>
      </c>
      <c r="H5" s="10" t="s">
        <v>6</v>
      </c>
    </row>
    <row r="6" spans="2:15">
      <c r="B6" s="9" t="s">
        <v>7</v>
      </c>
      <c r="C6" s="15">
        <f>5187-4275-350-250-312</f>
        <v>0</v>
      </c>
      <c r="D6" s="15">
        <v>2649</v>
      </c>
      <c r="E6" s="15">
        <f>3124+350*(1+0.11/12)+E17</f>
        <v>3529.186387415115</v>
      </c>
      <c r="F6" s="15">
        <f>5786+250*(1+(0.111/12)*3)-428+540*(1+(0.111/12)*3)+E17*2+400*(1+0.105/12*3)</f>
        <v>6684.3786081635626</v>
      </c>
      <c r="G6" s="15">
        <f>6892+312*(1+(0.1125/12)*6)-800+324*(1+(0.1125/12)*6)+E17*3</f>
        <v>6919.7091622453445</v>
      </c>
      <c r="H6" s="15">
        <f>10504+E17*6+900*(1+0.1125)</f>
        <v>11817.118324490688</v>
      </c>
    </row>
    <row r="7" spans="2:15">
      <c r="B7" s="9" t="s">
        <v>8</v>
      </c>
      <c r="C7" s="15">
        <f>7450-1905+843</f>
        <v>6388</v>
      </c>
      <c r="D7" s="15">
        <v>3824</v>
      </c>
      <c r="E7" s="15">
        <v>5673</v>
      </c>
      <c r="F7" s="15">
        <v>10319</v>
      </c>
      <c r="G7" s="15">
        <v>8016</v>
      </c>
      <c r="H7" s="15">
        <v>6147</v>
      </c>
    </row>
    <row r="8" spans="2:15">
      <c r="B8" s="9" t="s">
        <v>15</v>
      </c>
      <c r="C8" s="11">
        <f>C6-C7</f>
        <v>-6388</v>
      </c>
      <c r="D8" s="11">
        <f t="shared" ref="D8:G8" si="0">D6-D7</f>
        <v>-1175</v>
      </c>
      <c r="E8" s="11">
        <f t="shared" si="0"/>
        <v>-2143.813612584885</v>
      </c>
      <c r="F8" s="11">
        <f t="shared" si="0"/>
        <v>-3634.6213918364374</v>
      </c>
      <c r="G8" s="11">
        <f t="shared" si="0"/>
        <v>-1096.2908377546555</v>
      </c>
      <c r="H8" s="11">
        <f>H6-H7</f>
        <v>5670.1183244906879</v>
      </c>
    </row>
    <row r="9" spans="2:15">
      <c r="B9" s="2"/>
      <c r="E9" s="12"/>
    </row>
    <row r="10" spans="2:15">
      <c r="B10" s="9" t="s">
        <v>16</v>
      </c>
      <c r="C10" s="13">
        <f>3894-1905+843+4275+429+800-540-324-2350-400-900</f>
        <v>3822</v>
      </c>
      <c r="D10" s="7"/>
      <c r="E10" s="7"/>
      <c r="F10" s="7"/>
      <c r="G10" s="7"/>
      <c r="H10" s="7"/>
    </row>
    <row r="11" spans="2:15">
      <c r="B11" s="9" t="s">
        <v>17</v>
      </c>
      <c r="C11" s="13">
        <v>4689</v>
      </c>
      <c r="D11" s="7"/>
      <c r="E11" s="7"/>
      <c r="F11" s="7"/>
      <c r="G11" s="7"/>
      <c r="H11" s="7"/>
      <c r="J11" s="21" t="s">
        <v>29</v>
      </c>
      <c r="K11" s="22">
        <f>+SUM(C12:E12)/SUM(C7:E7)</f>
        <v>0.53578847969782817</v>
      </c>
      <c r="L11" t="s">
        <v>52</v>
      </c>
    </row>
    <row r="12" spans="2:15">
      <c r="B12" s="9" t="s">
        <v>18</v>
      </c>
      <c r="C12" s="11">
        <f>C10+C11</f>
        <v>8511</v>
      </c>
      <c r="D12" s="11">
        <f t="shared" ref="D12:H12" si="1">D10+D11</f>
        <v>0</v>
      </c>
      <c r="E12" s="11">
        <f t="shared" si="1"/>
        <v>0</v>
      </c>
      <c r="F12" s="11">
        <f t="shared" si="1"/>
        <v>0</v>
      </c>
      <c r="G12" s="11">
        <f t="shared" si="1"/>
        <v>0</v>
      </c>
      <c r="H12" s="11">
        <f t="shared" si="1"/>
        <v>0</v>
      </c>
      <c r="L12" t="s">
        <v>53</v>
      </c>
      <c r="M12" t="s">
        <v>54</v>
      </c>
    </row>
    <row r="13" spans="2:15">
      <c r="B13" s="2"/>
    </row>
    <row r="14" spans="2:15">
      <c r="B14" s="9" t="s">
        <v>19</v>
      </c>
      <c r="C14" s="11">
        <f>C8+C12</f>
        <v>2123</v>
      </c>
      <c r="D14" s="11">
        <f>D8+D12</f>
        <v>-1175</v>
      </c>
      <c r="E14" s="11">
        <f t="shared" ref="E14:H14" si="2">E8+E12</f>
        <v>-2143.813612584885</v>
      </c>
      <c r="F14" s="11">
        <f t="shared" si="2"/>
        <v>-3634.6213918364374</v>
      </c>
      <c r="G14" s="11">
        <f t="shared" si="2"/>
        <v>-1096.2908377546555</v>
      </c>
      <c r="H14" s="11">
        <f t="shared" si="2"/>
        <v>5670.1183244906879</v>
      </c>
      <c r="L14" s="8" t="s">
        <v>55</v>
      </c>
      <c r="M14" s="8"/>
    </row>
    <row r="15" spans="2:15">
      <c r="B15" s="9" t="s">
        <v>20</v>
      </c>
      <c r="C15" s="14">
        <f>C14</f>
        <v>2123</v>
      </c>
      <c r="D15" s="14">
        <f>C15+D14</f>
        <v>948</v>
      </c>
      <c r="E15" s="14">
        <f t="shared" ref="E15:G15" si="3">D15+E14</f>
        <v>-1195.813612584885</v>
      </c>
      <c r="F15" s="14">
        <f t="shared" si="3"/>
        <v>-4830.4350044213224</v>
      </c>
      <c r="G15" s="14">
        <f t="shared" si="3"/>
        <v>-5926.725842175978</v>
      </c>
      <c r="H15" s="14">
        <f>G15+H14</f>
        <v>-256.60751768529008</v>
      </c>
    </row>
    <row r="16" spans="2:15">
      <c r="L16" s="24" t="s">
        <v>56</v>
      </c>
      <c r="M16" s="24" t="s">
        <v>63</v>
      </c>
      <c r="N16" s="24" t="s">
        <v>57</v>
      </c>
      <c r="O16" s="24" t="s">
        <v>58</v>
      </c>
    </row>
    <row r="17" spans="2:15">
      <c r="C17" s="5"/>
      <c r="D17" t="s">
        <v>51</v>
      </c>
      <c r="E17" s="5">
        <f>+PMT(0.1175/12, 5*12,-2350)</f>
        <v>51.978054081781444</v>
      </c>
      <c r="L17" s="23" t="s">
        <v>59</v>
      </c>
      <c r="M17" s="6" t="s">
        <v>64</v>
      </c>
      <c r="N17" s="7" t="s">
        <v>65</v>
      </c>
      <c r="O17" s="7" t="s">
        <v>66</v>
      </c>
    </row>
    <row r="18" spans="2:15">
      <c r="L18" s="23" t="s">
        <v>60</v>
      </c>
      <c r="M18" s="6" t="s">
        <v>64</v>
      </c>
      <c r="N18" s="7" t="s">
        <v>67</v>
      </c>
      <c r="O18" s="7" t="s">
        <v>68</v>
      </c>
    </row>
    <row r="19" spans="2:15">
      <c r="B19" s="20" t="s">
        <v>27</v>
      </c>
      <c r="L19" s="23" t="s">
        <v>61</v>
      </c>
      <c r="M19" s="6" t="s">
        <v>69</v>
      </c>
      <c r="N19" s="7" t="s">
        <v>70</v>
      </c>
      <c r="O19" s="7" t="s">
        <v>71</v>
      </c>
    </row>
    <row r="20" spans="2:15" ht="62.4">
      <c r="E20" s="26"/>
      <c r="F20" s="26"/>
      <c r="G20" s="26"/>
      <c r="H20" s="26"/>
      <c r="I20" s="26"/>
      <c r="J20" s="26"/>
      <c r="K20" s="26"/>
      <c r="L20" s="27" t="s">
        <v>62</v>
      </c>
      <c r="M20" s="28" t="s">
        <v>72</v>
      </c>
      <c r="N20" s="29" t="s">
        <v>73</v>
      </c>
      <c r="O20" s="25" t="s">
        <v>74</v>
      </c>
    </row>
    <row r="21" spans="2:15">
      <c r="B21" s="20" t="s">
        <v>10</v>
      </c>
    </row>
    <row r="22" spans="2:15">
      <c r="B22" t="s">
        <v>23</v>
      </c>
    </row>
    <row r="24" spans="2:15">
      <c r="B24" s="20" t="s">
        <v>11</v>
      </c>
    </row>
    <row r="25" spans="2:15">
      <c r="B25" t="s">
        <v>12</v>
      </c>
    </row>
    <row r="27" spans="2:15">
      <c r="B27" s="20" t="s">
        <v>24</v>
      </c>
    </row>
    <row r="29" spans="2:15">
      <c r="B29" s="20" t="s">
        <v>25</v>
      </c>
    </row>
    <row r="31" spans="2:15">
      <c r="B31" t="s">
        <v>13</v>
      </c>
      <c r="C31" s="8"/>
      <c r="D31" s="8"/>
      <c r="E31" s="8"/>
    </row>
    <row r="32" spans="2:15">
      <c r="B32" t="s">
        <v>26</v>
      </c>
      <c r="C32" s="8"/>
      <c r="D32" s="8"/>
      <c r="E32"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363B-8260-654E-A57B-EFD617428DAB}">
  <dimension ref="B2:J27"/>
  <sheetViews>
    <sheetView zoomScale="106" workbookViewId="0"/>
  </sheetViews>
  <sheetFormatPr baseColWidth="10" defaultRowHeight="15.6"/>
  <cols>
    <col min="2" max="2" width="13.5" bestFit="1" customWidth="1"/>
    <col min="3" max="3" width="12" customWidth="1"/>
    <col min="8" max="8" width="11.5" bestFit="1" customWidth="1"/>
  </cols>
  <sheetData>
    <row r="2" spans="2:9">
      <c r="B2" s="8" t="s">
        <v>21</v>
      </c>
    </row>
    <row r="3" spans="2:9">
      <c r="B3" s="8" t="s">
        <v>22</v>
      </c>
    </row>
    <row r="5" spans="2:9">
      <c r="B5" s="9" t="s">
        <v>0</v>
      </c>
      <c r="C5" s="10" t="s">
        <v>1</v>
      </c>
      <c r="D5" s="10" t="s">
        <v>2</v>
      </c>
      <c r="E5" s="10" t="s">
        <v>3</v>
      </c>
      <c r="F5" s="10" t="s">
        <v>4</v>
      </c>
      <c r="G5" s="10" t="s">
        <v>5</v>
      </c>
      <c r="H5" s="10" t="s">
        <v>6</v>
      </c>
    </row>
    <row r="6" spans="2:9">
      <c r="B6" s="9" t="s">
        <v>7</v>
      </c>
      <c r="C6" s="15">
        <f>5187-4275-350-250-312</f>
        <v>0</v>
      </c>
      <c r="D6" s="15">
        <v>2649</v>
      </c>
      <c r="E6" s="15">
        <f>3124+350*(1+0.11/12*1)+D17</f>
        <v>3529.186387415115</v>
      </c>
      <c r="F6" s="15">
        <f>5786+250*(1+0.111/12*3)-428+540*(1+0.111/12*3)+D17*2+400*(1+0.105/12*3)</f>
        <v>6684.3786081635626</v>
      </c>
      <c r="G6" s="15">
        <f>6892+312*(1+0.1125/12*6)-800+324*(1+0.1125/12*6)+D17*3</f>
        <v>6919.7091622453445</v>
      </c>
      <c r="H6" s="15">
        <f>10504+D17*6+900*(1+0.1125/12*12)</f>
        <v>11817.118324490688</v>
      </c>
    </row>
    <row r="7" spans="2:9">
      <c r="B7" s="9" t="s">
        <v>8</v>
      </c>
      <c r="C7" s="15">
        <f>7450-1905+843</f>
        <v>6388</v>
      </c>
      <c r="D7" s="15">
        <v>3824</v>
      </c>
      <c r="E7" s="15">
        <v>5673</v>
      </c>
      <c r="F7" s="15">
        <v>10319</v>
      </c>
      <c r="G7" s="15">
        <v>8016</v>
      </c>
      <c r="H7" s="15">
        <v>6147</v>
      </c>
    </row>
    <row r="8" spans="2:9">
      <c r="B8" s="9" t="s">
        <v>15</v>
      </c>
      <c r="C8" s="11">
        <f>C6-C7</f>
        <v>-6388</v>
      </c>
      <c r="D8" s="11">
        <f t="shared" ref="D8:G8" si="0">D6-D7</f>
        <v>-1175</v>
      </c>
      <c r="E8" s="11">
        <f t="shared" si="0"/>
        <v>-2143.813612584885</v>
      </c>
      <c r="F8" s="11">
        <f t="shared" si="0"/>
        <v>-3634.6213918364374</v>
      </c>
      <c r="G8" s="11">
        <f t="shared" si="0"/>
        <v>-1096.2908377546555</v>
      </c>
      <c r="H8" s="11">
        <f>H6-H7</f>
        <v>5670.1183244906879</v>
      </c>
    </row>
    <row r="9" spans="2:9">
      <c r="B9" s="2"/>
      <c r="E9" s="12"/>
    </row>
    <row r="10" spans="2:9">
      <c r="B10" s="9" t="s">
        <v>16</v>
      </c>
      <c r="C10" s="13">
        <f>3894-1905+843+4275+428+800-540-324-2350-400-900</f>
        <v>3821</v>
      </c>
      <c r="D10" s="7"/>
      <c r="E10" s="7"/>
      <c r="F10" s="7"/>
      <c r="G10" s="7"/>
      <c r="H10" s="7"/>
    </row>
    <row r="11" spans="2:9">
      <c r="B11" s="9" t="s">
        <v>17</v>
      </c>
      <c r="C11" s="13">
        <v>4689</v>
      </c>
      <c r="D11" s="7"/>
      <c r="E11" s="7"/>
      <c r="F11" s="7"/>
      <c r="G11" s="7"/>
      <c r="H11" s="7"/>
    </row>
    <row r="12" spans="2:9">
      <c r="B12" s="9" t="s">
        <v>18</v>
      </c>
      <c r="C12" s="11">
        <f>C10+C11</f>
        <v>8510</v>
      </c>
      <c r="D12" s="11">
        <f t="shared" ref="D12:H12" si="1">D10+D11</f>
        <v>0</v>
      </c>
      <c r="E12" s="11">
        <f t="shared" si="1"/>
        <v>0</v>
      </c>
      <c r="F12" s="11">
        <f t="shared" si="1"/>
        <v>0</v>
      </c>
      <c r="G12" s="11">
        <f t="shared" si="1"/>
        <v>0</v>
      </c>
      <c r="H12" s="11">
        <f t="shared" si="1"/>
        <v>0</v>
      </c>
    </row>
    <row r="13" spans="2:9">
      <c r="B13" s="2"/>
    </row>
    <row r="14" spans="2:9">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row>
    <row r="15" spans="2:9">
      <c r="B15" s="9" t="s">
        <v>20</v>
      </c>
      <c r="C15" s="14">
        <f>C14</f>
        <v>2122</v>
      </c>
      <c r="D15" s="14">
        <f>C15+D14</f>
        <v>947</v>
      </c>
      <c r="E15" s="14">
        <f t="shared" ref="E15:G15" si="3">D15+E14</f>
        <v>-1196.813612584885</v>
      </c>
      <c r="F15" s="14">
        <f t="shared" si="3"/>
        <v>-4831.4350044213224</v>
      </c>
      <c r="G15" s="14">
        <f t="shared" si="3"/>
        <v>-5927.725842175978</v>
      </c>
      <c r="H15" s="14">
        <f>G15+H14</f>
        <v>-257.60751768529008</v>
      </c>
      <c r="I15" t="s">
        <v>31</v>
      </c>
    </row>
    <row r="16" spans="2:9">
      <c r="I16" t="s">
        <v>32</v>
      </c>
    </row>
    <row r="17" spans="3:10">
      <c r="D17" s="5">
        <f>PMT(0.1175/12,5*12,-2350)</f>
        <v>51.978054081781444</v>
      </c>
    </row>
    <row r="18" spans="3:10">
      <c r="E18" s="5"/>
    </row>
    <row r="19" spans="3:10">
      <c r="C19" t="s">
        <v>29</v>
      </c>
      <c r="D19" s="16">
        <f>SUM(C12:E12)/SUM(C7:E7)</f>
        <v>0.53572552722694367</v>
      </c>
      <c r="E19" t="s">
        <v>30</v>
      </c>
    </row>
    <row r="20" spans="3:10">
      <c r="E20" s="5"/>
    </row>
    <row r="21" spans="3:10">
      <c r="C21" t="s">
        <v>33</v>
      </c>
    </row>
    <row r="22" spans="3:10">
      <c r="C22" t="s">
        <v>34</v>
      </c>
    </row>
    <row r="24" spans="3:10">
      <c r="C24" s="8" t="s">
        <v>35</v>
      </c>
      <c r="D24" s="8"/>
      <c r="E24" s="8"/>
      <c r="F24" t="s">
        <v>40</v>
      </c>
      <c r="J24" t="s">
        <v>39</v>
      </c>
    </row>
    <row r="25" spans="3:10">
      <c r="C25" s="8" t="s">
        <v>36</v>
      </c>
      <c r="D25" s="8"/>
      <c r="E25" s="8"/>
      <c r="F25" t="s">
        <v>41</v>
      </c>
      <c r="J25" t="s">
        <v>42</v>
      </c>
    </row>
    <row r="26" spans="3:10">
      <c r="C26" s="8" t="s">
        <v>37</v>
      </c>
      <c r="D26" s="8"/>
      <c r="E26" s="8"/>
      <c r="F26" t="s">
        <v>43</v>
      </c>
      <c r="J26" t="s">
        <v>44</v>
      </c>
    </row>
    <row r="27" spans="3:10">
      <c r="C27" s="8" t="s">
        <v>38</v>
      </c>
      <c r="D27" s="8"/>
      <c r="E27" s="8"/>
      <c r="F27" t="s">
        <v>45</v>
      </c>
      <c r="J27"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Formato Sugerido</vt:lpstr>
      <vt:lpstr>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Gonzalez</dc:creator>
  <cp:lastModifiedBy>JIMENEZ DEL MURO, LUIS EDUARDO</cp:lastModifiedBy>
  <dcterms:created xsi:type="dcterms:W3CDTF">2022-12-13T17:35:20Z</dcterms:created>
  <dcterms:modified xsi:type="dcterms:W3CDTF">2025-03-20T03:27:17Z</dcterms:modified>
</cp:coreProperties>
</file>