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ontosmart\technical_reports\report2021\"/>
    </mc:Choice>
  </mc:AlternateContent>
  <xr:revisionPtr revIDLastSave="0" documentId="8_{97790C1E-6369-46D8-9A0C-6646AAE5BCD7}" xr6:coauthVersionLast="36" xr6:coauthVersionMax="36" xr10:uidLastSave="{00000000-0000-0000-0000-000000000000}"/>
  <bookViews>
    <workbookView xWindow="0" yWindow="0" windowWidth="23040" windowHeight="9060" firstSheet="6" activeTab="7" xr2:uid="{DB6A0600-E32C-49A9-A946-64EB57156331}"/>
  </bookViews>
  <sheets>
    <sheet name="finding ontologies" sheetId="1" r:id="rId1"/>
    <sheet name="qc 1" sheetId="2" r:id="rId2"/>
    <sheet name="Tabelle1" sheetId="3" r:id="rId3"/>
    <sheet name="mappings" sheetId="4" r:id="rId4"/>
    <sheet name="mapping tp fp" sheetId="11" r:id="rId5"/>
    <sheet name="hypermodules" sheetId="12" r:id="rId6"/>
    <sheet name="defined concepts" sheetId="15" r:id="rId7"/>
    <sheet name="ucum-all" sheetId="10" r:id="rId8"/>
    <sheet name="pronto-all" sheetId="8" r:id="rId9"/>
    <sheet name="gr-all" sheetId="7" r:id="rId10"/>
    <sheet name="sweet-all" sheetId="9" r:id="rId11"/>
    <sheet name="oum-all" sheetId="5" r:id="rId12"/>
    <sheet name="Tabelle2" sheetId="14" r:id="rId13"/>
    <sheet name="mdoprov-all" sheetId="6" r:id="rId14"/>
    <sheet name="qudt-all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3" i="15"/>
  <c r="C74" i="12" l="1"/>
  <c r="B94" i="12" l="1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D104" i="12" l="1"/>
  <c r="D105" i="12"/>
  <c r="D106" i="12"/>
  <c r="F103" i="12"/>
  <c r="G103" i="12"/>
  <c r="D103" i="12"/>
  <c r="E103" i="12"/>
  <c r="C103" i="12"/>
  <c r="D91" i="12"/>
  <c r="D92" i="12"/>
  <c r="D93" i="12"/>
  <c r="D94" i="12"/>
  <c r="D95" i="12"/>
  <c r="D88" i="12"/>
  <c r="E88" i="12"/>
  <c r="C88" i="12"/>
  <c r="D67" i="12"/>
  <c r="C67" i="12"/>
  <c r="L41" i="12"/>
  <c r="C69" i="12" s="1"/>
  <c r="L42" i="12"/>
  <c r="C70" i="12" s="1"/>
  <c r="L44" i="12"/>
  <c r="C71" i="12" s="1"/>
  <c r="L45" i="12"/>
  <c r="C72" i="12" s="1"/>
  <c r="L47" i="12"/>
  <c r="C73" i="12" s="1"/>
  <c r="L51" i="12"/>
  <c r="L52" i="12"/>
  <c r="C75" i="12" s="1"/>
  <c r="L54" i="12"/>
  <c r="C76" i="12" s="1"/>
  <c r="L55" i="12"/>
  <c r="C77" i="12" s="1"/>
  <c r="L56" i="12"/>
  <c r="C78" i="12" s="1"/>
  <c r="L59" i="12"/>
  <c r="C79" i="12" s="1"/>
  <c r="L60" i="12"/>
  <c r="C80" i="12" s="1"/>
  <c r="L61" i="12"/>
  <c r="C81" i="12" s="1"/>
  <c r="L62" i="12"/>
  <c r="C82" i="12" s="1"/>
  <c r="L63" i="12"/>
  <c r="C83" i="12" s="1"/>
  <c r="L64" i="12"/>
  <c r="C84" i="12" s="1"/>
  <c r="L65" i="12"/>
  <c r="C85" i="12" s="1"/>
  <c r="L40" i="12"/>
  <c r="C68" i="12" s="1"/>
  <c r="T57" i="12"/>
  <c r="F105" i="12" s="1"/>
  <c r="B105" i="12" s="1"/>
  <c r="T58" i="12"/>
  <c r="F106" i="12" s="1"/>
  <c r="B106" i="12" s="1"/>
  <c r="T46" i="12"/>
  <c r="F104" i="12" s="1"/>
  <c r="B104" i="12" s="1"/>
  <c r="P45" i="12"/>
  <c r="E90" i="12" s="1"/>
  <c r="B90" i="12" s="1"/>
  <c r="P48" i="12"/>
  <c r="E91" i="12" s="1"/>
  <c r="B91" i="12" s="1"/>
  <c r="P49" i="12"/>
  <c r="E92" i="12" s="1"/>
  <c r="B92" i="12" s="1"/>
  <c r="P50" i="12"/>
  <c r="E93" i="12" s="1"/>
  <c r="B93" i="12" s="1"/>
  <c r="P51" i="12"/>
  <c r="E94" i="12" s="1"/>
  <c r="P53" i="12"/>
  <c r="E95" i="12" s="1"/>
  <c r="B95" i="12" s="1"/>
  <c r="P43" i="12"/>
  <c r="E89" i="12" s="1"/>
  <c r="B89" i="12" s="1"/>
  <c r="N49" i="12"/>
  <c r="C92" i="12" s="1"/>
  <c r="N50" i="12"/>
  <c r="C93" i="12" s="1"/>
  <c r="N51" i="12"/>
  <c r="C94" i="12" s="1"/>
  <c r="O43" i="12"/>
  <c r="D89" i="12" s="1"/>
  <c r="O45" i="12"/>
  <c r="D90" i="12" s="1"/>
  <c r="M41" i="12"/>
  <c r="D69" i="12" s="1"/>
  <c r="M42" i="12"/>
  <c r="D70" i="12" s="1"/>
  <c r="N43" i="12"/>
  <c r="C89" i="12" s="1"/>
  <c r="M44" i="12"/>
  <c r="D71" i="12" s="1"/>
  <c r="N45" i="12"/>
  <c r="C90" i="12" s="1"/>
  <c r="Q46" i="12"/>
  <c r="C104" i="12" s="1"/>
  <c r="M47" i="12"/>
  <c r="D73" i="12" s="1"/>
  <c r="N48" i="12"/>
  <c r="C91" i="12" s="1"/>
  <c r="M52" i="12"/>
  <c r="D75" i="12" s="1"/>
  <c r="N53" i="12"/>
  <c r="C95" i="12" s="1"/>
  <c r="M54" i="12"/>
  <c r="D76" i="12" s="1"/>
  <c r="M55" i="12"/>
  <c r="D77" i="12" s="1"/>
  <c r="M56" i="12"/>
  <c r="D78" i="12" s="1"/>
  <c r="Q57" i="12"/>
  <c r="C105" i="12" s="1"/>
  <c r="Q58" i="12"/>
  <c r="C106" i="12" s="1"/>
  <c r="M59" i="12"/>
  <c r="D79" i="12" s="1"/>
  <c r="M60" i="12"/>
  <c r="D80" i="12" s="1"/>
  <c r="M61" i="12"/>
  <c r="D81" i="12" s="1"/>
  <c r="M62" i="12"/>
  <c r="D82" i="12" s="1"/>
  <c r="M63" i="12"/>
  <c r="D83" i="12" s="1"/>
  <c r="M64" i="12"/>
  <c r="D84" i="12" s="1"/>
  <c r="M65" i="12"/>
  <c r="D85" i="12" s="1"/>
  <c r="M40" i="12"/>
  <c r="D68" i="12" s="1"/>
  <c r="X6" i="12"/>
  <c r="O13" i="12"/>
  <c r="O12" i="12"/>
  <c r="O9" i="12"/>
  <c r="T9" i="12"/>
  <c r="Z11" i="12"/>
  <c r="Z6" i="12"/>
  <c r="V13" i="12"/>
  <c r="V12" i="12"/>
  <c r="V9" i="12"/>
  <c r="U9" i="12"/>
  <c r="R10" i="12"/>
  <c r="Z10" i="12" s="1"/>
  <c r="R7" i="12"/>
  <c r="S8" i="12"/>
  <c r="Z8" i="12" s="1"/>
  <c r="S7" i="12"/>
  <c r="S3" i="12"/>
  <c r="S18" i="12" s="1"/>
  <c r="W3" i="12"/>
  <c r="W18" i="12" s="1"/>
  <c r="O20" i="12"/>
  <c r="R20" i="12"/>
  <c r="S20" i="12"/>
  <c r="T20" i="12"/>
  <c r="U20" i="12"/>
  <c r="V20" i="12"/>
  <c r="W20" i="12"/>
  <c r="O21" i="12"/>
  <c r="R21" i="12"/>
  <c r="S21" i="12"/>
  <c r="T21" i="12"/>
  <c r="U21" i="12"/>
  <c r="V21" i="12"/>
  <c r="W21" i="12"/>
  <c r="O22" i="12"/>
  <c r="R22" i="12"/>
  <c r="S22" i="12"/>
  <c r="T22" i="12"/>
  <c r="U22" i="12"/>
  <c r="V22" i="12"/>
  <c r="W22" i="12"/>
  <c r="O23" i="12"/>
  <c r="R23" i="12"/>
  <c r="S23" i="12"/>
  <c r="T23" i="12"/>
  <c r="U23" i="12"/>
  <c r="V23" i="12"/>
  <c r="W23" i="12"/>
  <c r="O24" i="12"/>
  <c r="R24" i="12"/>
  <c r="S24" i="12"/>
  <c r="T24" i="12"/>
  <c r="U24" i="12"/>
  <c r="V24" i="12"/>
  <c r="W24" i="12"/>
  <c r="O25" i="12"/>
  <c r="R25" i="12"/>
  <c r="S25" i="12"/>
  <c r="T25" i="12"/>
  <c r="U25" i="12"/>
  <c r="V25" i="12"/>
  <c r="W25" i="12"/>
  <c r="O26" i="12"/>
  <c r="R26" i="12"/>
  <c r="S26" i="12"/>
  <c r="T26" i="12"/>
  <c r="U26" i="12"/>
  <c r="V26" i="12"/>
  <c r="W26" i="12"/>
  <c r="O27" i="12"/>
  <c r="R27" i="12"/>
  <c r="S27" i="12"/>
  <c r="T27" i="12"/>
  <c r="U27" i="12"/>
  <c r="V27" i="12"/>
  <c r="W27" i="12"/>
  <c r="O28" i="12"/>
  <c r="R28" i="12"/>
  <c r="S28" i="12"/>
  <c r="T28" i="12"/>
  <c r="U28" i="12"/>
  <c r="V28" i="12"/>
  <c r="W28" i="12"/>
  <c r="O29" i="12"/>
  <c r="R29" i="12"/>
  <c r="S29" i="12"/>
  <c r="T29" i="12"/>
  <c r="U29" i="12"/>
  <c r="V29" i="12"/>
  <c r="W29" i="12"/>
  <c r="O30" i="12"/>
  <c r="R30" i="12"/>
  <c r="S30" i="12"/>
  <c r="T30" i="12"/>
  <c r="U30" i="12"/>
  <c r="V30" i="12"/>
  <c r="W30" i="12"/>
  <c r="O31" i="12"/>
  <c r="R31" i="12"/>
  <c r="S31" i="12"/>
  <c r="T31" i="12"/>
  <c r="U31" i="12"/>
  <c r="V31" i="12"/>
  <c r="W31" i="12"/>
  <c r="O32" i="12"/>
  <c r="R32" i="12"/>
  <c r="S32" i="12"/>
  <c r="T32" i="12"/>
  <c r="U32" i="12"/>
  <c r="V32" i="12"/>
  <c r="W32" i="12"/>
  <c r="O33" i="12"/>
  <c r="R33" i="12"/>
  <c r="S33" i="12"/>
  <c r="T33" i="12"/>
  <c r="U33" i="12"/>
  <c r="V33" i="12"/>
  <c r="W33" i="12"/>
  <c r="O34" i="12"/>
  <c r="R34" i="12"/>
  <c r="S34" i="12"/>
  <c r="T34" i="12"/>
  <c r="U34" i="12"/>
  <c r="V34" i="12"/>
  <c r="W34" i="12"/>
  <c r="O35" i="12"/>
  <c r="R35" i="12"/>
  <c r="S35" i="12"/>
  <c r="T35" i="12"/>
  <c r="U35" i="12"/>
  <c r="V35" i="12"/>
  <c r="W35" i="12"/>
  <c r="O36" i="12"/>
  <c r="R36" i="12"/>
  <c r="S36" i="12"/>
  <c r="T36" i="12"/>
  <c r="U36" i="12"/>
  <c r="V36" i="12"/>
  <c r="W36" i="12"/>
  <c r="R19" i="12"/>
  <c r="S19" i="12"/>
  <c r="T19" i="12"/>
  <c r="U19" i="12"/>
  <c r="V19" i="12"/>
  <c r="W19" i="12"/>
  <c r="O19" i="12"/>
  <c r="R18" i="12"/>
  <c r="T18" i="12"/>
  <c r="U18" i="12"/>
  <c r="V18" i="12"/>
  <c r="O18" i="12"/>
  <c r="R17" i="12"/>
  <c r="S17" i="12"/>
  <c r="T17" i="12"/>
  <c r="U17" i="12"/>
  <c r="V17" i="12"/>
  <c r="W17" i="12"/>
  <c r="O17" i="12"/>
  <c r="M51" i="12" l="1"/>
  <c r="D74" i="12" s="1"/>
  <c r="M45" i="12"/>
  <c r="D72" i="12" s="1"/>
  <c r="Z12" i="12"/>
  <c r="Z9" i="12"/>
  <c r="Z7" i="12"/>
  <c r="Z13" i="12"/>
  <c r="Z36" i="12"/>
  <c r="Z28" i="12"/>
  <c r="Z29" i="12"/>
  <c r="Z23" i="12" l="1"/>
  <c r="Z30" i="12"/>
  <c r="Z31" i="12"/>
  <c r="Z32" i="12"/>
  <c r="Z33" i="12"/>
  <c r="Z34" i="12"/>
  <c r="Z35" i="12"/>
  <c r="J34" i="12" l="1"/>
  <c r="J35" i="12"/>
  <c r="J33" i="12"/>
  <c r="N14" i="13" l="1"/>
  <c r="O14" i="13" s="1"/>
  <c r="M14" i="13"/>
  <c r="P9" i="13"/>
  <c r="O9" i="13"/>
  <c r="N9" i="13"/>
  <c r="N2" i="13"/>
  <c r="P4" i="13"/>
  <c r="N4" i="13"/>
  <c r="M4" i="13"/>
  <c r="D31" i="13"/>
  <c r="D12" i="13"/>
  <c r="F12" i="13"/>
  <c r="E12" i="13"/>
  <c r="D6" i="13"/>
  <c r="F48" i="11"/>
  <c r="F47" i="11"/>
  <c r="F46" i="11"/>
  <c r="F45" i="11"/>
  <c r="E48" i="11"/>
  <c r="E47" i="11"/>
  <c r="E46" i="11"/>
  <c r="E45" i="11"/>
  <c r="E44" i="11"/>
  <c r="D44" i="11"/>
  <c r="B22" i="12"/>
  <c r="B21" i="12"/>
  <c r="B20" i="12"/>
  <c r="P14" i="13" l="1"/>
  <c r="P17" i="13" s="1"/>
  <c r="O5" i="4" s="1"/>
  <c r="J6" i="4"/>
  <c r="K6" i="4"/>
  <c r="L6" i="4"/>
  <c r="M6" i="4"/>
  <c r="I6" i="4"/>
  <c r="M9" i="4"/>
  <c r="L9" i="4"/>
  <c r="K9" i="4"/>
  <c r="J9" i="4"/>
  <c r="F42" i="11"/>
  <c r="F41" i="11"/>
  <c r="F36" i="11"/>
  <c r="F22" i="11"/>
  <c r="F28" i="11"/>
  <c r="F21" i="11"/>
  <c r="F35" i="11"/>
  <c r="F27" i="11"/>
  <c r="M15" i="5"/>
  <c r="L15" i="5"/>
  <c r="O15" i="5" s="1"/>
  <c r="M10" i="5"/>
  <c r="L10" i="5"/>
  <c r="L5" i="5"/>
  <c r="M5" i="5"/>
  <c r="O10" i="5"/>
  <c r="J14" i="9"/>
  <c r="L14" i="9" s="1"/>
  <c r="J26" i="9"/>
  <c r="L5" i="4"/>
  <c r="J5" i="4"/>
  <c r="I14" i="9"/>
  <c r="J8" i="9"/>
  <c r="I8" i="9"/>
  <c r="I26" i="9"/>
  <c r="J20" i="9"/>
  <c r="I20" i="9"/>
  <c r="L20" i="9" s="1"/>
  <c r="L8" i="9"/>
  <c r="L10" i="9" s="1"/>
  <c r="M23" i="7"/>
  <c r="K14" i="7"/>
  <c r="M14" i="7" s="1"/>
  <c r="M16" i="7" s="1"/>
  <c r="J14" i="7"/>
  <c r="M21" i="7"/>
  <c r="K16" i="8"/>
  <c r="K18" i="8" s="1"/>
  <c r="K5" i="4" s="1"/>
  <c r="I16" i="8"/>
  <c r="H16" i="8"/>
  <c r="M19" i="10"/>
  <c r="J17" i="10"/>
  <c r="K17" i="10"/>
  <c r="M13" i="10"/>
  <c r="L13" i="10"/>
  <c r="K13" i="10"/>
  <c r="J13" i="10"/>
  <c r="G10" i="10"/>
  <c r="G45" i="5"/>
  <c r="H7" i="5"/>
  <c r="H25" i="5"/>
  <c r="G4" i="7"/>
  <c r="E8" i="8"/>
  <c r="F4" i="8"/>
  <c r="E4" i="8"/>
  <c r="G32" i="5"/>
  <c r="H32" i="5"/>
  <c r="G8" i="7"/>
  <c r="F8" i="8"/>
  <c r="E5" i="9"/>
  <c r="H45" i="5"/>
  <c r="E11" i="9"/>
  <c r="F11" i="9"/>
  <c r="F5" i="9"/>
  <c r="O5" i="5" l="1"/>
  <c r="O28" i="5" s="1"/>
  <c r="N5" i="4" s="1"/>
  <c r="L26" i="9"/>
  <c r="L29" i="9" s="1"/>
  <c r="M5" i="4" s="1"/>
  <c r="B45" i="5"/>
  <c r="G10" i="11" s="1"/>
  <c r="B25" i="5"/>
  <c r="G11" i="11" s="1"/>
  <c r="E25" i="5"/>
  <c r="H11" i="11" s="1"/>
  <c r="E45" i="5"/>
  <c r="H10" i="11" s="1"/>
  <c r="F44" i="11" s="1"/>
  <c r="F49" i="11" s="1"/>
  <c r="O6" i="4" s="1"/>
  <c r="O9" i="4" s="1"/>
  <c r="B14" i="5"/>
  <c r="G9" i="11" s="1"/>
  <c r="E14" i="5"/>
  <c r="H9" i="11" s="1"/>
  <c r="B32" i="5"/>
  <c r="G8" i="11" s="1"/>
  <c r="E32" i="5"/>
  <c r="H8" i="11" s="1"/>
  <c r="E7" i="5"/>
  <c r="H7" i="11" s="1"/>
  <c r="B7" i="5"/>
  <c r="G7" i="11" s="1"/>
  <c r="H12" i="11" l="1"/>
  <c r="I9" i="11"/>
  <c r="I8" i="11"/>
  <c r="I11" i="11"/>
  <c r="I10" i="11"/>
  <c r="I7" i="11"/>
  <c r="U8" i="3"/>
  <c r="U10" i="3"/>
  <c r="U13" i="3"/>
  <c r="U16" i="3"/>
  <c r="H13" i="11" l="1"/>
  <c r="N9" i="4" s="1"/>
  <c r="N6" i="4" s="1"/>
  <c r="F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G20" i="3"/>
  <c r="U14" i="3" l="1"/>
  <c r="U15" i="3"/>
  <c r="U17" i="3"/>
  <c r="U18" i="3"/>
  <c r="U19" i="3"/>
  <c r="U20" i="3"/>
  <c r="U21" i="3"/>
  <c r="U22" i="3"/>
  <c r="U23" i="3"/>
  <c r="U24" i="3"/>
  <c r="U9" i="3"/>
  <c r="U11" i="3"/>
  <c r="U12" i="3"/>
  <c r="G5" i="2" l="1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 l="1"/>
  <c r="G23" i="2"/>
</calcChain>
</file>

<file path=xl/sharedStrings.xml><?xml version="1.0" encoding="utf-8"?>
<sst xmlns="http://schemas.openxmlformats.org/spreadsheetml/2006/main" count="772" uniqueCount="263">
  <si>
    <t>search in search engine</t>
  </si>
  <si>
    <t xml:space="preserve">term: </t>
  </si>
  <si>
    <t>product</t>
  </si>
  <si>
    <t>provoc</t>
  </si>
  <si>
    <t>extension of good relations</t>
  </si>
  <si>
    <t>owl-rdf</t>
  </si>
  <si>
    <t>https://lov.linkeddata.es/</t>
  </si>
  <si>
    <t>term</t>
  </si>
  <si>
    <t>process</t>
  </si>
  <si>
    <t xml:space="preserve">result </t>
  </si>
  <si>
    <t>http://ns.inria.fr/provoc/v1/provoc_v1.rdf</t>
  </si>
  <si>
    <t>based on good relations</t>
  </si>
  <si>
    <t xml:space="preserve">pproc </t>
  </si>
  <si>
    <t>COLD</t>
  </si>
  <si>
    <t>'Configuration as Linked Data' ontology</t>
  </si>
  <si>
    <t>https://doc.rplug.renault.com/car-configurator/cold/configurationontology/configurationontology.html</t>
  </si>
  <si>
    <t>Public Procurement Ontology</t>
  </si>
  <si>
    <t>http://contsem.unizar.es/def/sector-publico/pproc_1.0.0.html</t>
  </si>
  <si>
    <t>resource</t>
  </si>
  <si>
    <t>equipment</t>
  </si>
  <si>
    <t>EQP</t>
  </si>
  <si>
    <t>result</t>
  </si>
  <si>
    <t xml:space="preserve">ceo </t>
  </si>
  <si>
    <t>gr</t>
  </si>
  <si>
    <t xml:space="preserve">good relations </t>
  </si>
  <si>
    <t>Aircraft Equipment Vocabulary</t>
  </si>
  <si>
    <t xml:space="preserve">computer aided design </t>
  </si>
  <si>
    <t>dio</t>
  </si>
  <si>
    <t>The Design Intent Ontology</t>
  </si>
  <si>
    <t>mdoprov</t>
  </si>
  <si>
    <t>Materials Design Ontology - Provenance Module</t>
  </si>
  <si>
    <t xml:space="preserve">search engine </t>
  </si>
  <si>
    <t>http://aber-owl.net/#/machine</t>
  </si>
  <si>
    <t xml:space="preserve">term </t>
  </si>
  <si>
    <t>machine</t>
  </si>
  <si>
    <t>ero</t>
  </si>
  <si>
    <t>http://aber-owl.net/ontology/ERO/#/Overview</t>
  </si>
  <si>
    <t>GSSO</t>
  </si>
  <si>
    <t>https://gsso.research.cchmc.org/</t>
  </si>
  <si>
    <t>DEB</t>
  </si>
  <si>
    <t>https://projectdebbie.github.io/</t>
  </si>
  <si>
    <t xml:space="preserve">sweet </t>
  </si>
  <si>
    <t>http://sweet.jpl.nasa.gov/</t>
  </si>
  <si>
    <t xml:space="preserve">pronto </t>
  </si>
  <si>
    <t>https://ontohub.org/product-ontology/PRONTOv2.owl</t>
  </si>
  <si>
    <t>https://ontohub.org/ontologies</t>
  </si>
  <si>
    <t xml:space="preserve">ucum </t>
  </si>
  <si>
    <t>purl.oclc.org/NET/muo/ucum/</t>
  </si>
  <si>
    <t>qu</t>
  </si>
  <si>
    <t>qudt</t>
  </si>
  <si>
    <t>http://qudt.org/schema/qudt</t>
  </si>
  <si>
    <t>oum</t>
  </si>
  <si>
    <t>Ontology of units of Measure</t>
  </si>
  <si>
    <t>quantities, units, dimensions and types</t>
  </si>
  <si>
    <t>quantities , kinds and units</t>
  </si>
  <si>
    <t>units of measure ontologies</t>
  </si>
  <si>
    <t>http://purl.oclc.org/NET/ssnx/qu/qu</t>
  </si>
  <si>
    <t>http://www.ontology-of-units-of-measure.org/resource/om-2/</t>
  </si>
  <si>
    <t>Evaluation Result of Input Ontologies</t>
  </si>
  <si>
    <t>Reproducibility</t>
  </si>
  <si>
    <t>Verifiable</t>
  </si>
  <si>
    <t>Integrity</t>
  </si>
  <si>
    <t>Timeliness</t>
  </si>
  <si>
    <t>Quality Sets</t>
  </si>
  <si>
    <t>High</t>
  </si>
  <si>
    <t>Medium</t>
  </si>
  <si>
    <t>Low</t>
  </si>
  <si>
    <t>Ontology</t>
  </si>
  <si>
    <t>Copyright</t>
  </si>
  <si>
    <t>Non-copyright</t>
  </si>
  <si>
    <t>ontology</t>
  </si>
  <si>
    <t>Good Relations</t>
  </si>
  <si>
    <t>DIO</t>
  </si>
  <si>
    <t>MDOPROV</t>
  </si>
  <si>
    <t>ERO</t>
  </si>
  <si>
    <t>SWEET</t>
  </si>
  <si>
    <t>PRONTO</t>
  </si>
  <si>
    <t>PROCESS</t>
  </si>
  <si>
    <t>UCUM</t>
  </si>
  <si>
    <t>QU</t>
  </si>
  <si>
    <t>QUDT</t>
  </si>
  <si>
    <t>OUM</t>
  </si>
  <si>
    <t>CEO</t>
  </si>
  <si>
    <t>PPROC</t>
  </si>
  <si>
    <t>PROVOC</t>
  </si>
  <si>
    <t>Grades</t>
  </si>
  <si>
    <t>&lt;2 years</t>
  </si>
  <si>
    <t>2 years&gt;</t>
  </si>
  <si>
    <t>2 years&gt;+ref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</si>
  <si>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</si>
  <si>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</si>
  <si>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</si>
  <si>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</si>
  <si>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</si>
  <si>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</si>
  <si>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</si>
  <si>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</si>
  <si>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</si>
  <si>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eqp</t>
  </si>
  <si>
    <t>cq8.1</t>
  </si>
  <si>
    <t>cq8.2</t>
  </si>
  <si>
    <t>cq8.3</t>
  </si>
  <si>
    <t>cq8.4</t>
  </si>
  <si>
    <t>cq8.5</t>
  </si>
  <si>
    <t>cq8.6</t>
  </si>
  <si>
    <t>competency questions</t>
  </si>
  <si>
    <t>gsso</t>
  </si>
  <si>
    <t>good relations</t>
  </si>
  <si>
    <t>total</t>
  </si>
  <si>
    <t xml:space="preserve">qu </t>
  </si>
  <si>
    <t>pronto</t>
  </si>
  <si>
    <t>sweet</t>
  </si>
  <si>
    <t>ucum</t>
  </si>
  <si>
    <t>deb</t>
  </si>
  <si>
    <t>answer per query</t>
  </si>
  <si>
    <t>cq1</t>
  </si>
  <si>
    <t>ontology 1</t>
  </si>
  <si>
    <t>ontology 2</t>
  </si>
  <si>
    <t>yam</t>
  </si>
  <si>
    <t>specific cost</t>
  </si>
  <si>
    <t>Price specification</t>
  </si>
  <si>
    <t>Organization</t>
  </si>
  <si>
    <t>Person</t>
  </si>
  <si>
    <t>thing</t>
  </si>
  <si>
    <t>entropy unit</t>
  </si>
  <si>
    <t>Metric unit</t>
  </si>
  <si>
    <t>prefixed are</t>
  </si>
  <si>
    <t>Prefix</t>
  </si>
  <si>
    <t>prefix</t>
  </si>
  <si>
    <t>hydrophilicity</t>
  </si>
  <si>
    <t>Hydrophilicity</t>
  </si>
  <si>
    <t>function</t>
  </si>
  <si>
    <t>Functionalization</t>
  </si>
  <si>
    <t>bulk modulus</t>
  </si>
  <si>
    <t>BulkModulus</t>
  </si>
  <si>
    <t>density</t>
  </si>
  <si>
    <t>Density</t>
  </si>
  <si>
    <t>diameter</t>
  </si>
  <si>
    <t>Diameter</t>
  </si>
  <si>
    <t>metallicity</t>
  </si>
  <si>
    <t>Metal</t>
  </si>
  <si>
    <t>hydrophobicity</t>
  </si>
  <si>
    <t>Hydrophobicity</t>
  </si>
  <si>
    <t>molar mass</t>
  </si>
  <si>
    <t>MolarMass</t>
  </si>
  <si>
    <t>thickness</t>
  </si>
  <si>
    <t>Thickness</t>
  </si>
  <si>
    <t>structure</t>
  </si>
  <si>
    <t>mdprov</t>
  </si>
  <si>
    <t>dev</t>
  </si>
  <si>
    <t>strucutre</t>
  </si>
  <si>
    <t>mdo-provenance</t>
  </si>
  <si>
    <t xml:space="preserve">oum </t>
  </si>
  <si>
    <t>unit</t>
  </si>
  <si>
    <t>measure</t>
  </si>
  <si>
    <t>Measurement</t>
  </si>
  <si>
    <t>base unit</t>
  </si>
  <si>
    <t xml:space="preserve">dimension </t>
  </si>
  <si>
    <t xml:space="preserve">Domain </t>
  </si>
  <si>
    <t xml:space="preserve">quantity </t>
  </si>
  <si>
    <t xml:space="preserve">Quantity </t>
  </si>
  <si>
    <t xml:space="preserve">system of units </t>
  </si>
  <si>
    <t xml:space="preserve">System of Units </t>
  </si>
  <si>
    <t xml:space="preserve">interval scale </t>
  </si>
  <si>
    <t xml:space="preserve">Interval scale </t>
  </si>
  <si>
    <t xml:space="preserve">ratio scale </t>
  </si>
  <si>
    <t xml:space="preserve">Ratio scale </t>
  </si>
  <si>
    <t xml:space="preserve">prefixed unit </t>
  </si>
  <si>
    <t xml:space="preserve">Prefix unit </t>
  </si>
  <si>
    <t xml:space="preserve">unit </t>
  </si>
  <si>
    <t xml:space="preserve">Unit </t>
  </si>
  <si>
    <t xml:space="preserve">Organization </t>
  </si>
  <si>
    <t xml:space="preserve">scale </t>
  </si>
  <si>
    <t xml:space="preserve">Scale </t>
  </si>
  <si>
    <t>organization</t>
  </si>
  <si>
    <t>Rule Type</t>
  </si>
  <si>
    <t xml:space="preserve">Restriction Type </t>
  </si>
  <si>
    <t xml:space="preserve">Base Unit </t>
  </si>
  <si>
    <t xml:space="preserve">SI Unit </t>
  </si>
  <si>
    <t xml:space="preserve">UnitOf-si </t>
  </si>
  <si>
    <t xml:space="preserve">CGS Unit </t>
  </si>
  <si>
    <t xml:space="preserve">UnitOf-cgs </t>
  </si>
  <si>
    <t>Base Unit</t>
  </si>
  <si>
    <t xml:space="preserve">base unit </t>
  </si>
  <si>
    <t xml:space="preserve">logarithmic unit </t>
  </si>
  <si>
    <t xml:space="preserve">Logarithmic Unit </t>
  </si>
  <si>
    <t>fp</t>
  </si>
  <si>
    <t>tp</t>
  </si>
  <si>
    <t>ontology mapping count</t>
  </si>
  <si>
    <t>sub totoal</t>
  </si>
  <si>
    <t>check</t>
  </si>
  <si>
    <t>subtotal</t>
  </si>
  <si>
    <t>FP</t>
  </si>
  <si>
    <t>TP</t>
  </si>
  <si>
    <t>sc ucum</t>
  </si>
  <si>
    <t>sc qudt</t>
  </si>
  <si>
    <t>sc sweet</t>
  </si>
  <si>
    <t xml:space="preserve">sc oum </t>
  </si>
  <si>
    <t>sc gr</t>
  </si>
  <si>
    <t>sc oum</t>
  </si>
  <si>
    <t>sc deb</t>
  </si>
  <si>
    <t>sums</t>
  </si>
  <si>
    <t>sc pronto</t>
  </si>
  <si>
    <t xml:space="preserve">sc pronto </t>
  </si>
  <si>
    <t>not for ulo analisys</t>
  </si>
  <si>
    <t xml:space="preserve">entropy unit </t>
  </si>
  <si>
    <t xml:space="preserve">metric unit </t>
  </si>
  <si>
    <t xml:space="preserve">mapping: </t>
  </si>
  <si>
    <t>avg</t>
  </si>
  <si>
    <t>mapping</t>
  </si>
  <si>
    <t>ucun</t>
  </si>
  <si>
    <t>sub total</t>
  </si>
  <si>
    <t>ADC</t>
  </si>
  <si>
    <t>ADC pronto</t>
  </si>
  <si>
    <t>ADC ucum</t>
  </si>
  <si>
    <t>ADC gr</t>
  </si>
  <si>
    <t>ADC sweet</t>
  </si>
  <si>
    <t>ADC oum</t>
  </si>
  <si>
    <t>mapping avg</t>
  </si>
  <si>
    <t>terms/ontologies</t>
  </si>
  <si>
    <t>GR</t>
  </si>
  <si>
    <t>ADC qudt</t>
  </si>
  <si>
    <t>UnitOfSI</t>
  </si>
  <si>
    <t>UNitOf-cgs</t>
  </si>
  <si>
    <t>rule type</t>
  </si>
  <si>
    <t xml:space="preserve">restriction type </t>
  </si>
  <si>
    <t>logaritmic unit</t>
  </si>
  <si>
    <t>logarithmic unit</t>
  </si>
  <si>
    <t>price specification</t>
  </si>
  <si>
    <t>person</t>
  </si>
  <si>
    <t>monomodules</t>
  </si>
  <si>
    <t>multimodule</t>
  </si>
  <si>
    <t>quantity</t>
  </si>
  <si>
    <t>system of units</t>
  </si>
  <si>
    <t>interval scale</t>
  </si>
  <si>
    <t>ratio scale</t>
  </si>
  <si>
    <t>prefixed unit</t>
  </si>
  <si>
    <t>scale</t>
  </si>
  <si>
    <t>monomodule</t>
  </si>
  <si>
    <t>SI Unit</t>
  </si>
  <si>
    <t>CGS Unit</t>
  </si>
  <si>
    <t>mq</t>
  </si>
  <si>
    <t>price</t>
  </si>
  <si>
    <t>unit of measurement</t>
  </si>
  <si>
    <t>multi to mono</t>
  </si>
  <si>
    <t>MQ</t>
  </si>
  <si>
    <t>BS</t>
  </si>
  <si>
    <t>DS</t>
  </si>
  <si>
    <t>BS Unit</t>
  </si>
  <si>
    <t>CGS unit</t>
  </si>
  <si>
    <t xml:space="preserve">prefix </t>
  </si>
  <si>
    <t>BS Quantity</t>
  </si>
  <si>
    <t xml:space="preserve">Ontology </t>
  </si>
  <si>
    <t>DS Unit</t>
  </si>
  <si>
    <t>DS Quantity</t>
  </si>
  <si>
    <t>DS Monomodules</t>
  </si>
  <si>
    <t>Ontologies</t>
  </si>
  <si>
    <t>Concept</t>
  </si>
  <si>
    <t>Concepts</t>
  </si>
  <si>
    <t>Pronto</t>
  </si>
  <si>
    <t>Total</t>
  </si>
  <si>
    <t>dc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</si>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</sst>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2" fillId="0" borderId="10" xfId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6" borderId="0" xfId="0" applyFont="1" applyFill="1"/>
    <xf numFmtId="0" fontId="0" fillId="6" borderId="0" xfId="0" applyFont="1" applyFill="1"/>
    <xf numFmtId="0" fontId="0" fillId="0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/>
    <xf numFmtId="0" fontId="5" fillId="7" borderId="0" xfId="0" applyFont="1" applyFill="1"/>
    <xf numFmtId="0" fontId="5" fillId="0" borderId="0" xfId="0" applyFont="1"/>
    <xf numFmtId="0" fontId="6" fillId="3" borderId="0" xfId="0" applyFont="1" applyFill="1"/>
    <xf numFmtId="0" fontId="5" fillId="5" borderId="0" xfId="0" applyFont="1" applyFill="1"/>
    <xf numFmtId="0" fontId="3" fillId="3" borderId="0" xfId="0" applyFont="1" applyFill="1"/>
    <xf numFmtId="0" fontId="3" fillId="0" borderId="0" xfId="0" applyFont="1" applyFill="1" applyAlignment="1">
      <alignment vertical="center" wrapText="1"/>
    </xf>
    <xf numFmtId="2" fontId="0" fillId="0" borderId="0" xfId="0" applyNumberFormat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2" fontId="3" fillId="0" borderId="0" xfId="0" applyNumberFormat="1" applyFont="1" applyFill="1"/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'qc 1'!$G$4</c:f>
              <c:strCache>
                <c:ptCount val="1"/>
                <c:pt idx="0">
                  <c:v>Grades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'qc 1'!$B$5:$B$22</c:f>
              <c:strCache>
                <c:ptCount val="18"/>
                <c:pt idx="0">
                  <c:v>Good Relations</c:v>
                </c:pt>
                <c:pt idx="1">
                  <c:v>QU</c:v>
                </c:pt>
                <c:pt idx="2">
                  <c:v>CEO</c:v>
                </c:pt>
                <c:pt idx="3">
                  <c:v>COLD</c:v>
                </c:pt>
                <c:pt idx="4">
                  <c:v>PPROC</c:v>
                </c:pt>
                <c:pt idx="5">
                  <c:v>PROVOC</c:v>
                </c:pt>
                <c:pt idx="6">
                  <c:v>DIO</c:v>
                </c:pt>
                <c:pt idx="7">
                  <c:v>ERO</c:v>
                </c:pt>
                <c:pt idx="8">
                  <c:v>PRONTO</c:v>
                </c:pt>
                <c:pt idx="9">
                  <c:v>PROCESS</c:v>
                </c:pt>
                <c:pt idx="10">
                  <c:v>UCUM</c:v>
                </c:pt>
                <c:pt idx="11">
                  <c:v>SWEET</c:v>
                </c:pt>
                <c:pt idx="12">
                  <c:v>EQP</c:v>
                </c:pt>
                <c:pt idx="13">
                  <c:v>QUDT</c:v>
                </c:pt>
                <c:pt idx="14">
                  <c:v>OUM</c:v>
                </c:pt>
                <c:pt idx="15">
                  <c:v>GSSO</c:v>
                </c:pt>
                <c:pt idx="16">
                  <c:v>DEB</c:v>
                </c:pt>
                <c:pt idx="17">
                  <c:v>MDOPROV</c:v>
                </c:pt>
              </c:strCache>
            </c:strRef>
          </c:cat>
          <c:val>
            <c:numRef>
              <c:f>'qc 1'!$G$5:$G$22</c:f>
              <c:numCache>
                <c:formatCode>General</c:formatCode>
                <c:ptCount val="18"/>
                <c:pt idx="0">
                  <c:v>3.5999999999999996</c:v>
                </c:pt>
                <c:pt idx="1">
                  <c:v>3.4000000000000004</c:v>
                </c:pt>
                <c:pt idx="2">
                  <c:v>2.8</c:v>
                </c:pt>
                <c:pt idx="3">
                  <c:v>2.8</c:v>
                </c:pt>
                <c:pt idx="4">
                  <c:v>2.4</c:v>
                </c:pt>
                <c:pt idx="5">
                  <c:v>3</c:v>
                </c:pt>
                <c:pt idx="6">
                  <c:v>2.8</c:v>
                </c:pt>
                <c:pt idx="7">
                  <c:v>2.4</c:v>
                </c:pt>
                <c:pt idx="8">
                  <c:v>3.1999999999999997</c:v>
                </c:pt>
                <c:pt idx="9">
                  <c:v>2.8</c:v>
                </c:pt>
                <c:pt idx="10">
                  <c:v>3</c:v>
                </c:pt>
                <c:pt idx="11">
                  <c:v>3.1999999999999997</c:v>
                </c:pt>
                <c:pt idx="12">
                  <c:v>4</c:v>
                </c:pt>
                <c:pt idx="13">
                  <c:v>3</c:v>
                </c:pt>
                <c:pt idx="14">
                  <c:v>3.8</c:v>
                </c:pt>
                <c:pt idx="15">
                  <c:v>3.8</c:v>
                </c:pt>
                <c:pt idx="16">
                  <c:v>3</c:v>
                </c:pt>
                <c:pt idx="1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1DA-9808-35949359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52928"/>
        <c:axId val="1334886272"/>
      </c:barChart>
      <c:catAx>
        <c:axId val="11709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86272"/>
        <c:crosses val="autoZero"/>
        <c:auto val="1"/>
        <c:lblAlgn val="ctr"/>
        <c:lblOffset val="100"/>
        <c:noMultiLvlLbl val="0"/>
      </c:catAx>
      <c:valAx>
        <c:axId val="13348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DS and BS of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hypermodules!$C$88</c:f>
              <c:strCache>
                <c:ptCount val="1"/>
                <c:pt idx="0">
                  <c:v>DS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hypermodules!$B$89:$B$95</c:f>
              <c:strCache>
                <c:ptCount val="7"/>
                <c:pt idx="0">
                  <c:v>unit</c:v>
                </c:pt>
                <c:pt idx="1">
                  <c:v>measure</c:v>
                </c:pt>
                <c:pt idx="2">
                  <c:v>Base Unit</c:v>
                </c:pt>
                <c:pt idx="3">
                  <c:v>SI Unit</c:v>
                </c:pt>
                <c:pt idx="4">
                  <c:v>CGS unit</c:v>
                </c:pt>
                <c:pt idx="5">
                  <c:v>prefix </c:v>
                </c:pt>
                <c:pt idx="6">
                  <c:v>logarithmic unit</c:v>
                </c:pt>
              </c:strCache>
            </c:strRef>
          </c:cat>
          <c:val>
            <c:numRef>
              <c:f>hypermodules!$C$89:$C$95</c:f>
              <c:numCache>
                <c:formatCode>General</c:formatCode>
                <c:ptCount val="7"/>
                <c:pt idx="0">
                  <c:v>57.142857142857139</c:v>
                </c:pt>
                <c:pt idx="1">
                  <c:v>28.571428571428569</c:v>
                </c:pt>
                <c:pt idx="2">
                  <c:v>42.857142857142854</c:v>
                </c:pt>
                <c:pt idx="3">
                  <c:v>28.571428571428569</c:v>
                </c:pt>
                <c:pt idx="4">
                  <c:v>28.571428571428569</c:v>
                </c:pt>
                <c:pt idx="5">
                  <c:v>42.857142857142854</c:v>
                </c:pt>
                <c:pt idx="6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A-489F-9977-B1B1FEF373C7}"/>
            </c:ext>
          </c:extLst>
        </c:ser>
        <c:ser>
          <c:idx val="1"/>
          <c:order val="1"/>
          <c:tx>
            <c:strRef>
              <c:f>hypermodules!$D$88</c:f>
              <c:strCache>
                <c:ptCount val="1"/>
                <c:pt idx="0">
                  <c:v>BS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hypermodules!$B$89:$B$95</c:f>
              <c:strCache>
                <c:ptCount val="7"/>
                <c:pt idx="0">
                  <c:v>unit</c:v>
                </c:pt>
                <c:pt idx="1">
                  <c:v>measure</c:v>
                </c:pt>
                <c:pt idx="2">
                  <c:v>Base Unit</c:v>
                </c:pt>
                <c:pt idx="3">
                  <c:v>SI Unit</c:v>
                </c:pt>
                <c:pt idx="4">
                  <c:v>CGS unit</c:v>
                </c:pt>
                <c:pt idx="5">
                  <c:v>prefix </c:v>
                </c:pt>
                <c:pt idx="6">
                  <c:v>logarithmic unit</c:v>
                </c:pt>
              </c:strCache>
            </c:strRef>
          </c:cat>
          <c:val>
            <c:numRef>
              <c:f>hypermodules!$D$89:$D$95</c:f>
              <c:numCache>
                <c:formatCode>General</c:formatCode>
                <c:ptCount val="7"/>
                <c:pt idx="0">
                  <c:v>100</c:v>
                </c:pt>
                <c:pt idx="1">
                  <c:v>25</c:v>
                </c:pt>
                <c:pt idx="2">
                  <c:v>75</c:v>
                </c:pt>
                <c:pt idx="3">
                  <c:v>50</c:v>
                </c:pt>
                <c:pt idx="4">
                  <c:v>50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A-489F-9977-B1B1FEF3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257151"/>
        <c:axId val="303283551"/>
        <c:axId val="0"/>
      </c:bar3DChart>
      <c:catAx>
        <c:axId val="3142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3551"/>
        <c:crosses val="autoZero"/>
        <c:auto val="1"/>
        <c:lblAlgn val="ctr"/>
        <c:lblOffset val="100"/>
        <c:noMultiLvlLbl val="0"/>
      </c:catAx>
      <c:valAx>
        <c:axId val="3032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DS and BS of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hypermodules!$C$103</c:f>
              <c:strCache>
                <c:ptCount val="1"/>
                <c:pt idx="0">
                  <c:v>DS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hypermodules!$B$104:$B$106</c:f>
              <c:strCache>
                <c:ptCount val="3"/>
                <c:pt idx="0">
                  <c:v>quantity</c:v>
                </c:pt>
                <c:pt idx="1">
                  <c:v>density</c:v>
                </c:pt>
                <c:pt idx="2">
                  <c:v>diameter</c:v>
                </c:pt>
              </c:strCache>
            </c:strRef>
          </c:cat>
          <c:val>
            <c:numRef>
              <c:f>hypermodules!$C$104:$C$106</c:f>
              <c:numCache>
                <c:formatCode>General</c:formatCode>
                <c:ptCount val="3"/>
                <c:pt idx="0">
                  <c:v>28.571428571428569</c:v>
                </c:pt>
                <c:pt idx="1">
                  <c:v>28.571428571428569</c:v>
                </c:pt>
                <c:pt idx="2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6-4A79-9FE2-158E1A14141E}"/>
            </c:ext>
          </c:extLst>
        </c:ser>
        <c:ser>
          <c:idx val="1"/>
          <c:order val="1"/>
          <c:tx>
            <c:strRef>
              <c:f>hypermodules!$D$103</c:f>
              <c:strCache>
                <c:ptCount val="1"/>
                <c:pt idx="0">
                  <c:v>BS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hypermodules!$B$104:$B$106</c:f>
              <c:strCache>
                <c:ptCount val="3"/>
                <c:pt idx="0">
                  <c:v>quantity</c:v>
                </c:pt>
                <c:pt idx="1">
                  <c:v>density</c:v>
                </c:pt>
                <c:pt idx="2">
                  <c:v>diameter</c:v>
                </c:pt>
              </c:strCache>
            </c:strRef>
          </c:cat>
          <c:val>
            <c:numRef>
              <c:f>hypermodules!$D$104:$D$106</c:f>
              <c:numCache>
                <c:formatCode>General</c:formatCode>
                <c:ptCount val="3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6-4A79-9FE2-158E1A14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883983"/>
        <c:axId val="359088991"/>
        <c:axId val="0"/>
      </c:bar3DChart>
      <c:catAx>
        <c:axId val="3008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88991"/>
        <c:crosses val="autoZero"/>
        <c:auto val="1"/>
        <c:lblAlgn val="ctr"/>
        <c:lblOffset val="100"/>
        <c:noMultiLvlLbl val="0"/>
      </c:catAx>
      <c:valAx>
        <c:axId val="3590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of Concepts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'defined concepts'!$D$2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'defined concepts'!$C$3:$C$9</c:f>
              <c:strCache>
                <c:ptCount val="7"/>
                <c:pt idx="0">
                  <c:v>Pronto</c:v>
                </c:pt>
                <c:pt idx="1">
                  <c:v>Good Relations</c:v>
                </c:pt>
                <c:pt idx="2">
                  <c:v>qudt</c:v>
                </c:pt>
                <c:pt idx="3">
                  <c:v>deb</c:v>
                </c:pt>
                <c:pt idx="4">
                  <c:v>ucum</c:v>
                </c:pt>
                <c:pt idx="5">
                  <c:v>oum</c:v>
                </c:pt>
                <c:pt idx="6">
                  <c:v>sweet</c:v>
                </c:pt>
              </c:strCache>
            </c:strRef>
          </c:cat>
          <c:val>
            <c:numRef>
              <c:f>'defined concepts'!$D$3:$D$9</c:f>
              <c:numCache>
                <c:formatCode>0.00</c:formatCode>
                <c:ptCount val="7"/>
                <c:pt idx="0">
                  <c:v>23.684210526315788</c:v>
                </c:pt>
                <c:pt idx="1">
                  <c:v>15.789473684210526</c:v>
                </c:pt>
                <c:pt idx="2">
                  <c:v>0</c:v>
                </c:pt>
                <c:pt idx="3">
                  <c:v>1.0288065843621399</c:v>
                </c:pt>
                <c:pt idx="4">
                  <c:v>0</c:v>
                </c:pt>
                <c:pt idx="5">
                  <c:v>27.970297029702973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A-4670-9C3B-A7744682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685472"/>
        <c:axId val="1259125040"/>
      </c:barChart>
      <c:catAx>
        <c:axId val="13746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25040"/>
        <c:crosses val="autoZero"/>
        <c:auto val="1"/>
        <c:lblAlgn val="ctr"/>
        <c:lblOffset val="100"/>
        <c:noMultiLvlLbl val="0"/>
      </c:catAx>
      <c:valAx>
        <c:axId val="1259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'qc 1'!$P$4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2FD-4D64-9ED2-177B062E8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2FD-4D64-9ED2-177B062E8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2FD-4D64-9ED2-177B062E893C}"/>
              </c:ext>
            </c:extLst>
          </c:dPt>
          <c:dLbls>
            <c:dLbl>
              <c:idx val="0"/>
              <c:layout>
                <c:manualLayout>
                  <c:x val="-0.18873161254510132"/>
                  <c:y val="9.7222222222222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6D9EBB-A942-479A-88D4-3A59EB7F6BE4}" type="CATEGORYNAM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[RUBRIKENNAME]</a:t>
                    </a:fld>
                    <a:r>
                      <a:rPr lang="en-US" sz="1400" baseline="0"/>
                      <a:t>
</a:t>
                    </a:r>
                    <a:fld id="{49FF229F-4F7C-4544-9986-0FD03EBFE6D2}" type="PERCENTAG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[PROZENTSATZ]</a:t>
                    </a:fld>
                    <a:endParaRPr lang="en-US" sz="1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2FD-4D64-9ED2-177B062E893C}"/>
                </c:ext>
              </c:extLst>
            </c:dLbl>
            <c:dLbl>
              <c:idx val="1"/>
              <c:layout>
                <c:manualLayout>
                  <c:x val="-0.19565386213695493"/>
                  <c:y val="-0.292552100048930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807ABA-FDA3-4BD1-B321-A6819D155FAA}" type="CATEGORYNAM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[RUBRIKENNAME]</a:t>
                    </a:fld>
                    <a:r>
                      <a:rPr lang="en-US" sz="1400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F89096B-1767-417A-8ED1-D7B580E04D0D}" type="PERCENTAG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[PROZENTSATZ]</a:t>
                    </a:fld>
                    <a:endParaRPr lang="en-US" sz="14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4674531693775"/>
                      <c:h val="0.3296583931886219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2FD-4D64-9ED2-177B062E893C}"/>
                </c:ext>
              </c:extLst>
            </c:dLbl>
            <c:dLbl>
              <c:idx val="2"/>
              <c:layout>
                <c:manualLayout>
                  <c:x val="0.20250032234730025"/>
                  <c:y val="8.81175269757946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BAE3C3-882A-446A-8D58-0DDFDBB8F8A8}" type="CATEGORYNAM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[RUBRIKENNAME]</a:t>
                    </a:fld>
                    <a:r>
                      <a:rPr lang="en-US" sz="1400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861F490-E516-4676-A252-E5489F0495EE}" type="PERCENTAG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[PROZENTSATZ]</a:t>
                    </a:fld>
                    <a:endParaRPr lang="en-US" sz="14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2FD-4D64-9ED2-177B062E893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'qc 1'!$O$5:$O$7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'qc 1'!$P$5:$P$7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D-4D64-9ED2-177B062E893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802-4D61-9460-D7E364BF71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802-4D61-9460-D7E364BF71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802-4D61-9460-D7E364BF7161}"/>
              </c:ext>
            </c:extLst>
          </c:dPt>
          <c:dLbls>
            <c:dLbl>
              <c:idx val="0"/>
              <c:layout>
                <c:manualLayout>
                  <c:x val="-0.23362536503963288"/>
                  <c:y val="6.93000693000692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E921EF-AC91-483F-9F17-2D66B5127FCE}" type="CATEGORYNAM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[RUBRIKENNAME]</a:t>
                    </a:fld>
                    <a:r>
                      <a:rPr lang="en-US" sz="1400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CE0F962-426C-4042-9A29-5BB43686FB17}" type="PERCENTAG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[PROZENTSATZ]</a:t>
                    </a:fld>
                    <a:endParaRPr lang="en-US" sz="14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802-4D61-9460-D7E364BF7161}"/>
                </c:ext>
              </c:extLst>
            </c:dLbl>
            <c:dLbl>
              <c:idx val="1"/>
              <c:layout>
                <c:manualLayout>
                  <c:x val="-0.18356267731865181"/>
                  <c:y val="-0.254100254100254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667BED-FB66-480D-AEC3-275CECA61213}" type="CATEGORYNAM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[RUBRIKENNAME]</a:t>
                    </a:fld>
                    <a:r>
                      <a:rPr lang="en-US" sz="1400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F4BEE024-9DAB-4D9B-A688-88ACAFD7FA37}" type="PERCENTAG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[PROZENTSATZ]</a:t>
                    </a:fld>
                    <a:endParaRPr lang="en-US" sz="14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75819949915518"/>
                      <c:h val="0.20979440979440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802-4D61-9460-D7E364BF7161}"/>
                </c:ext>
              </c:extLst>
            </c:dLbl>
            <c:dLbl>
              <c:idx val="2"/>
              <c:layout>
                <c:manualLayout>
                  <c:x val="0.29203170629954112"/>
                  <c:y val="-0.138600138600138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5332E6-D153-4267-B0B3-37B52850BE17}" type="CATEGORYNAM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[RUBRIKENNAME]</a:t>
                    </a:fld>
                    <a:r>
                      <a:rPr lang="en-US" sz="1400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46F575D0-9435-41B2-8237-C346549956CD}" type="PERCENTAGE">
                      <a:rPr lang="en-US" sz="1400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[PROZENTSATZ]</a:t>
                    </a:fld>
                    <a:endParaRPr lang="en-US" sz="14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802-4D61-9460-D7E364BF716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'qc 1'!$D$29:$D$31</c:f>
              <c:strCache>
                <c:ptCount val="3"/>
                <c:pt idx="0">
                  <c:v>&lt;2 years</c:v>
                </c:pt>
                <c:pt idx="1">
                  <c:v>2 years&gt;+ref</c:v>
                </c:pt>
                <c:pt idx="2">
                  <c:v>2 years&gt;</c:v>
                </c:pt>
              </c:strCache>
            </c:strRef>
          </c:cat>
          <c:val>
            <c:numRef>
              <c:f>'qc 1'!$E$29:$E$31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2-4D61-9460-D7E364BF71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3E6-42BA-8619-89F27ECF5A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3E6-42BA-8619-89F27ECF5AA9}"/>
              </c:ext>
            </c:extLst>
          </c:dPt>
          <c:dLbls>
            <c:dLbl>
              <c:idx val="0"/>
              <c:layout>
                <c:manualLayout>
                  <c:x val="-0.21388888888888888"/>
                  <c:y val="-7.88131664348632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ysClr val="windowText" lastClr="000000"/>
                        </a:solidFill>
                      </a:rPr>
                      <a:t>50 %</a:t>
                    </a:r>
                  </a:p>
                  <a:p>
                    <a:pPr>
                      <a:defRPr/>
                    </a:pPr>
                    <a:fld id="{FBF43A4F-8477-40D0-B475-66A45EE9EDF4}" type="CATEGORYNAM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[RUBRIKENNAME]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E6-42BA-8619-89F27ECF5AA9}"/>
                </c:ext>
              </c:extLst>
            </c:dLbl>
            <c:dLbl>
              <c:idx val="1"/>
              <c:layout>
                <c:manualLayout>
                  <c:x val="0.25833333333333336"/>
                  <c:y val="-6.02688919796013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958C35-41B5-4533-AD4B-EC9CB48C7A91}" type="PERCENTAGE">
                      <a:rPr lang="en-US" sz="140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[PROZENTSATZ]</a:t>
                    </a:fld>
                    <a:r>
                      <a:rPr lang="en-US" sz="1400">
                        <a:solidFill>
                          <a:sysClr val="windowText" lastClr="000000"/>
                        </a:solidFill>
                      </a:rPr>
                      <a:t>  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sz="1400">
                        <a:solidFill>
                          <a:sysClr val="windowText" lastClr="000000"/>
                        </a:solidFill>
                      </a:rPr>
                      <a:t>Non Copyright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3E6-42BA-8619-89F27ECF5AA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'qc 1'!$D$26:$E$26</c:f>
              <c:strCache>
                <c:ptCount val="2"/>
                <c:pt idx="0">
                  <c:v>Copyright</c:v>
                </c:pt>
                <c:pt idx="1">
                  <c:v>Non-copyright</c:v>
                </c:pt>
              </c:strCache>
            </c:strRef>
          </c:cat>
          <c:val>
            <c:numRef>
              <c:f>'qc 1'!$D$27:$E$27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6-42BA-8619-89F27ECF5A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 i="0" baseline="0"/>
              <a:t>Answers per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Tabelle1!$F$20:$T$20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2-44A0-A0A7-FD56BA5A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682367"/>
        <c:axId val="1744739903"/>
      </c:barChart>
      <c:catAx>
        <c:axId val="17486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39903"/>
        <c:crosses val="autoZero"/>
        <c:auto val="1"/>
        <c:lblAlgn val="ctr"/>
        <c:lblOffset val="100"/>
        <c:noMultiLvlLbl val="0"/>
      </c:catAx>
      <c:valAx>
        <c:axId val="17447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8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Answers per Ontology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Tabelle1!$E$8:$E$19</c:f>
              <c:strCache>
                <c:ptCount val="8"/>
                <c:pt idx="0">
                  <c:v>oum</c:v>
                </c:pt>
                <c:pt idx="1">
                  <c:v>mdoprov</c:v>
                </c:pt>
                <c:pt idx="2">
                  <c:v>good relations</c:v>
                </c:pt>
                <c:pt idx="3">
                  <c:v>pronto</c:v>
                </c:pt>
                <c:pt idx="4">
                  <c:v>sweet</c:v>
                </c:pt>
                <c:pt idx="5">
                  <c:v>ucum</c:v>
                </c:pt>
                <c:pt idx="6">
                  <c:v>qudt</c:v>
                </c:pt>
                <c:pt idx="7">
                  <c:v>deb</c:v>
                </c:pt>
              </c:strCache>
            </c:strRef>
          </c:cat>
          <c:val>
            <c:numRef>
              <c:f>Tabelle1!$U$8:$U$19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E26-9C38-843EB300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478095"/>
        <c:axId val="1744322799"/>
      </c:barChart>
      <c:catAx>
        <c:axId val="16224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22799"/>
        <c:crosses val="autoZero"/>
        <c:auto val="1"/>
        <c:lblAlgn val="ctr"/>
        <c:lblOffset val="100"/>
        <c:noMultiLvlLbl val="0"/>
      </c:catAx>
      <c:valAx>
        <c:axId val="17443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aseline="0"/>
              <a:t>Distributed Answers to CQ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Tabelle1!$F$8:$T$8</c:f>
            </c:numRef>
          </c:val>
          <c:extLst>
            <c:ext xmlns:c16="http://schemas.microsoft.com/office/drawing/2014/chart" uri="{C3380CC4-5D6E-409C-BE32-E72D297353CC}">
              <c16:uniqueId val="{00000000-52CE-4B5D-8017-4FC9B0C7B08F}"/>
            </c:ext>
          </c:extLst>
        </c:ser>
        <c:ser>
          <c:idx val="1"/>
          <c:order val="1"/>
          <c:tx>
            <c:v>oum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Tabelle1!$F$9:$T$9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E-4B5D-8017-4FC9B0C7B0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Tabelle1!$F$10:$T$10</c:f>
            </c:numRef>
          </c:val>
          <c:extLst>
            <c:ext xmlns:c16="http://schemas.microsoft.com/office/drawing/2014/chart" uri="{C3380CC4-5D6E-409C-BE32-E72D297353CC}">
              <c16:uniqueId val="{00000002-52CE-4B5D-8017-4FC9B0C7B08F}"/>
            </c:ext>
          </c:extLst>
        </c:ser>
        <c:ser>
          <c:idx val="3"/>
          <c:order val="3"/>
          <c:tx>
            <c:v>mdoprov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Tabelle1!$F$11:$T$11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E-4B5D-8017-4FC9B0C7B08F}"/>
            </c:ext>
          </c:extLst>
        </c:ser>
        <c:ser>
          <c:idx val="4"/>
          <c:order val="4"/>
          <c:tx>
            <c:v>Good Relations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Tabelle1!$F$12:$T$12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E-4B5D-8017-4FC9B0C7B0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Tabelle1!$F$13:$T$13</c:f>
            </c:numRef>
          </c:val>
          <c:extLst>
            <c:ext xmlns:c16="http://schemas.microsoft.com/office/drawing/2014/chart" uri="{C3380CC4-5D6E-409C-BE32-E72D297353CC}">
              <c16:uniqueId val="{00000005-52CE-4B5D-8017-4FC9B0C7B08F}"/>
            </c:ext>
          </c:extLst>
        </c:ser>
        <c:ser>
          <c:idx val="6"/>
          <c:order val="6"/>
          <c:tx>
            <c:v>PRONTO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Tabelle1!$F$14:$T$14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CE-4B5D-8017-4FC9B0C7B08F}"/>
            </c:ext>
          </c:extLst>
        </c:ser>
        <c:ser>
          <c:idx val="7"/>
          <c:order val="7"/>
          <c:tx>
            <c:v>sweet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Tabelle1!$F$15:$T$15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CE-4B5D-8017-4FC9B0C7B0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Tabelle1!$F$16:$T$16</c:f>
            </c:numRef>
          </c:val>
          <c:extLst>
            <c:ext xmlns:c16="http://schemas.microsoft.com/office/drawing/2014/chart" uri="{C3380CC4-5D6E-409C-BE32-E72D297353CC}">
              <c16:uniqueId val="{00000008-52CE-4B5D-8017-4FC9B0C7B08F}"/>
            </c:ext>
          </c:extLst>
        </c:ser>
        <c:ser>
          <c:idx val="9"/>
          <c:order val="9"/>
          <c:tx>
            <c:v>ucum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Tabelle1!$F$17:$T$17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CE-4B5D-8017-4FC9B0C7B08F}"/>
            </c:ext>
          </c:extLst>
        </c:ser>
        <c:ser>
          <c:idx val="10"/>
          <c:order val="10"/>
          <c:tx>
            <c:v>qudt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Tabelle1!$F$18:$T$18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CE-4B5D-8017-4FC9B0C7B08F}"/>
            </c:ext>
          </c:extLst>
        </c:ser>
        <c:ser>
          <c:idx val="11"/>
          <c:order val="11"/>
          <c:tx>
            <c:v>deb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Tabelle1!$F$19:$T$19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CE-4B5D-8017-4FC9B0C7B08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  <c:extLst xmlns:c15="http://schemas.microsoft.com/office/drawing/2012/chart"/>
            </c:strRef>
          </c:cat>
          <c:val>
            <c:numRef>
              <c:f>Tabelle1!$E$8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52CE-4B5D-8017-4FC9B0C7B08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CE-4B5D-8017-4FC9B0C7B08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Tabelle1!$E$10</c:f>
            </c:numRef>
          </c:val>
          <c:extLst>
            <c:ext xmlns:c16="http://schemas.microsoft.com/office/drawing/2014/chart" uri="{C3380CC4-5D6E-409C-BE32-E72D297353CC}">
              <c16:uniqueId val="{0000000E-52CE-4B5D-8017-4FC9B0C7B08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CE-4B5D-8017-4FC9B0C7B08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CE-4B5D-8017-4FC9B0C7B08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Tabelle1!$E$13</c:f>
            </c:numRef>
          </c:val>
          <c:extLst>
            <c:ext xmlns:c16="http://schemas.microsoft.com/office/drawing/2014/chart" uri="{C3380CC4-5D6E-409C-BE32-E72D297353CC}">
              <c16:uniqueId val="{00000011-52CE-4B5D-8017-4FC9B0C7B08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CE-4B5D-8017-4FC9B0C7B08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CE-4B5D-8017-4FC9B0C7B08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Tabelle1!$E$16</c:f>
            </c:numRef>
          </c:val>
          <c:extLst>
            <c:ext xmlns:c16="http://schemas.microsoft.com/office/drawing/2014/chart" uri="{C3380CC4-5D6E-409C-BE32-E72D297353CC}">
              <c16:uniqueId val="{00000014-52CE-4B5D-8017-4FC9B0C7B08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CE-4B5D-8017-4FC9B0C7B08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2CE-4B5D-8017-4FC9B0C7B08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Tabelle1!$F$7:$T$7</c:f>
              <c:strCache>
                <c:ptCount val="15"/>
                <c:pt idx="0">
                  <c:v>cq1</c:v>
                </c:pt>
                <c:pt idx="1">
                  <c:v>cq2</c:v>
                </c:pt>
                <c:pt idx="2">
                  <c:v>cq3</c:v>
                </c:pt>
                <c:pt idx="3">
                  <c:v>cq4</c:v>
                </c:pt>
                <c:pt idx="4">
                  <c:v>cq5</c:v>
                </c:pt>
                <c:pt idx="5">
                  <c:v>cq6</c:v>
                </c:pt>
                <c:pt idx="6">
                  <c:v>cq7</c:v>
                </c:pt>
                <c:pt idx="7">
                  <c:v>cq8.1</c:v>
                </c:pt>
                <c:pt idx="8">
                  <c:v>cq8.2</c:v>
                </c:pt>
                <c:pt idx="9">
                  <c:v>cq8.3</c:v>
                </c:pt>
                <c:pt idx="10">
                  <c:v>cq8.4</c:v>
                </c:pt>
                <c:pt idx="11">
                  <c:v>cq8.5</c:v>
                </c:pt>
                <c:pt idx="12">
                  <c:v>cq8.6</c:v>
                </c:pt>
                <c:pt idx="13">
                  <c:v>cq9</c:v>
                </c:pt>
                <c:pt idx="14">
                  <c:v>cq10</c:v>
                </c:pt>
              </c:strCache>
            </c:strRef>
          </c:cat>
          <c:val>
            <c:numRef>
              <c:f>Tabelle1!$E$19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2CE-4B5D-8017-4FC9B0C7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262528"/>
        <c:axId val="494922816"/>
        <c:extLst/>
      </c:barChart>
      <c:catAx>
        <c:axId val="6362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22816"/>
        <c:crosses val="autoZero"/>
        <c:auto val="1"/>
        <c:lblAlgn val="ctr"/>
        <c:lblOffset val="100"/>
        <c:noMultiLvlLbl val="0"/>
      </c:catAx>
      <c:valAx>
        <c:axId val="494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Relative</a:t>
            </a:r>
            <a:r>
              <a:rPr lang="de-DE" sz="1400" baseline="0"/>
              <a:t> ULO Metrics</a:t>
            </a:r>
            <a:endParaRPr lang="de-DE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mappings!$I$5</c:f>
              <c:strCache>
                <c:ptCount val="1"/>
                <c:pt idx="0">
                  <c:v>ADC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mappings!$J$4:$O$4</c:f>
              <c:strCache>
                <c:ptCount val="6"/>
                <c:pt idx="0">
                  <c:v>ucum</c:v>
                </c:pt>
                <c:pt idx="1">
                  <c:v>pronto</c:v>
                </c:pt>
                <c:pt idx="2">
                  <c:v>gr</c:v>
                </c:pt>
                <c:pt idx="3">
                  <c:v>sweet</c:v>
                </c:pt>
                <c:pt idx="4">
                  <c:v>oum</c:v>
                </c:pt>
                <c:pt idx="5">
                  <c:v>qudt</c:v>
                </c:pt>
              </c:strCache>
            </c:strRef>
          </c:cat>
          <c:val>
            <c:numRef>
              <c:f>mappings!$J$5:$O$5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0.75</c:v>
                </c:pt>
                <c:pt idx="3">
                  <c:v>31.875</c:v>
                </c:pt>
                <c:pt idx="4">
                  <c:v>5.166666666666667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E-4AFC-B992-41381E82F054}"/>
            </c:ext>
          </c:extLst>
        </c:ser>
        <c:ser>
          <c:idx val="1"/>
          <c:order val="1"/>
          <c:tx>
            <c:strRef>
              <c:f>mappings!$I$6</c:f>
              <c:strCache>
                <c:ptCount val="1"/>
                <c:pt idx="0">
                  <c:v>mapping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mappings!$J$4:$O$4</c:f>
              <c:strCache>
                <c:ptCount val="6"/>
                <c:pt idx="0">
                  <c:v>ucum</c:v>
                </c:pt>
                <c:pt idx="1">
                  <c:v>pronto</c:v>
                </c:pt>
                <c:pt idx="2">
                  <c:v>gr</c:v>
                </c:pt>
                <c:pt idx="3">
                  <c:v>sweet</c:v>
                </c:pt>
                <c:pt idx="4">
                  <c:v>oum</c:v>
                </c:pt>
                <c:pt idx="5">
                  <c:v>qudt</c:v>
                </c:pt>
              </c:strCache>
            </c:strRef>
          </c:cat>
          <c:val>
            <c:numRef>
              <c:f>mappings!$J$6:$O$6</c:f>
              <c:numCache>
                <c:formatCode>General</c:formatCode>
                <c:ptCount val="6"/>
                <c:pt idx="0">
                  <c:v>2</c:v>
                </c:pt>
                <c:pt idx="1">
                  <c:v>1.3333333333333333</c:v>
                </c:pt>
                <c:pt idx="2">
                  <c:v>1.75</c:v>
                </c:pt>
                <c:pt idx="3">
                  <c:v>1.8</c:v>
                </c:pt>
                <c:pt idx="4">
                  <c:v>4.4000000000000004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E-4AFC-B992-41381E82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66912"/>
        <c:axId val="280516992"/>
      </c:barChart>
      <c:catAx>
        <c:axId val="1906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16992"/>
        <c:crosses val="autoZero"/>
        <c:auto val="1"/>
        <c:lblAlgn val="ctr"/>
        <c:lblOffset val="100"/>
        <c:noMultiLvlLbl val="0"/>
      </c:catAx>
      <c:valAx>
        <c:axId val="280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hypermodules!$D$67</c:f>
              <c:strCache>
                <c:ptCount val="1"/>
                <c:pt idx="0">
                  <c:v>DS Monomodules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hypermodules!$C$68:$C$85</c:f>
              <c:strCache>
                <c:ptCount val="18"/>
                <c:pt idx="0">
                  <c:v>structure</c:v>
                </c:pt>
                <c:pt idx="1">
                  <c:v>product</c:v>
                </c:pt>
                <c:pt idx="2">
                  <c:v>rule type</c:v>
                </c:pt>
                <c:pt idx="3">
                  <c:v>specific cost</c:v>
                </c:pt>
                <c:pt idx="4">
                  <c:v>measure</c:v>
                </c:pt>
                <c:pt idx="5">
                  <c:v>scale</c:v>
                </c:pt>
                <c:pt idx="6">
                  <c:v>prefix </c:v>
                </c:pt>
                <c:pt idx="7">
                  <c:v>organization</c:v>
                </c:pt>
                <c:pt idx="8">
                  <c:v>person</c:v>
                </c:pt>
                <c:pt idx="9">
                  <c:v>hydrophilicity</c:v>
                </c:pt>
                <c:pt idx="10">
                  <c:v>bulk modulus</c:v>
                </c:pt>
                <c:pt idx="11">
                  <c:v>hydrophobicity</c:v>
                </c:pt>
                <c:pt idx="12">
                  <c:v>molar mass</c:v>
                </c:pt>
                <c:pt idx="13">
                  <c:v>thickness</c:v>
                </c:pt>
                <c:pt idx="14">
                  <c:v>system of units</c:v>
                </c:pt>
                <c:pt idx="15">
                  <c:v>interval scale</c:v>
                </c:pt>
                <c:pt idx="16">
                  <c:v>ratio scale</c:v>
                </c:pt>
                <c:pt idx="17">
                  <c:v>prefixed unit</c:v>
                </c:pt>
              </c:strCache>
            </c:strRef>
          </c:cat>
          <c:val>
            <c:numRef>
              <c:f>hypermodules!$D$68:$D$85</c:f>
              <c:numCache>
                <c:formatCode>General</c:formatCode>
                <c:ptCount val="18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>
                  <c:v>28.571428571428569</c:v>
                </c:pt>
                <c:pt idx="4">
                  <c:v>28.571428571428569</c:v>
                </c:pt>
                <c:pt idx="5">
                  <c:v>28.571428571428569</c:v>
                </c:pt>
                <c:pt idx="6">
                  <c:v>42.857142857142854</c:v>
                </c:pt>
                <c:pt idx="7">
                  <c:v>42.857142857142854</c:v>
                </c:pt>
                <c:pt idx="8">
                  <c:v>28.571428571428569</c:v>
                </c:pt>
                <c:pt idx="9">
                  <c:v>28.571428571428569</c:v>
                </c:pt>
                <c:pt idx="10">
                  <c:v>28.571428571428569</c:v>
                </c:pt>
                <c:pt idx="11">
                  <c:v>28.571428571428569</c:v>
                </c:pt>
                <c:pt idx="12">
                  <c:v>28.571428571428569</c:v>
                </c:pt>
                <c:pt idx="13">
                  <c:v>28.571428571428569</c:v>
                </c:pt>
                <c:pt idx="14">
                  <c:v>28.571428571428569</c:v>
                </c:pt>
                <c:pt idx="15">
                  <c:v>28.571428571428569</c:v>
                </c:pt>
                <c:pt idx="16">
                  <c:v>28.571428571428569</c:v>
                </c:pt>
                <c:pt idx="17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C-43FC-9773-272E4F81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1935"/>
        <c:axId val="187222335"/>
      </c:barChart>
      <c:catAx>
        <c:axId val="1914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2335"/>
        <c:crosses val="autoZero"/>
        <c:auto val="1"/>
        <c:lblAlgn val="ctr"/>
        <c:lblOffset val="100"/>
        <c:noMultiLvlLbl val="0"/>
      </c:catAx>
      <c:valAx>
        <c:axId val="1872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</xdr:colOff>
      <xdr:row>4</xdr:row>
      <xdr:rowOff>92392</xdr:rowOff>
    </xdr:from>
    <xdr:to>
      <xdr:col>13</xdr:col>
      <xdr:colOff>714375</xdr:colOff>
      <xdr:row>19</xdr:row>
      <xdr:rowOff>115252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583E55-E70A-46A2-81D1-BFDC8BB1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10</xdr:row>
      <xdr:rowOff>19050</xdr:rowOff>
    </xdr:from>
    <xdr:to>
      <xdr:col>18</xdr:col>
      <xdr:colOff>474344</xdr:colOff>
      <xdr:row>21</xdr:row>
      <xdr:rowOff>115252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76AF1D-F179-4A5A-BAC8-5518D2C0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190076</xdr:colOff>
      <xdr:row>32</xdr:row>
      <xdr:rowOff>104351</xdr:rowOff>
    </xdr:from>
    <xdr:to>
      <xdr:col>7</xdr:col>
      <xdr:colOff>632671</xdr:colOff>
      <xdr:row>47</xdr:row>
      <xdr:rowOff>152611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F2E21E-4AF8-462D-A95C-477989433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393064</xdr:colOff>
      <xdr:row>21</xdr:row>
      <xdr:rowOff>159173</xdr:rowOff>
    </xdr:from>
    <xdr:to>
      <xdr:col>14</xdr:col>
      <xdr:colOff>202564</xdr:colOff>
      <xdr:row>37</xdr:row>
      <xdr:rowOff>25611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41604CE-4948-483D-BCAF-DFFFC69F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537482</xdr:colOff>
      <xdr:row>3</xdr:row>
      <xdr:rowOff>7075</xdr:rowOff>
    </xdr:from>
    <xdr:to>
      <xdr:col>37</xdr:col>
      <xdr:colOff>163285</xdr:colOff>
      <xdr:row>25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CDCBD0F-B04C-4151-838A-2567E99C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74295</xdr:colOff>
      <xdr:row>2</xdr:row>
      <xdr:rowOff>177165</xdr:rowOff>
    </xdr:from>
    <xdr:to>
      <xdr:col>28</xdr:col>
      <xdr:colOff>695325</xdr:colOff>
      <xdr:row>18</xdr:row>
      <xdr:rowOff>22860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5F2B85-BCE0-422E-9886-693CDCD4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22</xdr:row>
      <xdr:rowOff>174171</xdr:rowOff>
    </xdr:from>
    <xdr:to>
      <xdr:col>15</xdr:col>
      <xdr:colOff>664028</xdr:colOff>
      <xdr:row>49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B7E1DFC-9C62-4A32-9DD2-BAFA98FD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10</xdr:row>
      <xdr:rowOff>129540</xdr:rowOff>
    </xdr:from>
    <xdr:to>
      <xdr:col>13</xdr:col>
      <xdr:colOff>129540</xdr:colOff>
      <xdr:row>25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A63F40-0A40-4F06-9A9E-95B1A9EA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68</xdr:row>
      <xdr:rowOff>28574</xdr:rowOff>
    </xdr:from>
    <xdr:to>
      <xdr:col>16</xdr:col>
      <xdr:colOff>923925</xdr:colOff>
      <xdr:row>87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561A98-28AF-4538-A9A0-C734FF915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85</xdr:row>
      <xdr:rowOff>47625</xdr:rowOff>
    </xdr:from>
    <xdr:to>
      <xdr:col>10</xdr:col>
      <xdr:colOff>723900</xdr:colOff>
      <xdr:row>100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229C96E-C521-43BC-9D98-D560F9A79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101</xdr:row>
      <xdr:rowOff>104775</xdr:rowOff>
    </xdr:from>
    <xdr:to>
      <xdr:col>11</xdr:col>
      <xdr:colOff>390525</xdr:colOff>
      <xdr:row>116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2B63B5-A9C7-44D0-A506-F93E85FC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60960</xdr:rowOff>
    </xdr:from>
    <xdr:to>
      <xdr:col>12</xdr:col>
      <xdr:colOff>655320</xdr:colOff>
      <xdr:row>17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174A81-82DC-4628-9802-D9A246F9D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ov.linkeddata.e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ontology-of-units-of-measure.org/resource/om-2/" TargetMode="External"/><Relationship Id="rId1" Type="http://schemas.openxmlformats.org/officeDocument/2006/relationships/hyperlink" Target="http://purl.oclc.org/NET/ssnx/qu/qu" TargetMode="External"/><Relationship Id="rId6" Type="http://schemas.openxmlformats.org/officeDocument/2006/relationships/hyperlink" Target="http://qudt.org/schema/qudt" TargetMode="External"/><Relationship Id="rId5" Type="http://schemas.openxmlformats.org/officeDocument/2006/relationships/hyperlink" Target="https://ontohub.org/product-ontology/PRONTOv2.owl" TargetMode="External"/><Relationship Id="rId4" Type="http://schemas.openxmlformats.org/officeDocument/2006/relationships/hyperlink" Target="http://aber-owl.net/ontology/ERO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48B5-6D48-41C2-9664-4E27A85B4532}">
  <dimension ref="A2:P57"/>
  <sheetViews>
    <sheetView topLeftCell="A58" workbookViewId="0"/>
  </sheetViews>
  <sheetFormatPr baseColWidth="10" defaultRowHeight="14.4" x14ac:dyDescent="0.3"/>
  <cols>
    <col min="2" max="2" width="16.5546875" customWidth="1"/>
  </cols>
  <sheetData>
    <row r="2" spans="1:16" x14ac:dyDescent="0.3">
      <c r="F2" t="s">
        <v>0</v>
      </c>
      <c r="H2" s="17" t="s">
        <v>6</v>
      </c>
    </row>
    <row r="4" spans="1:16" ht="18" x14ac:dyDescent="0.35">
      <c r="B4" s="12" t="s">
        <v>1</v>
      </c>
      <c r="C4" s="11" t="s">
        <v>2</v>
      </c>
      <c r="D4" s="2"/>
      <c r="E4" s="2"/>
      <c r="F4" s="2">
        <v>3</v>
      </c>
      <c r="G4" s="3"/>
      <c r="H4" t="s">
        <v>10</v>
      </c>
      <c r="L4" t="s">
        <v>11</v>
      </c>
    </row>
    <row r="5" spans="1:16" x14ac:dyDescent="0.3">
      <c r="B5" s="4"/>
      <c r="C5" s="5"/>
      <c r="D5" s="5"/>
      <c r="E5" s="5"/>
      <c r="F5" s="5"/>
      <c r="G5" s="6"/>
    </row>
    <row r="6" spans="1:16" x14ac:dyDescent="0.3">
      <c r="A6">
        <v>1</v>
      </c>
      <c r="B6" s="7" t="s">
        <v>3</v>
      </c>
      <c r="C6" s="8">
        <v>2016</v>
      </c>
      <c r="D6" s="8" t="s">
        <v>4</v>
      </c>
      <c r="E6" s="8"/>
      <c r="F6" s="8"/>
      <c r="G6" s="9" t="s">
        <v>5</v>
      </c>
    </row>
    <row r="7" spans="1:16" x14ac:dyDescent="0.3">
      <c r="B7" s="1"/>
      <c r="C7" s="2"/>
      <c r="D7" s="2"/>
      <c r="E7" s="2"/>
      <c r="F7" s="2"/>
      <c r="G7" s="3"/>
    </row>
    <row r="8" spans="1:16" x14ac:dyDescent="0.3">
      <c r="A8">
        <v>2</v>
      </c>
      <c r="B8" s="7" t="s">
        <v>22</v>
      </c>
      <c r="C8" s="8">
        <v>2012</v>
      </c>
      <c r="D8" s="8" t="s">
        <v>4</v>
      </c>
      <c r="E8" s="8"/>
      <c r="F8" s="8"/>
      <c r="G8" s="9"/>
    </row>
    <row r="9" spans="1:16" x14ac:dyDescent="0.3">
      <c r="B9" s="1"/>
      <c r="C9" s="2"/>
      <c r="D9" s="2"/>
      <c r="E9" s="2"/>
      <c r="F9" s="2"/>
      <c r="G9" s="3"/>
    </row>
    <row r="10" spans="1:16" x14ac:dyDescent="0.3">
      <c r="A10">
        <v>3</v>
      </c>
      <c r="B10" s="7" t="s">
        <v>23</v>
      </c>
      <c r="C10" s="8">
        <v>2011</v>
      </c>
      <c r="D10" s="8" t="s">
        <v>24</v>
      </c>
      <c r="E10" s="8"/>
      <c r="F10" s="8"/>
      <c r="G10" s="9"/>
    </row>
    <row r="12" spans="1:16" ht="18" x14ac:dyDescent="0.35">
      <c r="B12" s="10" t="s">
        <v>7</v>
      </c>
      <c r="C12" s="10" t="s">
        <v>8</v>
      </c>
      <c r="E12" t="s">
        <v>9</v>
      </c>
      <c r="F12">
        <v>17</v>
      </c>
    </row>
    <row r="13" spans="1:16" x14ac:dyDescent="0.3"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</row>
    <row r="14" spans="1:16" x14ac:dyDescent="0.3">
      <c r="A14">
        <v>4</v>
      </c>
      <c r="B14" s="7" t="s">
        <v>13</v>
      </c>
      <c r="C14" s="8">
        <v>2013</v>
      </c>
      <c r="D14" s="8"/>
      <c r="E14" s="8" t="s">
        <v>14</v>
      </c>
      <c r="F14" s="8"/>
      <c r="G14" s="8"/>
      <c r="H14" s="8"/>
      <c r="I14" s="8" t="s">
        <v>15</v>
      </c>
      <c r="J14" s="8"/>
      <c r="K14" s="8"/>
      <c r="L14" s="8"/>
      <c r="M14" s="8"/>
      <c r="N14" s="8"/>
      <c r="O14" s="8"/>
      <c r="P14" s="9"/>
    </row>
    <row r="15" spans="1:16" x14ac:dyDescent="0.3">
      <c r="B15" s="1"/>
      <c r="C15" s="2"/>
      <c r="D15" s="2"/>
      <c r="E15" s="2"/>
      <c r="F15" s="2"/>
      <c r="G15" s="2"/>
      <c r="H15" s="3"/>
    </row>
    <row r="16" spans="1:16" x14ac:dyDescent="0.3">
      <c r="A16">
        <v>5</v>
      </c>
      <c r="B16" s="7" t="s">
        <v>12</v>
      </c>
      <c r="C16" s="8">
        <v>2014</v>
      </c>
      <c r="D16" s="8"/>
      <c r="E16" s="8" t="s">
        <v>16</v>
      </c>
      <c r="F16" s="8"/>
      <c r="G16" s="8"/>
      <c r="H16" s="9"/>
      <c r="I16" t="s">
        <v>17</v>
      </c>
    </row>
    <row r="18" spans="1:9" ht="18" x14ac:dyDescent="0.35">
      <c r="B18" s="10" t="s">
        <v>7</v>
      </c>
      <c r="C18" s="10" t="s">
        <v>18</v>
      </c>
      <c r="E18" t="s">
        <v>9</v>
      </c>
      <c r="F18">
        <v>14</v>
      </c>
    </row>
    <row r="21" spans="1:9" x14ac:dyDescent="0.3">
      <c r="B21" t="s">
        <v>7</v>
      </c>
      <c r="C21" t="s">
        <v>19</v>
      </c>
      <c r="E21" t="s">
        <v>21</v>
      </c>
      <c r="F21">
        <v>1</v>
      </c>
    </row>
    <row r="23" spans="1:9" x14ac:dyDescent="0.3">
      <c r="A23">
        <v>6</v>
      </c>
      <c r="B23" s="1" t="s">
        <v>20</v>
      </c>
      <c r="C23" s="2">
        <v>2018</v>
      </c>
      <c r="D23" s="2"/>
      <c r="E23" s="2"/>
      <c r="F23" s="2"/>
      <c r="G23" s="2"/>
      <c r="H23" s="2"/>
      <c r="I23" s="3"/>
    </row>
    <row r="24" spans="1:9" x14ac:dyDescent="0.3">
      <c r="B24" s="7"/>
      <c r="C24" s="8"/>
      <c r="D24" s="8"/>
      <c r="E24" s="8"/>
      <c r="F24" s="8"/>
      <c r="G24" s="8" t="s">
        <v>25</v>
      </c>
      <c r="H24" s="8"/>
      <c r="I24" s="9"/>
    </row>
    <row r="26" spans="1:9" x14ac:dyDescent="0.3">
      <c r="B26" s="1" t="s">
        <v>7</v>
      </c>
      <c r="C26" s="2" t="s">
        <v>26</v>
      </c>
      <c r="D26" s="2"/>
      <c r="E26" s="2"/>
      <c r="F26" s="3">
        <v>20</v>
      </c>
    </row>
    <row r="27" spans="1:9" x14ac:dyDescent="0.3">
      <c r="B27" s="4"/>
      <c r="C27" s="5"/>
      <c r="D27" s="5"/>
      <c r="E27" s="5"/>
      <c r="F27" s="6"/>
    </row>
    <row r="28" spans="1:9" x14ac:dyDescent="0.3">
      <c r="A28">
        <v>7</v>
      </c>
      <c r="B28" s="1" t="s">
        <v>27</v>
      </c>
      <c r="C28" s="2">
        <v>2016</v>
      </c>
      <c r="D28" s="2"/>
      <c r="E28" s="2"/>
      <c r="F28" s="2"/>
      <c r="G28" s="2"/>
      <c r="H28" s="2"/>
      <c r="I28" s="3"/>
    </row>
    <row r="29" spans="1:9" x14ac:dyDescent="0.3">
      <c r="B29" s="7"/>
      <c r="C29" s="8"/>
      <c r="D29" s="8"/>
      <c r="E29" s="8" t="s">
        <v>28</v>
      </c>
      <c r="F29" s="8"/>
      <c r="G29" s="8"/>
      <c r="H29" s="8"/>
      <c r="I29" s="9"/>
    </row>
    <row r="30" spans="1:9" x14ac:dyDescent="0.3">
      <c r="B30" s="1"/>
      <c r="C30" s="2"/>
      <c r="D30" s="2"/>
      <c r="E30" s="2"/>
      <c r="F30" s="2"/>
      <c r="G30" s="2"/>
      <c r="H30" s="2"/>
      <c r="I30" s="3"/>
    </row>
    <row r="31" spans="1:9" x14ac:dyDescent="0.3">
      <c r="A31">
        <v>8</v>
      </c>
      <c r="B31" s="4" t="s">
        <v>29</v>
      </c>
      <c r="C31" s="5">
        <v>2020</v>
      </c>
      <c r="D31" s="5"/>
      <c r="E31" s="5" t="s">
        <v>30</v>
      </c>
      <c r="F31" s="5"/>
      <c r="G31" s="5"/>
      <c r="H31" s="5"/>
      <c r="I31" s="6"/>
    </row>
    <row r="32" spans="1:9" x14ac:dyDescent="0.3">
      <c r="B32" s="7"/>
      <c r="C32" s="8"/>
      <c r="D32" s="8"/>
      <c r="E32" s="8"/>
      <c r="F32" s="8"/>
      <c r="G32" s="8"/>
      <c r="H32" s="8"/>
      <c r="I32" s="9"/>
    </row>
    <row r="34" spans="1:10" x14ac:dyDescent="0.3">
      <c r="B34" s="13"/>
      <c r="G34" t="s">
        <v>31</v>
      </c>
      <c r="I34" t="s">
        <v>32</v>
      </c>
    </row>
    <row r="36" spans="1:10" x14ac:dyDescent="0.3">
      <c r="B36" t="s">
        <v>33</v>
      </c>
      <c r="C36" t="s">
        <v>34</v>
      </c>
    </row>
    <row r="38" spans="1:10" x14ac:dyDescent="0.3">
      <c r="A38">
        <v>9</v>
      </c>
      <c r="B38" s="14" t="s">
        <v>35</v>
      </c>
      <c r="C38" s="18" t="s">
        <v>36</v>
      </c>
      <c r="D38" s="15"/>
      <c r="E38" s="15"/>
      <c r="F38" s="15"/>
      <c r="G38" s="15"/>
      <c r="H38" s="16">
        <v>2016</v>
      </c>
    </row>
    <row r="40" spans="1:10" x14ac:dyDescent="0.3">
      <c r="A40">
        <v>10</v>
      </c>
      <c r="B40" s="14" t="s">
        <v>37</v>
      </c>
      <c r="C40" s="15">
        <v>2020</v>
      </c>
      <c r="D40" s="15"/>
      <c r="E40" s="15"/>
      <c r="F40" s="15"/>
      <c r="G40" s="15"/>
      <c r="H40" s="15" t="s">
        <v>38</v>
      </c>
      <c r="I40" s="15"/>
      <c r="J40" s="16"/>
    </row>
    <row r="41" spans="1:10" x14ac:dyDescent="0.3">
      <c r="B41" s="1"/>
      <c r="C41" s="2"/>
      <c r="D41" s="2"/>
      <c r="E41" s="2"/>
      <c r="F41" s="2"/>
      <c r="G41" s="2"/>
      <c r="H41" s="2"/>
      <c r="I41" s="2"/>
      <c r="J41" s="3"/>
    </row>
    <row r="42" spans="1:10" x14ac:dyDescent="0.3">
      <c r="A42">
        <v>11</v>
      </c>
      <c r="B42" s="4" t="s">
        <v>39</v>
      </c>
      <c r="C42" s="5">
        <v>2020</v>
      </c>
      <c r="D42" s="5"/>
      <c r="E42" s="5"/>
      <c r="F42" s="5"/>
      <c r="G42" s="5"/>
      <c r="H42" s="5" t="s">
        <v>40</v>
      </c>
      <c r="I42" s="5"/>
      <c r="J42" s="6"/>
    </row>
    <row r="43" spans="1:10" x14ac:dyDescent="0.3">
      <c r="B43" s="7"/>
      <c r="C43" s="8"/>
      <c r="D43" s="8"/>
      <c r="E43" s="8"/>
      <c r="F43" s="8"/>
      <c r="G43" s="8"/>
      <c r="H43" s="8"/>
      <c r="I43" s="8"/>
      <c r="J43" s="9"/>
    </row>
    <row r="45" spans="1:10" x14ac:dyDescent="0.3">
      <c r="A45">
        <v>12</v>
      </c>
      <c r="B45" s="14" t="s">
        <v>41</v>
      </c>
      <c r="C45" s="15">
        <v>2017</v>
      </c>
      <c r="D45" s="15"/>
      <c r="E45" s="15"/>
      <c r="F45" s="15"/>
      <c r="G45" s="15"/>
      <c r="H45" s="15" t="s">
        <v>42</v>
      </c>
      <c r="I45" s="15"/>
      <c r="J45" s="16"/>
    </row>
    <row r="47" spans="1:10" x14ac:dyDescent="0.3">
      <c r="A47">
        <v>13</v>
      </c>
      <c r="B47" t="s">
        <v>43</v>
      </c>
      <c r="C47">
        <v>2016</v>
      </c>
      <c r="H47" s="17" t="s">
        <v>44</v>
      </c>
    </row>
    <row r="49" spans="1:9" x14ac:dyDescent="0.3">
      <c r="A49">
        <v>14</v>
      </c>
      <c r="B49" t="s">
        <v>8</v>
      </c>
      <c r="C49">
        <v>2016</v>
      </c>
      <c r="H49" t="s">
        <v>45</v>
      </c>
    </row>
    <row r="51" spans="1:9" x14ac:dyDescent="0.3">
      <c r="A51">
        <v>15</v>
      </c>
      <c r="B51" t="s">
        <v>46</v>
      </c>
      <c r="C51">
        <v>2016</v>
      </c>
      <c r="E51" t="s">
        <v>55</v>
      </c>
      <c r="H51" t="s">
        <v>47</v>
      </c>
    </row>
    <row r="53" spans="1:9" x14ac:dyDescent="0.3">
      <c r="A53">
        <v>16</v>
      </c>
      <c r="B53" t="s">
        <v>48</v>
      </c>
      <c r="C53">
        <v>2011</v>
      </c>
      <c r="E53" t="s">
        <v>54</v>
      </c>
      <c r="H53" s="17" t="s">
        <v>56</v>
      </c>
    </row>
    <row r="55" spans="1:9" x14ac:dyDescent="0.3">
      <c r="A55">
        <v>17</v>
      </c>
      <c r="B55" t="s">
        <v>49</v>
      </c>
      <c r="C55">
        <v>2020</v>
      </c>
      <c r="D55" t="s">
        <v>53</v>
      </c>
      <c r="I55" s="17" t="s">
        <v>50</v>
      </c>
    </row>
    <row r="57" spans="1:9" x14ac:dyDescent="0.3">
      <c r="A57">
        <v>18</v>
      </c>
      <c r="B57" t="s">
        <v>51</v>
      </c>
      <c r="C57">
        <v>2020</v>
      </c>
      <c r="E57" t="s">
        <v>52</v>
      </c>
      <c r="H57" s="17" t="s">
        <v>57</v>
      </c>
    </row>
  </sheetData>
  <hyperlinks>
    <hyperlink ref="H53" r:id="rId1" xr:uid="{DF10892D-6FBF-4243-A094-F04E63F84084}"/>
    <hyperlink ref="H57" r:id="rId2" xr:uid="{CAED56A5-D2A5-4DA6-B659-21FA932CA430}"/>
    <hyperlink ref="H2" r:id="rId3" xr:uid="{2BC57CB7-7A18-45D7-9CE5-E4B9ED3FB63B}"/>
    <hyperlink ref="C38" r:id="rId4" location="/Overview" xr:uid="{C40AC189-F0D6-4D77-BB4B-06C9AFD42DE1}"/>
    <hyperlink ref="H47" r:id="rId5" xr:uid="{9BDF0DAC-365B-4AFD-9826-30DAC2581F60}"/>
    <hyperlink ref="I55" r:id="rId6" xr:uid="{75C070F4-8FF9-41B2-8147-29564EE8CAB6}"/>
  </hyperlinks>
  <pageMargins left="0.7" right="0.7" top="0.78740157499999996" bottom="0.78740157499999996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80EA-8CDD-47D4-B1F2-70F55685ECAD}">
  <dimension ref="C2:M23"/>
  <sheetViews>
    <sheetView workbookViewId="0">
      <selection activeCell="F4" sqref="F4"/>
    </sheetView>
  </sheetViews>
  <sheetFormatPr baseColWidth="10" defaultRowHeight="14.4" x14ac:dyDescent="0.3"/>
  <sheetData>
    <row r="2" spans="3:13" x14ac:dyDescent="0.3">
      <c r="C2" s="19" t="s">
        <v>23</v>
      </c>
      <c r="D2" s="19" t="s">
        <v>110</v>
      </c>
      <c r="F2" t="s">
        <v>198</v>
      </c>
      <c r="G2" t="s">
        <v>203</v>
      </c>
    </row>
    <row r="3" spans="3:13" x14ac:dyDescent="0.3">
      <c r="C3" t="s">
        <v>2</v>
      </c>
      <c r="D3" t="s">
        <v>2</v>
      </c>
      <c r="E3">
        <v>1</v>
      </c>
      <c r="F3">
        <v>3</v>
      </c>
      <c r="G3">
        <v>2</v>
      </c>
    </row>
    <row r="4" spans="3:13" x14ac:dyDescent="0.3">
      <c r="G4">
        <f>SUM(G3)</f>
        <v>2</v>
      </c>
    </row>
    <row r="6" spans="3:13" x14ac:dyDescent="0.3">
      <c r="C6" s="19" t="s">
        <v>23</v>
      </c>
      <c r="D6" s="19" t="s">
        <v>111</v>
      </c>
      <c r="F6" t="s">
        <v>198</v>
      </c>
      <c r="G6" t="s">
        <v>196</v>
      </c>
    </row>
    <row r="7" spans="3:13" x14ac:dyDescent="0.3">
      <c r="C7" s="26" t="s">
        <v>2</v>
      </c>
      <c r="D7" s="26" t="s">
        <v>2</v>
      </c>
      <c r="E7">
        <v>1</v>
      </c>
      <c r="F7">
        <v>0</v>
      </c>
      <c r="G7">
        <v>1</v>
      </c>
    </row>
    <row r="8" spans="3:13" x14ac:dyDescent="0.3">
      <c r="C8" s="19"/>
      <c r="D8" s="19"/>
      <c r="G8">
        <f>SUM(G7)</f>
        <v>1</v>
      </c>
    </row>
    <row r="10" spans="3:13" x14ac:dyDescent="0.3">
      <c r="C10" s="19" t="s">
        <v>23</v>
      </c>
      <c r="D10" s="19" t="s">
        <v>49</v>
      </c>
      <c r="F10" t="s">
        <v>198</v>
      </c>
      <c r="G10" t="s">
        <v>195</v>
      </c>
    </row>
    <row r="11" spans="3:13" x14ac:dyDescent="0.3">
      <c r="C11" s="26" t="s">
        <v>174</v>
      </c>
      <c r="D11" s="26" t="s">
        <v>174</v>
      </c>
      <c r="E11">
        <v>1</v>
      </c>
      <c r="F11">
        <v>0</v>
      </c>
      <c r="G11">
        <v>0</v>
      </c>
    </row>
    <row r="12" spans="3:13" x14ac:dyDescent="0.3">
      <c r="J12" t="s">
        <v>207</v>
      </c>
      <c r="K12" t="s">
        <v>2</v>
      </c>
    </row>
    <row r="13" spans="3:13" x14ac:dyDescent="0.3">
      <c r="J13" t="s">
        <v>111</v>
      </c>
      <c r="K13" t="s">
        <v>110</v>
      </c>
      <c r="L13" t="s">
        <v>191</v>
      </c>
      <c r="M13" t="s">
        <v>208</v>
      </c>
    </row>
    <row r="14" spans="3:13" x14ac:dyDescent="0.3">
      <c r="I14" t="s">
        <v>23</v>
      </c>
      <c r="J14">
        <f>G7</f>
        <v>1</v>
      </c>
      <c r="K14">
        <f>G3</f>
        <v>2</v>
      </c>
      <c r="M14">
        <f>(J14+K14)/2</f>
        <v>1.5</v>
      </c>
    </row>
    <row r="16" spans="3:13" x14ac:dyDescent="0.3">
      <c r="M16">
        <f>M14</f>
        <v>1.5</v>
      </c>
    </row>
    <row r="19" spans="9:13" x14ac:dyDescent="0.3">
      <c r="J19" t="s">
        <v>207</v>
      </c>
      <c r="K19" t="s">
        <v>174</v>
      </c>
    </row>
    <row r="20" spans="9:13" x14ac:dyDescent="0.3">
      <c r="J20" t="s">
        <v>152</v>
      </c>
      <c r="K20" t="s">
        <v>49</v>
      </c>
      <c r="L20" t="s">
        <v>191</v>
      </c>
      <c r="M20" t="s">
        <v>208</v>
      </c>
    </row>
    <row r="21" spans="9:13" x14ac:dyDescent="0.3">
      <c r="I21" t="s">
        <v>23</v>
      </c>
      <c r="J21">
        <v>0</v>
      </c>
      <c r="K21">
        <v>0</v>
      </c>
      <c r="M21">
        <f>(J21+K21)/2</f>
        <v>0</v>
      </c>
    </row>
    <row r="23" spans="9:13" x14ac:dyDescent="0.3">
      <c r="L23" t="s">
        <v>215</v>
      </c>
      <c r="M23">
        <f>(M21+M16)/2</f>
        <v>0.75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2176-D1F8-4E5F-95D5-170F7ED75D6B}">
  <dimension ref="B2:L29"/>
  <sheetViews>
    <sheetView zoomScale="90" zoomScaleNormal="90" workbookViewId="0">
      <selection activeCell="F8" sqref="F8"/>
    </sheetView>
  </sheetViews>
  <sheetFormatPr baseColWidth="10" defaultRowHeight="14.4" x14ac:dyDescent="0.3"/>
  <cols>
    <col min="2" max="2" width="19.44140625" customWidth="1"/>
    <col min="3" max="3" width="21.77734375" customWidth="1"/>
  </cols>
  <sheetData>
    <row r="2" spans="2:12" x14ac:dyDescent="0.3">
      <c r="B2" s="19" t="s">
        <v>111</v>
      </c>
      <c r="C2" s="19" t="s">
        <v>112</v>
      </c>
      <c r="E2" t="s">
        <v>196</v>
      </c>
      <c r="F2" t="s">
        <v>194</v>
      </c>
    </row>
    <row r="3" spans="2:12" x14ac:dyDescent="0.3">
      <c r="B3" t="s">
        <v>128</v>
      </c>
      <c r="C3" t="s">
        <v>128</v>
      </c>
      <c r="D3">
        <v>1</v>
      </c>
      <c r="E3">
        <v>0</v>
      </c>
      <c r="F3">
        <v>0</v>
      </c>
    </row>
    <row r="4" spans="2:12" x14ac:dyDescent="0.3">
      <c r="B4" t="s">
        <v>156</v>
      </c>
      <c r="C4" t="s">
        <v>156</v>
      </c>
      <c r="D4">
        <v>1</v>
      </c>
      <c r="E4">
        <v>0</v>
      </c>
      <c r="F4">
        <v>0</v>
      </c>
    </row>
    <row r="5" spans="2:12" x14ac:dyDescent="0.3">
      <c r="D5" t="s">
        <v>201</v>
      </c>
      <c r="E5">
        <f>SUM(E3:E4)</f>
        <v>0</v>
      </c>
      <c r="F5">
        <f>SUM(F3:F4)</f>
        <v>0</v>
      </c>
    </row>
    <row r="6" spans="2:12" x14ac:dyDescent="0.3">
      <c r="I6" t="s">
        <v>207</v>
      </c>
      <c r="J6" t="s">
        <v>2</v>
      </c>
    </row>
    <row r="7" spans="2:12" x14ac:dyDescent="0.3">
      <c r="B7" s="19" t="s">
        <v>111</v>
      </c>
      <c r="C7" s="19" t="s">
        <v>49</v>
      </c>
      <c r="E7" t="s">
        <v>196</v>
      </c>
      <c r="F7" t="s">
        <v>195</v>
      </c>
      <c r="I7" t="s">
        <v>110</v>
      </c>
      <c r="J7" t="s">
        <v>23</v>
      </c>
      <c r="K7" t="s">
        <v>191</v>
      </c>
      <c r="L7" t="s">
        <v>208</v>
      </c>
    </row>
    <row r="8" spans="2:12" x14ac:dyDescent="0.3">
      <c r="B8" t="s">
        <v>169</v>
      </c>
      <c r="C8" t="s">
        <v>170</v>
      </c>
      <c r="D8">
        <v>1</v>
      </c>
      <c r="E8">
        <v>7</v>
      </c>
      <c r="F8">
        <v>24</v>
      </c>
      <c r="H8" t="s">
        <v>111</v>
      </c>
      <c r="I8">
        <f>'pronto-all'!E7</f>
        <v>2</v>
      </c>
      <c r="J8">
        <f>'gr-all'!F7</f>
        <v>0</v>
      </c>
      <c r="L8">
        <f>(I8+J8)/2</f>
        <v>1</v>
      </c>
    </row>
    <row r="9" spans="2:12" x14ac:dyDescent="0.3">
      <c r="B9" t="s">
        <v>183</v>
      </c>
      <c r="C9" t="s">
        <v>177</v>
      </c>
      <c r="D9">
        <v>1</v>
      </c>
      <c r="E9">
        <v>0</v>
      </c>
      <c r="F9">
        <v>0</v>
      </c>
    </row>
    <row r="10" spans="2:12" x14ac:dyDescent="0.3">
      <c r="B10" t="s">
        <v>184</v>
      </c>
      <c r="C10" t="s">
        <v>185</v>
      </c>
      <c r="D10">
        <v>1</v>
      </c>
      <c r="E10">
        <v>0</v>
      </c>
      <c r="F10">
        <v>0</v>
      </c>
      <c r="L10">
        <f>L8</f>
        <v>1</v>
      </c>
    </row>
    <row r="11" spans="2:12" x14ac:dyDescent="0.3">
      <c r="E11">
        <f>SUM(E8:E10)</f>
        <v>7</v>
      </c>
      <c r="F11">
        <f>SUM(F8:F10)</f>
        <v>24</v>
      </c>
    </row>
    <row r="12" spans="2:12" x14ac:dyDescent="0.3">
      <c r="I12" t="s">
        <v>207</v>
      </c>
      <c r="J12" t="s">
        <v>153</v>
      </c>
    </row>
    <row r="13" spans="2:12" x14ac:dyDescent="0.3">
      <c r="I13" t="s">
        <v>49</v>
      </c>
      <c r="J13" t="s">
        <v>51</v>
      </c>
      <c r="K13" t="s">
        <v>191</v>
      </c>
      <c r="L13" t="s">
        <v>208</v>
      </c>
    </row>
    <row r="14" spans="2:12" x14ac:dyDescent="0.3">
      <c r="H14" t="s">
        <v>111</v>
      </c>
      <c r="I14">
        <f>F8</f>
        <v>24</v>
      </c>
      <c r="J14">
        <f>'oum-all'!G28</f>
        <v>227</v>
      </c>
      <c r="L14">
        <f>(I14+J14)/2</f>
        <v>125.5</v>
      </c>
    </row>
    <row r="18" spans="8:12" x14ac:dyDescent="0.3">
      <c r="I18" t="s">
        <v>207</v>
      </c>
      <c r="J18" t="s">
        <v>182</v>
      </c>
    </row>
    <row r="19" spans="8:12" x14ac:dyDescent="0.3">
      <c r="I19" t="s">
        <v>49</v>
      </c>
      <c r="J19" t="s">
        <v>112</v>
      </c>
      <c r="K19" t="s">
        <v>191</v>
      </c>
      <c r="L19" t="s">
        <v>208</v>
      </c>
    </row>
    <row r="20" spans="8:12" x14ac:dyDescent="0.3">
      <c r="H20" t="s">
        <v>111</v>
      </c>
      <c r="I20">
        <f>F13</f>
        <v>0</v>
      </c>
      <c r="J20">
        <f>F9</f>
        <v>0</v>
      </c>
      <c r="L20">
        <f>(I20+J20)/2</f>
        <v>0</v>
      </c>
    </row>
    <row r="24" spans="8:12" x14ac:dyDescent="0.3">
      <c r="I24" t="s">
        <v>207</v>
      </c>
      <c r="J24" t="s">
        <v>128</v>
      </c>
    </row>
    <row r="25" spans="8:12" x14ac:dyDescent="0.3">
      <c r="I25" t="s">
        <v>112</v>
      </c>
      <c r="J25" t="s">
        <v>51</v>
      </c>
      <c r="K25" t="s">
        <v>191</v>
      </c>
      <c r="L25" t="s">
        <v>208</v>
      </c>
    </row>
    <row r="26" spans="8:12" x14ac:dyDescent="0.3">
      <c r="H26" t="s">
        <v>111</v>
      </c>
      <c r="I26">
        <f>F19</f>
        <v>0</v>
      </c>
      <c r="J26">
        <f>'oum-all'!G31</f>
        <v>2</v>
      </c>
      <c r="L26">
        <f>(I26+J26)/2</f>
        <v>1</v>
      </c>
    </row>
    <row r="29" spans="8:12" x14ac:dyDescent="0.3">
      <c r="K29" t="s">
        <v>216</v>
      </c>
      <c r="L29">
        <f>(L8+L14+L20+L26)/4</f>
        <v>31.875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263A-7E58-4930-988C-D7C4BDFAA00F}">
  <dimension ref="A2:W52"/>
  <sheetViews>
    <sheetView topLeftCell="C24" workbookViewId="0">
      <selection activeCell="C41" sqref="C41"/>
    </sheetView>
  </sheetViews>
  <sheetFormatPr baseColWidth="10" defaultRowHeight="14.4" x14ac:dyDescent="0.3"/>
  <cols>
    <col min="3" max="3" width="15.88671875" customWidth="1"/>
    <col min="4" max="4" width="22.88671875" customWidth="1"/>
  </cols>
  <sheetData>
    <row r="2" spans="1:23" x14ac:dyDescent="0.3">
      <c r="B2" t="s">
        <v>186</v>
      </c>
      <c r="E2" t="s">
        <v>187</v>
      </c>
    </row>
    <row r="3" spans="1:23" x14ac:dyDescent="0.3">
      <c r="C3" s="19" t="s">
        <v>51</v>
      </c>
      <c r="D3" s="19" t="s">
        <v>23</v>
      </c>
      <c r="G3" t="s">
        <v>197</v>
      </c>
      <c r="H3" t="s">
        <v>198</v>
      </c>
      <c r="J3" s="21"/>
      <c r="L3" t="s">
        <v>207</v>
      </c>
      <c r="M3" t="s">
        <v>153</v>
      </c>
      <c r="P3" s="21"/>
      <c r="Q3" s="21"/>
      <c r="R3" s="21"/>
      <c r="S3" s="21"/>
      <c r="T3" s="21"/>
      <c r="U3" s="21"/>
      <c r="V3" s="21"/>
      <c r="W3" s="21"/>
    </row>
    <row r="4" spans="1:23" s="23" customFormat="1" x14ac:dyDescent="0.3">
      <c r="B4" s="23">
        <v>0</v>
      </c>
      <c r="C4" s="23" t="s">
        <v>119</v>
      </c>
      <c r="D4" s="23" t="s">
        <v>120</v>
      </c>
      <c r="E4" s="23">
        <v>1</v>
      </c>
      <c r="G4" s="23">
        <v>0</v>
      </c>
      <c r="H4" s="23">
        <v>3</v>
      </c>
      <c r="J4" s="21"/>
      <c r="K4"/>
      <c r="L4" t="s">
        <v>111</v>
      </c>
      <c r="M4" t="s">
        <v>49</v>
      </c>
      <c r="N4" t="s">
        <v>191</v>
      </c>
      <c r="O4" t="s">
        <v>208</v>
      </c>
      <c r="P4" s="21"/>
      <c r="Q4" s="21"/>
      <c r="R4" s="21"/>
      <c r="S4" s="21"/>
      <c r="T4" s="21"/>
      <c r="U4" s="21"/>
      <c r="V4" s="21"/>
      <c r="W4" s="21"/>
    </row>
    <row r="5" spans="1:23" s="23" customFormat="1" x14ac:dyDescent="0.3">
      <c r="B5" s="23">
        <v>0</v>
      </c>
      <c r="C5" s="23" t="s">
        <v>121</v>
      </c>
      <c r="D5" s="23" t="s">
        <v>121</v>
      </c>
      <c r="E5" s="23">
        <v>1</v>
      </c>
      <c r="G5" s="23">
        <v>0</v>
      </c>
      <c r="H5" s="23">
        <v>0</v>
      </c>
      <c r="J5" s="21"/>
      <c r="K5" t="s">
        <v>51</v>
      </c>
      <c r="L5">
        <f>H28</f>
        <v>7</v>
      </c>
      <c r="M5">
        <f>H42</f>
        <v>24</v>
      </c>
      <c r="N5"/>
      <c r="O5">
        <f>(L5+M5)/2</f>
        <v>15.5</v>
      </c>
      <c r="P5" s="21"/>
      <c r="Q5" s="21"/>
      <c r="R5" s="21"/>
      <c r="S5" s="21"/>
      <c r="T5" s="21"/>
      <c r="U5" s="21"/>
      <c r="V5" s="21"/>
      <c r="W5" s="21"/>
    </row>
    <row r="6" spans="1:23" s="23" customFormat="1" x14ac:dyDescent="0.3">
      <c r="B6" s="23">
        <v>0</v>
      </c>
      <c r="C6" s="23" t="s">
        <v>122</v>
      </c>
      <c r="D6" s="23" t="s">
        <v>122</v>
      </c>
      <c r="E6" s="23">
        <v>1</v>
      </c>
      <c r="G6" s="23">
        <v>0</v>
      </c>
      <c r="H6" s="23">
        <v>0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3">
      <c r="A7" t="s">
        <v>189</v>
      </c>
      <c r="B7">
        <f>SUM(B4:B6)</f>
        <v>0</v>
      </c>
      <c r="E7">
        <f>SUM(E4:E6)</f>
        <v>3</v>
      </c>
      <c r="F7" t="s">
        <v>108</v>
      </c>
      <c r="H7">
        <f>SUM(H4:H6)</f>
        <v>3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3">
      <c r="J8" s="21"/>
      <c r="L8" t="s">
        <v>207</v>
      </c>
      <c r="M8" t="s">
        <v>128</v>
      </c>
      <c r="P8" s="21"/>
      <c r="Q8" s="21"/>
      <c r="R8" s="21"/>
      <c r="S8" s="21"/>
      <c r="T8" s="21"/>
      <c r="U8" s="21"/>
      <c r="V8" s="21"/>
      <c r="W8" s="21"/>
    </row>
    <row r="9" spans="1:23" x14ac:dyDescent="0.3">
      <c r="J9" s="21"/>
      <c r="L9" t="s">
        <v>111</v>
      </c>
      <c r="M9" t="s">
        <v>112</v>
      </c>
      <c r="N9" t="s">
        <v>191</v>
      </c>
      <c r="O9" t="s">
        <v>208</v>
      </c>
      <c r="P9" s="21"/>
      <c r="Q9" s="21"/>
      <c r="R9" s="21"/>
      <c r="S9" s="21"/>
      <c r="T9" s="21"/>
      <c r="U9" s="21"/>
      <c r="V9" s="21"/>
      <c r="W9" s="21"/>
    </row>
    <row r="10" spans="1:23" x14ac:dyDescent="0.3">
      <c r="B10" t="s">
        <v>186</v>
      </c>
      <c r="C10" s="19" t="s">
        <v>51</v>
      </c>
      <c r="D10" s="19" t="s">
        <v>112</v>
      </c>
      <c r="E10" t="s">
        <v>187</v>
      </c>
      <c r="G10" t="s">
        <v>199</v>
      </c>
      <c r="H10" t="s">
        <v>194</v>
      </c>
      <c r="J10" s="21"/>
      <c r="K10" t="s">
        <v>51</v>
      </c>
      <c r="L10">
        <f>H13</f>
        <v>0</v>
      </c>
      <c r="M10">
        <f>H13</f>
        <v>0</v>
      </c>
      <c r="O10">
        <f>(L10+M10)/2</f>
        <v>0</v>
      </c>
      <c r="P10" s="21"/>
      <c r="Q10" s="21"/>
      <c r="R10" s="21"/>
      <c r="S10" s="21"/>
      <c r="T10" s="21"/>
      <c r="U10" s="21"/>
      <c r="V10" s="21"/>
      <c r="W10" s="21"/>
    </row>
    <row r="11" spans="1:23" s="27" customFormat="1" x14ac:dyDescent="0.3">
      <c r="B11" s="27">
        <v>1</v>
      </c>
      <c r="C11" s="27" t="s">
        <v>124</v>
      </c>
      <c r="D11" s="27" t="s">
        <v>125</v>
      </c>
      <c r="E11" s="27">
        <v>0</v>
      </c>
      <c r="H11" s="27">
        <v>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s="27" customFormat="1" x14ac:dyDescent="0.3">
      <c r="B12" s="27">
        <v>1</v>
      </c>
      <c r="C12" s="27" t="s">
        <v>126</v>
      </c>
      <c r="D12" s="27" t="s">
        <v>127</v>
      </c>
      <c r="E12" s="27">
        <v>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3">
      <c r="B13" s="28">
        <v>0</v>
      </c>
      <c r="C13" s="28" t="s">
        <v>128</v>
      </c>
      <c r="D13" s="28" t="s">
        <v>127</v>
      </c>
      <c r="E13" s="28">
        <v>1</v>
      </c>
      <c r="G13">
        <v>2</v>
      </c>
      <c r="H13">
        <v>0</v>
      </c>
      <c r="J13" s="21"/>
      <c r="L13" t="s">
        <v>207</v>
      </c>
      <c r="M13" t="s">
        <v>174</v>
      </c>
      <c r="P13" s="21"/>
      <c r="Q13" s="21"/>
      <c r="R13" s="21"/>
      <c r="S13" s="21"/>
      <c r="T13" s="21"/>
      <c r="U13" s="21"/>
      <c r="V13" s="21"/>
      <c r="W13" s="21"/>
    </row>
    <row r="14" spans="1:23" x14ac:dyDescent="0.3">
      <c r="A14" t="s">
        <v>191</v>
      </c>
      <c r="B14">
        <f>SUM(B11:B13)</f>
        <v>2</v>
      </c>
      <c r="E14">
        <f>SUM(E11:E13)</f>
        <v>1</v>
      </c>
      <c r="J14" s="21"/>
      <c r="L14" t="s">
        <v>23</v>
      </c>
      <c r="M14" t="s">
        <v>49</v>
      </c>
      <c r="N14" t="s">
        <v>191</v>
      </c>
      <c r="O14" t="s">
        <v>208</v>
      </c>
      <c r="P14" s="21"/>
      <c r="Q14" s="21"/>
      <c r="R14" s="21"/>
      <c r="S14" s="21"/>
      <c r="T14" s="21"/>
      <c r="U14" s="21"/>
      <c r="V14" s="21"/>
      <c r="W14" s="21"/>
    </row>
    <row r="15" spans="1:23" x14ac:dyDescent="0.3">
      <c r="B15" t="s">
        <v>186</v>
      </c>
      <c r="C15" s="19" t="s">
        <v>51</v>
      </c>
      <c r="D15" s="19" t="s">
        <v>113</v>
      </c>
      <c r="G15" t="s">
        <v>199</v>
      </c>
      <c r="H15" t="s">
        <v>200</v>
      </c>
      <c r="J15" s="21"/>
      <c r="K15" t="s">
        <v>51</v>
      </c>
      <c r="L15">
        <f>H5</f>
        <v>0</v>
      </c>
      <c r="M15">
        <f>H43</f>
        <v>0</v>
      </c>
      <c r="O15">
        <f>(L15+M15)/2</f>
        <v>0</v>
      </c>
      <c r="P15" s="21"/>
      <c r="Q15" s="21"/>
      <c r="R15" s="21"/>
      <c r="S15" s="21"/>
      <c r="T15" s="21"/>
      <c r="U15" s="21"/>
      <c r="V15" s="21"/>
      <c r="W15" s="21"/>
    </row>
    <row r="16" spans="1:23" s="23" customFormat="1" x14ac:dyDescent="0.3">
      <c r="B16" s="32">
        <v>0</v>
      </c>
      <c r="C16" s="32" t="s">
        <v>129</v>
      </c>
      <c r="D16" s="32" t="s">
        <v>130</v>
      </c>
      <c r="E16" s="32">
        <v>1</v>
      </c>
      <c r="G16" s="23">
        <v>0</v>
      </c>
      <c r="H16" s="23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s="27" customFormat="1" x14ac:dyDescent="0.3">
      <c r="B17" s="30">
        <v>1</v>
      </c>
      <c r="C17" s="30" t="s">
        <v>131</v>
      </c>
      <c r="D17" s="30" t="s">
        <v>132</v>
      </c>
      <c r="E17" s="30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s="23" customFormat="1" x14ac:dyDescent="0.3">
      <c r="B18" s="32">
        <v>0</v>
      </c>
      <c r="C18" s="32" t="s">
        <v>133</v>
      </c>
      <c r="D18" s="32" t="s">
        <v>134</v>
      </c>
      <c r="E18" s="32">
        <v>1</v>
      </c>
      <c r="G18" s="23">
        <v>0</v>
      </c>
      <c r="H18" s="23">
        <v>0</v>
      </c>
      <c r="J18" s="21"/>
      <c r="K18"/>
      <c r="L18"/>
      <c r="M18"/>
      <c r="N18"/>
      <c r="O18"/>
      <c r="P18" s="21"/>
      <c r="Q18" s="21"/>
      <c r="R18" s="21"/>
      <c r="S18" s="21"/>
      <c r="T18" s="21"/>
      <c r="U18" s="21"/>
      <c r="V18" s="21"/>
      <c r="W18" s="21"/>
    </row>
    <row r="19" spans="1:23" s="23" customFormat="1" x14ac:dyDescent="0.3">
      <c r="B19" s="32">
        <v>0</v>
      </c>
      <c r="C19" s="32" t="s">
        <v>135</v>
      </c>
      <c r="D19" s="32" t="s">
        <v>136</v>
      </c>
      <c r="E19" s="32">
        <v>1</v>
      </c>
      <c r="G19" s="23">
        <v>1</v>
      </c>
      <c r="H19" s="23">
        <v>0</v>
      </c>
      <c r="J19" s="21"/>
      <c r="K19"/>
      <c r="L19"/>
      <c r="M19"/>
      <c r="N19"/>
      <c r="O19"/>
      <c r="P19" s="21"/>
      <c r="Q19" s="21"/>
      <c r="R19" s="21"/>
      <c r="S19" s="21"/>
      <c r="T19" s="21"/>
      <c r="U19" s="21"/>
      <c r="V19" s="21"/>
      <c r="W19" s="21"/>
    </row>
    <row r="20" spans="1:23" s="23" customFormat="1" x14ac:dyDescent="0.3">
      <c r="B20" s="32">
        <v>0</v>
      </c>
      <c r="C20" s="32" t="s">
        <v>137</v>
      </c>
      <c r="D20" s="32" t="s">
        <v>138</v>
      </c>
      <c r="E20" s="32">
        <v>1</v>
      </c>
      <c r="G20" s="23">
        <v>0</v>
      </c>
      <c r="H20" s="23">
        <v>1</v>
      </c>
      <c r="J20" s="21"/>
      <c r="K20"/>
      <c r="L20"/>
      <c r="M20"/>
      <c r="N20"/>
      <c r="O20"/>
      <c r="P20" s="21"/>
      <c r="Q20" s="21"/>
      <c r="R20" s="21"/>
      <c r="S20" s="21"/>
      <c r="T20" s="21"/>
      <c r="U20" s="21"/>
      <c r="V20" s="21"/>
      <c r="W20" s="21"/>
    </row>
    <row r="21" spans="1:23" s="27" customFormat="1" x14ac:dyDescent="0.3">
      <c r="B21" s="30">
        <v>1</v>
      </c>
      <c r="C21" s="30" t="s">
        <v>139</v>
      </c>
      <c r="D21" s="30" t="s">
        <v>140</v>
      </c>
      <c r="E21" s="30"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s="23" customFormat="1" x14ac:dyDescent="0.3">
      <c r="B22" s="32">
        <v>0</v>
      </c>
      <c r="C22" s="32" t="s">
        <v>141</v>
      </c>
      <c r="D22" s="32" t="s">
        <v>142</v>
      </c>
      <c r="E22" s="32">
        <v>1</v>
      </c>
      <c r="G22" s="23">
        <v>0</v>
      </c>
      <c r="H22" s="23"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s="23" customFormat="1" x14ac:dyDescent="0.3">
      <c r="B23" s="32">
        <v>0</v>
      </c>
      <c r="C23" s="32" t="s">
        <v>143</v>
      </c>
      <c r="D23" s="32" t="s">
        <v>144</v>
      </c>
      <c r="E23" s="32">
        <v>1</v>
      </c>
      <c r="G23" s="23">
        <v>0</v>
      </c>
      <c r="H23" s="23">
        <v>0</v>
      </c>
      <c r="J23" s="21"/>
      <c r="K23"/>
      <c r="L23"/>
      <c r="M23"/>
      <c r="N23"/>
      <c r="O23"/>
      <c r="P23" s="21"/>
      <c r="Q23" s="21"/>
      <c r="R23" s="21"/>
      <c r="S23" s="21"/>
      <c r="T23" s="21"/>
      <c r="U23" s="21"/>
      <c r="V23" s="21"/>
      <c r="W23" s="21"/>
    </row>
    <row r="24" spans="1:23" s="23" customFormat="1" x14ac:dyDescent="0.3">
      <c r="B24" s="32">
        <v>0</v>
      </c>
      <c r="C24" s="32" t="s">
        <v>145</v>
      </c>
      <c r="D24" s="32" t="s">
        <v>146</v>
      </c>
      <c r="E24" s="32">
        <v>1</v>
      </c>
      <c r="G24" s="23">
        <v>0</v>
      </c>
      <c r="H24" s="23">
        <v>0</v>
      </c>
      <c r="J24" s="21"/>
      <c r="K24"/>
      <c r="L24"/>
      <c r="M24"/>
      <c r="N24"/>
      <c r="O24"/>
      <c r="P24" s="21"/>
      <c r="Q24" s="21"/>
      <c r="R24" s="21"/>
      <c r="S24" s="21"/>
      <c r="T24" s="21"/>
      <c r="U24" s="21"/>
      <c r="V24" s="21"/>
      <c r="W24" s="21"/>
    </row>
    <row r="25" spans="1:23" x14ac:dyDescent="0.3">
      <c r="B25" s="24">
        <f>SUM(B16:B24)</f>
        <v>2</v>
      </c>
      <c r="C25" s="24"/>
      <c r="D25" s="24"/>
      <c r="E25" s="24">
        <f>SUM(E16:E24)</f>
        <v>7</v>
      </c>
      <c r="H25">
        <f>SUM(H16:H24)</f>
        <v>1</v>
      </c>
      <c r="J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3"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3">
      <c r="B27" t="s">
        <v>186</v>
      </c>
      <c r="C27" s="25" t="s">
        <v>152</v>
      </c>
      <c r="D27" s="25" t="s">
        <v>111</v>
      </c>
      <c r="E27" t="s">
        <v>187</v>
      </c>
      <c r="G27" t="s">
        <v>199</v>
      </c>
      <c r="H27" t="s">
        <v>196</v>
      </c>
      <c r="P27" s="21"/>
      <c r="Q27" s="21"/>
      <c r="R27" s="21"/>
      <c r="S27" s="21"/>
      <c r="T27" s="21"/>
      <c r="U27" s="21"/>
      <c r="V27" s="21"/>
      <c r="W27" s="21"/>
    </row>
    <row r="28" spans="1:23" s="28" customFormat="1" x14ac:dyDescent="0.3">
      <c r="B28" s="29">
        <v>0</v>
      </c>
      <c r="C28" s="29" t="s">
        <v>153</v>
      </c>
      <c r="D28" s="29" t="s">
        <v>153</v>
      </c>
      <c r="E28" s="29">
        <v>1</v>
      </c>
      <c r="G28" s="28">
        <v>227</v>
      </c>
      <c r="H28" s="28">
        <v>7</v>
      </c>
      <c r="J28" s="21"/>
      <c r="K28" s="21"/>
      <c r="L28" s="21"/>
      <c r="M28" s="21" t="s">
        <v>217</v>
      </c>
      <c r="N28" s="21"/>
      <c r="O28" s="21">
        <f>(O5)/3</f>
        <v>5.166666666666667</v>
      </c>
      <c r="P28" s="21"/>
      <c r="Q28" s="21"/>
      <c r="R28" s="21"/>
      <c r="S28" s="21"/>
      <c r="T28" s="21"/>
      <c r="U28" s="21"/>
      <c r="V28" s="21"/>
      <c r="W28" s="21"/>
    </row>
    <row r="29" spans="1:23" s="28" customFormat="1" x14ac:dyDescent="0.3">
      <c r="B29" s="29">
        <v>0</v>
      </c>
      <c r="C29" s="29" t="s">
        <v>154</v>
      </c>
      <c r="D29" s="29" t="s">
        <v>155</v>
      </c>
      <c r="E29" s="29">
        <v>1</v>
      </c>
      <c r="G29" s="28">
        <v>0</v>
      </c>
      <c r="H29" s="28">
        <v>9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3">
      <c r="B30" s="24">
        <v>1</v>
      </c>
      <c r="C30" s="24" t="s">
        <v>126</v>
      </c>
      <c r="D30" s="24" t="s">
        <v>128</v>
      </c>
      <c r="E30" s="24">
        <v>0</v>
      </c>
      <c r="G30">
        <v>0</v>
      </c>
      <c r="H30">
        <v>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s="28" customFormat="1" x14ac:dyDescent="0.3">
      <c r="B31" s="29">
        <v>0</v>
      </c>
      <c r="C31" s="29" t="s">
        <v>128</v>
      </c>
      <c r="D31" s="29" t="s">
        <v>128</v>
      </c>
      <c r="E31" s="29">
        <v>1</v>
      </c>
      <c r="G31" s="28">
        <v>2</v>
      </c>
      <c r="H31" s="28">
        <v>0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3">
      <c r="A32" t="s">
        <v>108</v>
      </c>
      <c r="B32">
        <f>SUM(B28:B31)</f>
        <v>1</v>
      </c>
      <c r="E32">
        <f>SUM(E28:E31)</f>
        <v>3</v>
      </c>
      <c r="F32" t="s">
        <v>108</v>
      </c>
      <c r="G32">
        <f>SUM(G28:G31)</f>
        <v>229</v>
      </c>
      <c r="H32">
        <f>SUM(H28:H31)</f>
        <v>16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2:23" x14ac:dyDescent="0.3"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2:23" x14ac:dyDescent="0.3">
      <c r="B34" t="s">
        <v>192</v>
      </c>
      <c r="C34" s="25" t="s">
        <v>51</v>
      </c>
      <c r="D34" s="25" t="s">
        <v>49</v>
      </c>
      <c r="E34" t="s">
        <v>193</v>
      </c>
      <c r="G34" t="s">
        <v>199</v>
      </c>
      <c r="H34" t="s">
        <v>195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2:23" s="27" customFormat="1" x14ac:dyDescent="0.3">
      <c r="B35" s="30">
        <v>1</v>
      </c>
      <c r="C35" s="31" t="s">
        <v>123</v>
      </c>
      <c r="D35" s="31" t="s">
        <v>123</v>
      </c>
      <c r="E35" s="30">
        <v>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2:23" s="27" customFormat="1" x14ac:dyDescent="0.3">
      <c r="B36" s="30">
        <v>1</v>
      </c>
      <c r="C36" s="27" t="s">
        <v>157</v>
      </c>
      <c r="D36" s="27" t="s">
        <v>158</v>
      </c>
      <c r="E36" s="30">
        <v>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2:23" s="28" customFormat="1" x14ac:dyDescent="0.3">
      <c r="B37" s="29">
        <v>0</v>
      </c>
      <c r="C37" s="28" t="s">
        <v>159</v>
      </c>
      <c r="D37" s="28" t="s">
        <v>160</v>
      </c>
      <c r="E37" s="29">
        <v>1</v>
      </c>
      <c r="G37" s="28">
        <v>551</v>
      </c>
      <c r="H37" s="28">
        <v>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2:23" s="28" customFormat="1" x14ac:dyDescent="0.3">
      <c r="B38" s="29">
        <v>0</v>
      </c>
      <c r="C38" s="28" t="s">
        <v>161</v>
      </c>
      <c r="D38" s="28" t="s">
        <v>162</v>
      </c>
      <c r="E38" s="29">
        <v>1</v>
      </c>
      <c r="G38" s="28">
        <v>0</v>
      </c>
      <c r="H38" s="28">
        <v>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2:23" s="28" customFormat="1" x14ac:dyDescent="0.3">
      <c r="B39" s="29">
        <v>0</v>
      </c>
      <c r="C39" s="28" t="s">
        <v>163</v>
      </c>
      <c r="D39" s="28" t="s">
        <v>164</v>
      </c>
      <c r="E39" s="29">
        <v>1</v>
      </c>
      <c r="G39" s="28">
        <v>0</v>
      </c>
      <c r="H39" s="28">
        <v>0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2:23" s="28" customFormat="1" x14ac:dyDescent="0.3">
      <c r="B40" s="29">
        <v>0</v>
      </c>
      <c r="C40" s="28" t="s">
        <v>165</v>
      </c>
      <c r="D40" s="28" t="s">
        <v>166</v>
      </c>
      <c r="E40" s="29">
        <v>1</v>
      </c>
      <c r="G40" s="28">
        <v>0</v>
      </c>
      <c r="H40" s="28">
        <v>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2:23" s="28" customFormat="1" x14ac:dyDescent="0.3">
      <c r="B41" s="29">
        <v>0</v>
      </c>
      <c r="C41" s="28" t="s">
        <v>167</v>
      </c>
      <c r="D41" s="28" t="s">
        <v>168</v>
      </c>
      <c r="E41" s="29">
        <v>1</v>
      </c>
      <c r="G41" s="28">
        <v>39</v>
      </c>
      <c r="H41" s="28">
        <v>2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2:23" s="28" customFormat="1" x14ac:dyDescent="0.3">
      <c r="B42" s="29">
        <v>0</v>
      </c>
      <c r="C42" s="28" t="s">
        <v>169</v>
      </c>
      <c r="D42" s="28" t="s">
        <v>170</v>
      </c>
      <c r="E42" s="29">
        <v>1</v>
      </c>
      <c r="G42" s="28">
        <v>227</v>
      </c>
      <c r="H42" s="28">
        <v>24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2:23" s="28" customFormat="1" x14ac:dyDescent="0.3">
      <c r="B43" s="29">
        <v>0</v>
      </c>
      <c r="C43" s="28" t="s">
        <v>174</v>
      </c>
      <c r="D43" s="28" t="s">
        <v>171</v>
      </c>
      <c r="E43" s="29">
        <v>1</v>
      </c>
      <c r="G43" s="28">
        <v>0</v>
      </c>
      <c r="H43" s="28">
        <v>0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2:23" s="28" customFormat="1" x14ac:dyDescent="0.3">
      <c r="B44" s="29">
        <v>0</v>
      </c>
      <c r="C44" s="28" t="s">
        <v>172</v>
      </c>
      <c r="D44" s="28" t="s">
        <v>173</v>
      </c>
      <c r="E44" s="29">
        <v>1</v>
      </c>
      <c r="G44" s="28">
        <v>13</v>
      </c>
      <c r="H44" s="28">
        <v>5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2:23" x14ac:dyDescent="0.3">
      <c r="B45">
        <f>SUM(B35:B44)</f>
        <v>2</v>
      </c>
      <c r="E45">
        <f>SUM(E36:E44)</f>
        <v>8</v>
      </c>
      <c r="G45">
        <f>SUM(G37:G44)</f>
        <v>830</v>
      </c>
      <c r="H45">
        <f>SUM(H37:H44)</f>
        <v>32</v>
      </c>
      <c r="P45" s="21"/>
      <c r="Q45" s="21"/>
      <c r="R45" s="21"/>
      <c r="S45" s="21"/>
      <c r="T45" s="21"/>
      <c r="U45" s="21"/>
      <c r="V45" s="21"/>
      <c r="W45" s="21"/>
    </row>
    <row r="46" spans="2:23" x14ac:dyDescent="0.3">
      <c r="P46" s="21"/>
      <c r="Q46" s="21"/>
      <c r="R46" s="21"/>
      <c r="S46" s="21"/>
      <c r="T46" s="21"/>
      <c r="U46" s="21"/>
      <c r="V46" s="21"/>
      <c r="W46" s="21"/>
    </row>
    <row r="47" spans="2:23" x14ac:dyDescent="0.3">
      <c r="C47" s="19"/>
      <c r="D47" s="19"/>
      <c r="P47" s="21"/>
      <c r="Q47" s="21"/>
      <c r="R47" s="21"/>
      <c r="S47" s="21"/>
      <c r="T47" s="21"/>
      <c r="U47" s="21"/>
      <c r="V47" s="21"/>
      <c r="W47" s="21"/>
    </row>
    <row r="48" spans="2:23" x14ac:dyDescent="0.3">
      <c r="P48" s="21"/>
      <c r="Q48" s="21"/>
      <c r="R48" s="21"/>
      <c r="S48" s="21"/>
      <c r="T48" s="21"/>
      <c r="U48" s="21"/>
      <c r="V48" s="21"/>
      <c r="W48" s="21"/>
    </row>
    <row r="49" spans="2:5" x14ac:dyDescent="0.3">
      <c r="B49" s="24"/>
      <c r="C49" s="24"/>
      <c r="D49" s="24"/>
      <c r="E49" s="24"/>
    </row>
    <row r="50" spans="2:5" x14ac:dyDescent="0.3">
      <c r="B50" s="24"/>
    </row>
    <row r="51" spans="2:5" x14ac:dyDescent="0.3">
      <c r="B51" s="24"/>
      <c r="C51" s="24"/>
      <c r="D51" s="24"/>
      <c r="E51" s="24"/>
    </row>
    <row r="52" spans="2:5" x14ac:dyDescent="0.3">
      <c r="B52" s="24"/>
      <c r="C52" s="24"/>
      <c r="D52" s="24"/>
      <c r="E52" s="24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4F9B-6C52-4260-AC1B-C6FD900A3DA2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2946-9DB0-4D54-A3F6-C12BB1CA38E2}">
  <dimension ref="B2:E8"/>
  <sheetViews>
    <sheetView workbookViewId="0"/>
  </sheetViews>
  <sheetFormatPr baseColWidth="10" defaultRowHeight="14.4" x14ac:dyDescent="0.3"/>
  <sheetData>
    <row r="2" spans="2:5" x14ac:dyDescent="0.3">
      <c r="B2" t="s">
        <v>186</v>
      </c>
      <c r="C2" s="19" t="s">
        <v>29</v>
      </c>
      <c r="D2" s="19" t="s">
        <v>110</v>
      </c>
      <c r="E2" t="s">
        <v>187</v>
      </c>
    </row>
    <row r="3" spans="2:5" s="27" customFormat="1" x14ac:dyDescent="0.3">
      <c r="C3" s="27" t="s">
        <v>147</v>
      </c>
      <c r="D3" s="27" t="s">
        <v>147</v>
      </c>
      <c r="E3" s="27">
        <v>0</v>
      </c>
    </row>
    <row r="5" spans="2:5" x14ac:dyDescent="0.3">
      <c r="C5" s="19" t="s">
        <v>148</v>
      </c>
      <c r="D5" s="19" t="s">
        <v>149</v>
      </c>
    </row>
    <row r="6" spans="2:5" s="27" customFormat="1" x14ac:dyDescent="0.3">
      <c r="C6" s="27" t="s">
        <v>147</v>
      </c>
      <c r="D6" s="27" t="s">
        <v>147</v>
      </c>
      <c r="E6" s="27">
        <v>0</v>
      </c>
    </row>
    <row r="8" spans="2:5" x14ac:dyDescent="0.3">
      <c r="C8" t="s">
        <v>204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80E6-0589-4165-AE08-DB77272F675F}">
  <dimension ref="B2:P31"/>
  <sheetViews>
    <sheetView workbookViewId="0">
      <selection activeCell="F9" sqref="F9"/>
    </sheetView>
  </sheetViews>
  <sheetFormatPr baseColWidth="10" defaultRowHeight="14.4" x14ac:dyDescent="0.3"/>
  <cols>
    <col min="2" max="2" width="16.5546875" customWidth="1"/>
    <col min="3" max="3" width="16.88671875" customWidth="1"/>
  </cols>
  <sheetData>
    <row r="2" spans="2:16" x14ac:dyDescent="0.3">
      <c r="B2" s="19" t="s">
        <v>46</v>
      </c>
      <c r="C2" s="19" t="s">
        <v>49</v>
      </c>
      <c r="D2" t="s">
        <v>187</v>
      </c>
      <c r="F2" t="s">
        <v>194</v>
      </c>
      <c r="G2" t="s">
        <v>195</v>
      </c>
      <c r="M2" t="s">
        <v>207</v>
      </c>
      <c r="N2" t="str">
        <f>B3</f>
        <v>Base Unit</v>
      </c>
    </row>
    <row r="3" spans="2:16" x14ac:dyDescent="0.3">
      <c r="B3" s="33" t="s">
        <v>182</v>
      </c>
      <c r="C3" s="33" t="s">
        <v>182</v>
      </c>
      <c r="D3" s="33">
        <v>1</v>
      </c>
      <c r="E3" s="33"/>
      <c r="F3" s="33">
        <v>0</v>
      </c>
      <c r="G3" s="33">
        <v>0</v>
      </c>
      <c r="M3" t="s">
        <v>112</v>
      </c>
      <c r="N3" t="s">
        <v>111</v>
      </c>
      <c r="O3" t="s">
        <v>191</v>
      </c>
      <c r="P3" t="s">
        <v>208</v>
      </c>
    </row>
    <row r="4" spans="2:16" x14ac:dyDescent="0.3">
      <c r="B4" s="27" t="s">
        <v>178</v>
      </c>
      <c r="C4" s="27" t="s">
        <v>179</v>
      </c>
      <c r="D4" s="27">
        <v>1</v>
      </c>
      <c r="E4" s="27"/>
      <c r="F4" s="27">
        <v>0</v>
      </c>
      <c r="G4" s="27">
        <v>0</v>
      </c>
      <c r="L4" t="s">
        <v>49</v>
      </c>
      <c r="M4">
        <f>I27</f>
        <v>0</v>
      </c>
      <c r="N4">
        <f>I41</f>
        <v>0</v>
      </c>
      <c r="P4">
        <f>(M4+N4)/2</f>
        <v>0</v>
      </c>
    </row>
    <row r="5" spans="2:16" x14ac:dyDescent="0.3">
      <c r="B5" s="27" t="s">
        <v>180</v>
      </c>
      <c r="C5" s="27" t="s">
        <v>181</v>
      </c>
      <c r="D5" s="27">
        <v>1</v>
      </c>
      <c r="E5" s="27"/>
      <c r="F5" s="27">
        <v>0</v>
      </c>
      <c r="G5" s="27">
        <v>0</v>
      </c>
      <c r="L5" s="21"/>
      <c r="M5" s="21"/>
      <c r="N5" s="21"/>
      <c r="O5" s="21"/>
      <c r="P5" s="21"/>
    </row>
    <row r="6" spans="2:16" x14ac:dyDescent="0.3">
      <c r="C6" t="s">
        <v>108</v>
      </c>
      <c r="D6">
        <f>SUM(D3:D5)</f>
        <v>3</v>
      </c>
      <c r="L6" s="21"/>
      <c r="M6" s="21"/>
      <c r="N6" s="21"/>
      <c r="O6" s="21"/>
      <c r="P6" s="21"/>
    </row>
    <row r="7" spans="2:16" x14ac:dyDescent="0.3">
      <c r="M7" t="s">
        <v>207</v>
      </c>
      <c r="N7" t="s">
        <v>153</v>
      </c>
    </row>
    <row r="8" spans="2:16" x14ac:dyDescent="0.3">
      <c r="B8" s="19" t="s">
        <v>111</v>
      </c>
      <c r="C8" s="19" t="s">
        <v>49</v>
      </c>
      <c r="E8" t="s">
        <v>196</v>
      </c>
      <c r="F8" t="s">
        <v>195</v>
      </c>
      <c r="M8" t="s">
        <v>111</v>
      </c>
      <c r="N8" t="s">
        <v>51</v>
      </c>
    </row>
    <row r="9" spans="2:16" x14ac:dyDescent="0.3">
      <c r="B9" s="28" t="s">
        <v>169</v>
      </c>
      <c r="C9" s="28" t="s">
        <v>170</v>
      </c>
      <c r="D9" s="28">
        <v>1</v>
      </c>
      <c r="E9" s="28">
        <v>7</v>
      </c>
      <c r="F9" s="28">
        <v>24</v>
      </c>
      <c r="G9" s="28"/>
      <c r="L9" t="s">
        <v>49</v>
      </c>
      <c r="M9">
        <v>7</v>
      </c>
      <c r="N9">
        <f>F28</f>
        <v>227</v>
      </c>
      <c r="O9">
        <f>N9+M9</f>
        <v>234</v>
      </c>
      <c r="P9">
        <f>O9/2</f>
        <v>117</v>
      </c>
    </row>
    <row r="10" spans="2:16" x14ac:dyDescent="0.3">
      <c r="B10" s="28" t="s">
        <v>183</v>
      </c>
      <c r="C10" s="28" t="s">
        <v>177</v>
      </c>
      <c r="D10" s="28">
        <v>1</v>
      </c>
      <c r="E10" s="28">
        <v>0</v>
      </c>
      <c r="F10" s="28">
        <v>0</v>
      </c>
      <c r="G10" s="28"/>
      <c r="L10" s="21"/>
      <c r="M10" s="21"/>
      <c r="N10" s="21"/>
      <c r="O10" s="21"/>
      <c r="P10" s="21"/>
    </row>
    <row r="11" spans="2:16" x14ac:dyDescent="0.3">
      <c r="B11" s="27" t="s">
        <v>184</v>
      </c>
      <c r="C11" s="27" t="s">
        <v>185</v>
      </c>
      <c r="D11" s="27">
        <v>1</v>
      </c>
      <c r="E11" s="27">
        <v>0</v>
      </c>
      <c r="F11" s="27">
        <v>0</v>
      </c>
      <c r="L11" s="21"/>
      <c r="M11" s="21"/>
      <c r="N11" s="21"/>
      <c r="O11" s="21"/>
      <c r="P11" s="21"/>
    </row>
    <row r="12" spans="2:16" x14ac:dyDescent="0.3">
      <c r="C12" t="s">
        <v>108</v>
      </c>
      <c r="D12">
        <f>SUM(D9:D11)</f>
        <v>3</v>
      </c>
      <c r="E12">
        <f>SUM(E9:E11)</f>
        <v>7</v>
      </c>
      <c r="F12">
        <f>SUM(F9:F11)</f>
        <v>24</v>
      </c>
      <c r="M12" t="s">
        <v>207</v>
      </c>
      <c r="N12" t="s">
        <v>174</v>
      </c>
    </row>
    <row r="13" spans="2:16" x14ac:dyDescent="0.3">
      <c r="M13" t="s">
        <v>23</v>
      </c>
      <c r="N13" t="s">
        <v>51</v>
      </c>
      <c r="O13" t="s">
        <v>191</v>
      </c>
      <c r="P13" t="s">
        <v>208</v>
      </c>
    </row>
    <row r="14" spans="2:16" x14ac:dyDescent="0.3">
      <c r="B14" s="19" t="s">
        <v>110</v>
      </c>
      <c r="C14" s="19" t="s">
        <v>49</v>
      </c>
      <c r="D14" t="s">
        <v>187</v>
      </c>
      <c r="E14" t="s">
        <v>202</v>
      </c>
      <c r="F14" t="s">
        <v>195</v>
      </c>
      <c r="L14" t="s">
        <v>49</v>
      </c>
      <c r="M14">
        <f>E19</f>
        <v>0</v>
      </c>
      <c r="N14">
        <f>'oum-all'!G5</f>
        <v>0</v>
      </c>
      <c r="O14">
        <f>N14+M14</f>
        <v>0</v>
      </c>
      <c r="P14">
        <f>(M14+N14)/2</f>
        <v>0</v>
      </c>
    </row>
    <row r="15" spans="2:16" x14ac:dyDescent="0.3">
      <c r="B15" s="27" t="s">
        <v>175</v>
      </c>
      <c r="C15" s="27" t="s">
        <v>176</v>
      </c>
      <c r="D15" s="27">
        <v>1</v>
      </c>
      <c r="E15" s="27">
        <v>2</v>
      </c>
      <c r="F15" s="27">
        <v>0</v>
      </c>
    </row>
    <row r="16" spans="2:16" x14ac:dyDescent="0.3">
      <c r="C16" t="s">
        <v>108</v>
      </c>
      <c r="D16">
        <v>1</v>
      </c>
    </row>
    <row r="17" spans="2:16" x14ac:dyDescent="0.3">
      <c r="O17" t="s">
        <v>221</v>
      </c>
      <c r="P17">
        <f>(P4+P9+P14)/3</f>
        <v>39</v>
      </c>
    </row>
    <row r="18" spans="2:16" x14ac:dyDescent="0.3">
      <c r="B18" s="19" t="s">
        <v>23</v>
      </c>
      <c r="C18" s="19" t="s">
        <v>49</v>
      </c>
      <c r="E18" t="s">
        <v>198</v>
      </c>
      <c r="F18" t="s">
        <v>195</v>
      </c>
    </row>
    <row r="19" spans="2:16" x14ac:dyDescent="0.3">
      <c r="B19" s="34" t="s">
        <v>174</v>
      </c>
      <c r="C19" s="34" t="s">
        <v>174</v>
      </c>
      <c r="D19" s="28">
        <v>1</v>
      </c>
      <c r="E19" s="28">
        <v>0</v>
      </c>
      <c r="F19" s="28">
        <v>0</v>
      </c>
    </row>
    <row r="20" spans="2:16" x14ac:dyDescent="0.3">
      <c r="B20" s="26"/>
      <c r="C20" s="26" t="s">
        <v>108</v>
      </c>
      <c r="D20">
        <v>1</v>
      </c>
    </row>
    <row r="22" spans="2:16" x14ac:dyDescent="0.3">
      <c r="B22" s="25" t="s">
        <v>51</v>
      </c>
      <c r="C22" s="25" t="s">
        <v>49</v>
      </c>
      <c r="D22" t="s">
        <v>193</v>
      </c>
      <c r="F22" t="s">
        <v>199</v>
      </c>
      <c r="G22" t="s">
        <v>195</v>
      </c>
    </row>
    <row r="23" spans="2:16" x14ac:dyDescent="0.3">
      <c r="B23" s="27" t="s">
        <v>159</v>
      </c>
      <c r="C23" s="27" t="s">
        <v>160</v>
      </c>
      <c r="D23" s="30">
        <v>1</v>
      </c>
      <c r="E23" s="27"/>
      <c r="F23" s="27">
        <v>551</v>
      </c>
      <c r="G23" s="27">
        <v>1</v>
      </c>
    </row>
    <row r="24" spans="2:16" x14ac:dyDescent="0.3">
      <c r="B24" s="27" t="s">
        <v>161</v>
      </c>
      <c r="C24" s="27" t="s">
        <v>162</v>
      </c>
      <c r="D24" s="30">
        <v>1</v>
      </c>
      <c r="E24" s="27"/>
      <c r="F24" s="27">
        <v>0</v>
      </c>
      <c r="G24" s="27">
        <v>0</v>
      </c>
    </row>
    <row r="25" spans="2:16" x14ac:dyDescent="0.3">
      <c r="B25" s="27" t="s">
        <v>163</v>
      </c>
      <c r="C25" s="27" t="s">
        <v>164</v>
      </c>
      <c r="D25" s="30">
        <v>1</v>
      </c>
      <c r="E25" s="27"/>
      <c r="F25" s="27">
        <v>0</v>
      </c>
      <c r="G25" s="27">
        <v>0</v>
      </c>
    </row>
    <row r="26" spans="2:16" x14ac:dyDescent="0.3">
      <c r="B26" s="27" t="s">
        <v>165</v>
      </c>
      <c r="C26" s="27" t="s">
        <v>166</v>
      </c>
      <c r="D26" s="30">
        <v>1</v>
      </c>
      <c r="E26" s="27"/>
      <c r="F26" s="27">
        <v>0</v>
      </c>
      <c r="G26" s="27">
        <v>0</v>
      </c>
    </row>
    <row r="27" spans="2:16" x14ac:dyDescent="0.3">
      <c r="B27" s="27" t="s">
        <v>167</v>
      </c>
      <c r="C27" s="27" t="s">
        <v>168</v>
      </c>
      <c r="D27" s="30">
        <v>1</v>
      </c>
      <c r="E27" s="27"/>
      <c r="F27" s="27">
        <v>39</v>
      </c>
      <c r="G27" s="27">
        <v>2</v>
      </c>
    </row>
    <row r="28" spans="2:16" x14ac:dyDescent="0.3">
      <c r="B28" s="28" t="s">
        <v>169</v>
      </c>
      <c r="C28" s="28" t="s">
        <v>170</v>
      </c>
      <c r="D28" s="29">
        <v>1</v>
      </c>
      <c r="E28" s="28"/>
      <c r="F28" s="28">
        <v>227</v>
      </c>
      <c r="G28" s="28">
        <v>24</v>
      </c>
    </row>
    <row r="29" spans="2:16" x14ac:dyDescent="0.3">
      <c r="B29" s="28" t="s">
        <v>174</v>
      </c>
      <c r="C29" s="28" t="s">
        <v>171</v>
      </c>
      <c r="D29" s="29">
        <v>1</v>
      </c>
      <c r="E29" s="28"/>
      <c r="F29" s="28">
        <v>0</v>
      </c>
      <c r="G29" s="28">
        <v>0</v>
      </c>
    </row>
    <row r="30" spans="2:16" x14ac:dyDescent="0.3">
      <c r="B30" s="27" t="s">
        <v>172</v>
      </c>
      <c r="C30" s="27" t="s">
        <v>173</v>
      </c>
      <c r="D30" s="30">
        <v>1</v>
      </c>
      <c r="E30" s="27"/>
      <c r="F30" s="27">
        <v>13</v>
      </c>
      <c r="G30" s="27">
        <v>5</v>
      </c>
    </row>
    <row r="31" spans="2:16" x14ac:dyDescent="0.3">
      <c r="C31" s="21" t="s">
        <v>108</v>
      </c>
      <c r="D31">
        <f>SUM(D23:D30)</f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D7D5-5257-4660-BDCA-D947A864AFA0}">
  <dimension ref="A1:P31"/>
  <sheetViews>
    <sheetView topLeftCell="C31" workbookViewId="0">
      <selection activeCell="P26" sqref="P26"/>
    </sheetView>
  </sheetViews>
  <sheetFormatPr baseColWidth="10" defaultRowHeight="14.4" x14ac:dyDescent="0.3"/>
  <cols>
    <col min="2" max="2" width="18.33203125" customWidth="1"/>
    <col min="3" max="3" width="13.88671875" customWidth="1"/>
  </cols>
  <sheetData>
    <row r="1" spans="1:16" x14ac:dyDescent="0.3">
      <c r="D1" t="s">
        <v>58</v>
      </c>
    </row>
    <row r="4" spans="1:16" x14ac:dyDescent="0.3">
      <c r="B4" t="s">
        <v>70</v>
      </c>
      <c r="C4" t="s">
        <v>59</v>
      </c>
      <c r="D4" t="s">
        <v>60</v>
      </c>
      <c r="E4" t="s">
        <v>61</v>
      </c>
      <c r="F4" t="s">
        <v>62</v>
      </c>
      <c r="G4" t="s">
        <v>85</v>
      </c>
      <c r="O4" t="s">
        <v>63</v>
      </c>
    </row>
    <row r="5" spans="1:16" s="19" customFormat="1" x14ac:dyDescent="0.3">
      <c r="A5" s="19">
        <v>1</v>
      </c>
      <c r="B5" s="19" t="s">
        <v>71</v>
      </c>
      <c r="C5" s="19">
        <v>1</v>
      </c>
      <c r="D5" s="19">
        <v>1</v>
      </c>
      <c r="E5" s="19">
        <v>0.8</v>
      </c>
      <c r="F5" s="19">
        <v>0.8</v>
      </c>
      <c r="G5" s="19">
        <f>SUM(C5:F5)</f>
        <v>3.5999999999999996</v>
      </c>
      <c r="H5" s="19">
        <v>3</v>
      </c>
      <c r="O5" s="19" t="s">
        <v>64</v>
      </c>
      <c r="P5" s="19">
        <v>5</v>
      </c>
    </row>
    <row r="6" spans="1:16" s="19" customFormat="1" x14ac:dyDescent="0.3">
      <c r="A6" s="19">
        <v>2</v>
      </c>
      <c r="B6" s="19" t="s">
        <v>79</v>
      </c>
      <c r="C6" s="19">
        <v>1</v>
      </c>
      <c r="D6" s="19">
        <v>1</v>
      </c>
      <c r="E6" s="19">
        <v>0.6</v>
      </c>
      <c r="F6" s="19">
        <v>0.8</v>
      </c>
      <c r="G6" s="19">
        <f t="shared" ref="G6:G22" si="0">SUM(C6:F6)</f>
        <v>3.4000000000000004</v>
      </c>
      <c r="H6" s="19">
        <v>4</v>
      </c>
      <c r="O6" s="19" t="s">
        <v>65</v>
      </c>
      <c r="P6" s="19">
        <v>8</v>
      </c>
    </row>
    <row r="7" spans="1:16" x14ac:dyDescent="0.3">
      <c r="A7">
        <v>3</v>
      </c>
      <c r="B7" t="s">
        <v>82</v>
      </c>
      <c r="C7">
        <v>1</v>
      </c>
      <c r="D7">
        <v>1</v>
      </c>
      <c r="E7">
        <v>0.8</v>
      </c>
      <c r="F7">
        <v>0</v>
      </c>
      <c r="G7">
        <f t="shared" si="0"/>
        <v>2.8</v>
      </c>
      <c r="O7" t="s">
        <v>66</v>
      </c>
      <c r="P7">
        <v>6</v>
      </c>
    </row>
    <row r="8" spans="1:16" x14ac:dyDescent="0.3">
      <c r="A8">
        <v>4</v>
      </c>
      <c r="B8" t="s">
        <v>13</v>
      </c>
      <c r="C8">
        <v>1</v>
      </c>
      <c r="D8">
        <v>1</v>
      </c>
      <c r="E8">
        <v>0.8</v>
      </c>
      <c r="F8">
        <v>0</v>
      </c>
      <c r="G8">
        <f t="shared" si="0"/>
        <v>2.8</v>
      </c>
    </row>
    <row r="9" spans="1:16" x14ac:dyDescent="0.3">
      <c r="A9">
        <v>5</v>
      </c>
      <c r="B9" t="s">
        <v>83</v>
      </c>
      <c r="C9">
        <v>1</v>
      </c>
      <c r="D9">
        <v>1</v>
      </c>
      <c r="E9">
        <v>0</v>
      </c>
      <c r="F9">
        <v>0.4</v>
      </c>
      <c r="G9">
        <f t="shared" si="0"/>
        <v>2.4</v>
      </c>
    </row>
    <row r="10" spans="1:16" s="19" customFormat="1" x14ac:dyDescent="0.3">
      <c r="A10" s="19">
        <v>6</v>
      </c>
      <c r="B10" s="19" t="s">
        <v>84</v>
      </c>
      <c r="C10" s="19">
        <v>1</v>
      </c>
      <c r="D10" s="19">
        <v>1</v>
      </c>
      <c r="E10" s="19">
        <v>0.6</v>
      </c>
      <c r="F10" s="19">
        <v>0.4</v>
      </c>
      <c r="G10" s="19">
        <f t="shared" si="0"/>
        <v>3</v>
      </c>
      <c r="H10" s="19">
        <v>6</v>
      </c>
    </row>
    <row r="11" spans="1:16" x14ac:dyDescent="0.3">
      <c r="A11">
        <v>7</v>
      </c>
      <c r="B11" t="s">
        <v>72</v>
      </c>
      <c r="C11">
        <v>0.8</v>
      </c>
      <c r="D11">
        <v>1</v>
      </c>
      <c r="E11">
        <v>0.6</v>
      </c>
      <c r="F11">
        <v>0.4</v>
      </c>
      <c r="G11">
        <f t="shared" si="0"/>
        <v>2.8</v>
      </c>
    </row>
    <row r="12" spans="1:16" x14ac:dyDescent="0.3">
      <c r="A12">
        <v>8</v>
      </c>
      <c r="B12" t="s">
        <v>74</v>
      </c>
      <c r="C12">
        <v>1</v>
      </c>
      <c r="D12">
        <v>1</v>
      </c>
      <c r="E12">
        <v>0</v>
      </c>
      <c r="F12">
        <v>0.4</v>
      </c>
      <c r="G12">
        <f t="shared" si="0"/>
        <v>2.4</v>
      </c>
    </row>
    <row r="13" spans="1:16" s="19" customFormat="1" x14ac:dyDescent="0.3">
      <c r="A13" s="19">
        <v>9</v>
      </c>
      <c r="B13" s="19" t="s">
        <v>76</v>
      </c>
      <c r="C13" s="19">
        <v>1</v>
      </c>
      <c r="D13" s="19">
        <v>1</v>
      </c>
      <c r="E13" s="19">
        <v>0.8</v>
      </c>
      <c r="F13" s="19">
        <v>0.4</v>
      </c>
      <c r="G13" s="19">
        <f t="shared" si="0"/>
        <v>3.1999999999999997</v>
      </c>
      <c r="H13" s="19">
        <v>5</v>
      </c>
    </row>
    <row r="14" spans="1:16" x14ac:dyDescent="0.3">
      <c r="A14">
        <v>10</v>
      </c>
      <c r="B14" t="s">
        <v>77</v>
      </c>
      <c r="C14">
        <v>0.8</v>
      </c>
      <c r="D14">
        <v>1</v>
      </c>
      <c r="E14">
        <v>0.6</v>
      </c>
      <c r="F14">
        <v>0.4</v>
      </c>
      <c r="G14">
        <f t="shared" si="0"/>
        <v>2.8</v>
      </c>
    </row>
    <row r="15" spans="1:16" s="19" customFormat="1" x14ac:dyDescent="0.3">
      <c r="A15" s="19">
        <v>11</v>
      </c>
      <c r="B15" s="19" t="s">
        <v>78</v>
      </c>
      <c r="C15" s="19">
        <v>1</v>
      </c>
      <c r="D15" s="19">
        <v>1</v>
      </c>
      <c r="E15" s="19">
        <v>0.6</v>
      </c>
      <c r="F15" s="19">
        <v>0.4</v>
      </c>
      <c r="G15" s="19">
        <f t="shared" si="0"/>
        <v>3</v>
      </c>
      <c r="H15" s="19">
        <v>6</v>
      </c>
    </row>
    <row r="16" spans="1:16" s="19" customFormat="1" x14ac:dyDescent="0.3">
      <c r="A16" s="19">
        <v>12</v>
      </c>
      <c r="B16" s="19" t="s">
        <v>75</v>
      </c>
      <c r="C16" s="19">
        <v>0.8</v>
      </c>
      <c r="D16" s="19">
        <v>1</v>
      </c>
      <c r="E16" s="19">
        <v>1</v>
      </c>
      <c r="F16" s="19">
        <v>0.4</v>
      </c>
      <c r="G16" s="19">
        <f t="shared" si="0"/>
        <v>3.1999999999999997</v>
      </c>
      <c r="H16" s="19">
        <v>5</v>
      </c>
    </row>
    <row r="17" spans="1:8" s="19" customFormat="1" x14ac:dyDescent="0.3">
      <c r="A17" s="19">
        <v>13</v>
      </c>
      <c r="B17" s="19" t="s">
        <v>20</v>
      </c>
      <c r="C17" s="19">
        <v>1</v>
      </c>
      <c r="D17" s="19">
        <v>1</v>
      </c>
      <c r="E17" s="19">
        <v>1</v>
      </c>
      <c r="F17" s="19">
        <v>1</v>
      </c>
      <c r="G17" s="19">
        <f t="shared" si="0"/>
        <v>4</v>
      </c>
      <c r="H17" s="19">
        <v>1</v>
      </c>
    </row>
    <row r="18" spans="1:8" s="19" customFormat="1" x14ac:dyDescent="0.3">
      <c r="A18" s="19">
        <v>14</v>
      </c>
      <c r="B18" s="19" t="s">
        <v>80</v>
      </c>
      <c r="C18" s="19">
        <v>1</v>
      </c>
      <c r="D18" s="19">
        <v>1</v>
      </c>
      <c r="E18" s="19">
        <v>0</v>
      </c>
      <c r="F18" s="19">
        <v>1</v>
      </c>
      <c r="G18" s="19">
        <f t="shared" si="0"/>
        <v>3</v>
      </c>
      <c r="H18" s="19">
        <v>6</v>
      </c>
    </row>
    <row r="19" spans="1:8" s="19" customFormat="1" x14ac:dyDescent="0.3">
      <c r="A19" s="19">
        <v>15</v>
      </c>
      <c r="B19" s="19" t="s">
        <v>81</v>
      </c>
      <c r="C19" s="19">
        <v>1</v>
      </c>
      <c r="D19" s="19">
        <v>1</v>
      </c>
      <c r="E19" s="19">
        <v>0.8</v>
      </c>
      <c r="F19" s="19">
        <v>1</v>
      </c>
      <c r="G19" s="19">
        <f t="shared" si="0"/>
        <v>3.8</v>
      </c>
      <c r="H19" s="19">
        <v>2</v>
      </c>
    </row>
    <row r="20" spans="1:8" s="19" customFormat="1" x14ac:dyDescent="0.3">
      <c r="A20" s="19">
        <v>16</v>
      </c>
      <c r="B20" s="19" t="s">
        <v>37</v>
      </c>
      <c r="C20" s="19">
        <v>1</v>
      </c>
      <c r="D20" s="19">
        <v>1</v>
      </c>
      <c r="E20" s="19">
        <v>0.8</v>
      </c>
      <c r="F20" s="19">
        <v>1</v>
      </c>
      <c r="G20" s="19">
        <f t="shared" si="0"/>
        <v>3.8</v>
      </c>
      <c r="H20" s="19">
        <v>2</v>
      </c>
    </row>
    <row r="21" spans="1:8" s="19" customFormat="1" x14ac:dyDescent="0.3">
      <c r="A21" s="19">
        <v>17</v>
      </c>
      <c r="B21" s="19" t="s">
        <v>39</v>
      </c>
      <c r="C21" s="19">
        <v>1</v>
      </c>
      <c r="D21" s="19">
        <v>1</v>
      </c>
      <c r="E21" s="19">
        <v>0</v>
      </c>
      <c r="F21" s="19">
        <v>1</v>
      </c>
      <c r="G21" s="19">
        <f t="shared" si="0"/>
        <v>3</v>
      </c>
      <c r="H21" s="19">
        <v>6</v>
      </c>
    </row>
    <row r="22" spans="1:8" s="19" customFormat="1" x14ac:dyDescent="0.3">
      <c r="A22" s="19">
        <v>18</v>
      </c>
      <c r="B22" s="19" t="s">
        <v>73</v>
      </c>
      <c r="C22" s="19">
        <v>1</v>
      </c>
      <c r="D22" s="19">
        <v>1</v>
      </c>
      <c r="E22" s="19">
        <v>0.8</v>
      </c>
      <c r="F22" s="19">
        <v>1</v>
      </c>
      <c r="G22" s="19">
        <f t="shared" si="0"/>
        <v>3.8</v>
      </c>
      <c r="H22" s="19">
        <v>2</v>
      </c>
    </row>
    <row r="23" spans="1:8" x14ac:dyDescent="0.3">
      <c r="G23">
        <f t="shared" ref="G23:G24" si="1">C23+D23+E23+F23</f>
        <v>0</v>
      </c>
    </row>
    <row r="24" spans="1:8" x14ac:dyDescent="0.3">
      <c r="C24">
        <v>1</v>
      </c>
      <c r="D24">
        <v>1</v>
      </c>
      <c r="E24">
        <v>0.6</v>
      </c>
      <c r="F24">
        <v>1</v>
      </c>
      <c r="G24">
        <f t="shared" si="1"/>
        <v>3.6</v>
      </c>
    </row>
    <row r="25" spans="1:8" x14ac:dyDescent="0.3">
      <c r="D25" t="s">
        <v>67</v>
      </c>
    </row>
    <row r="26" spans="1:8" x14ac:dyDescent="0.3">
      <c r="D26" t="s">
        <v>68</v>
      </c>
      <c r="E26" t="s">
        <v>69</v>
      </c>
    </row>
    <row r="27" spans="1:8" x14ac:dyDescent="0.3">
      <c r="D27">
        <v>9</v>
      </c>
      <c r="E27">
        <v>9</v>
      </c>
    </row>
    <row r="29" spans="1:8" x14ac:dyDescent="0.3">
      <c r="D29" t="s">
        <v>86</v>
      </c>
      <c r="E29">
        <v>6</v>
      </c>
    </row>
    <row r="30" spans="1:8" x14ac:dyDescent="0.3">
      <c r="D30" t="s">
        <v>88</v>
      </c>
      <c r="E30">
        <v>2</v>
      </c>
    </row>
    <row r="31" spans="1:8" x14ac:dyDescent="0.3">
      <c r="D31" t="s">
        <v>87</v>
      </c>
      <c r="E31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9FBC-93B9-4E00-8DA9-4C515D9C0E56}">
  <dimension ref="E3:U24"/>
  <sheetViews>
    <sheetView topLeftCell="A14" zoomScale="70" zoomScaleNormal="70" workbookViewId="0">
      <selection activeCell="U34" sqref="U34"/>
    </sheetView>
  </sheetViews>
  <sheetFormatPr baseColWidth="10" defaultRowHeight="14.4" x14ac:dyDescent="0.3"/>
  <cols>
    <col min="5" max="5" width="17.6640625" customWidth="1"/>
    <col min="6" max="6" width="9.21875" customWidth="1"/>
  </cols>
  <sheetData>
    <row r="3" spans="5:21" x14ac:dyDescent="0.3">
      <c r="J3" t="s">
        <v>105</v>
      </c>
    </row>
    <row r="6" spans="5:21" x14ac:dyDescent="0.3">
      <c r="M6" s="51" t="s">
        <v>95</v>
      </c>
      <c r="N6" s="51"/>
      <c r="O6" s="51"/>
      <c r="P6" s="51"/>
      <c r="Q6" s="51"/>
      <c r="R6" s="51"/>
      <c r="U6" t="s">
        <v>108</v>
      </c>
    </row>
    <row r="7" spans="5:21" x14ac:dyDescent="0.3">
      <c r="F7" t="s">
        <v>115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s="20" t="s">
        <v>99</v>
      </c>
      <c r="N7" s="20" t="s">
        <v>100</v>
      </c>
      <c r="O7" s="20" t="s">
        <v>101</v>
      </c>
      <c r="P7" s="20" t="s">
        <v>102</v>
      </c>
      <c r="Q7" s="20" t="s">
        <v>103</v>
      </c>
      <c r="R7" s="20" t="s">
        <v>104</v>
      </c>
      <c r="S7" s="21" t="s">
        <v>96</v>
      </c>
      <c r="T7" s="21" t="s">
        <v>97</v>
      </c>
    </row>
    <row r="8" spans="5:21" hidden="1" x14ac:dyDescent="0.3">
      <c r="E8" t="s">
        <v>98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3">
        <f>SUM(G8:T8)</f>
        <v>0</v>
      </c>
    </row>
    <row r="9" spans="5:21" x14ac:dyDescent="0.3">
      <c r="E9" t="s">
        <v>51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 s="23">
        <f t="shared" ref="U9:U24" si="0">SUM(G9:T9)</f>
        <v>2</v>
      </c>
    </row>
    <row r="10" spans="5:21" hidden="1" x14ac:dyDescent="0.3">
      <c r="E10" t="s">
        <v>106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3">
        <f t="shared" si="0"/>
        <v>0</v>
      </c>
    </row>
    <row r="11" spans="5:21" x14ac:dyDescent="0.3">
      <c r="E11" t="s">
        <v>29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 s="23">
        <f t="shared" si="0"/>
        <v>1</v>
      </c>
    </row>
    <row r="12" spans="5:21" x14ac:dyDescent="0.3">
      <c r="E12" t="s">
        <v>107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9">
        <v>1</v>
      </c>
      <c r="N12" s="19">
        <v>1</v>
      </c>
      <c r="O12">
        <v>0</v>
      </c>
      <c r="P12">
        <v>1</v>
      </c>
      <c r="Q12">
        <v>0</v>
      </c>
      <c r="R12" s="19">
        <v>1</v>
      </c>
      <c r="S12">
        <v>0</v>
      </c>
      <c r="T12">
        <v>0</v>
      </c>
      <c r="U12" s="23">
        <f t="shared" si="0"/>
        <v>4</v>
      </c>
    </row>
    <row r="13" spans="5:21" hidden="1" x14ac:dyDescent="0.3">
      <c r="E13" t="s">
        <v>109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23">
        <f t="shared" si="0"/>
        <v>0</v>
      </c>
    </row>
    <row r="14" spans="5:21" x14ac:dyDescent="0.3">
      <c r="E14" t="s">
        <v>110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23">
        <f t="shared" si="0"/>
        <v>2</v>
      </c>
    </row>
    <row r="15" spans="5:21" x14ac:dyDescent="0.3">
      <c r="E15" t="s">
        <v>111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 s="23">
        <f t="shared" si="0"/>
        <v>1</v>
      </c>
    </row>
    <row r="16" spans="5:21" hidden="1" x14ac:dyDescent="0.3">
      <c r="E16" t="s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23">
        <f t="shared" si="0"/>
        <v>0</v>
      </c>
    </row>
    <row r="17" spans="5:21" x14ac:dyDescent="0.3">
      <c r="E17" t="s">
        <v>112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 s="23">
        <f t="shared" si="0"/>
        <v>1</v>
      </c>
    </row>
    <row r="18" spans="5:21" x14ac:dyDescent="0.3">
      <c r="E18" t="s">
        <v>49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 s="23">
        <f t="shared" si="0"/>
        <v>1</v>
      </c>
    </row>
    <row r="19" spans="5:21" x14ac:dyDescent="0.3">
      <c r="E19" t="s">
        <v>113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 s="23">
        <f t="shared" si="0"/>
        <v>2</v>
      </c>
    </row>
    <row r="20" spans="5:21" x14ac:dyDescent="0.3">
      <c r="E20" t="s">
        <v>114</v>
      </c>
      <c r="F20" s="22">
        <f t="shared" ref="F20:T20" si="1">SUM(F8:F19)</f>
        <v>0</v>
      </c>
      <c r="G20" s="22">
        <f t="shared" si="1"/>
        <v>1</v>
      </c>
      <c r="H20" s="22">
        <f t="shared" si="1"/>
        <v>1</v>
      </c>
      <c r="I20" s="22">
        <f t="shared" si="1"/>
        <v>0</v>
      </c>
      <c r="J20" s="22">
        <f t="shared" si="1"/>
        <v>0</v>
      </c>
      <c r="K20" s="22">
        <f t="shared" si="1"/>
        <v>1</v>
      </c>
      <c r="L20" s="22">
        <f t="shared" si="1"/>
        <v>0</v>
      </c>
      <c r="M20" s="22">
        <f t="shared" si="1"/>
        <v>1</v>
      </c>
      <c r="N20" s="22">
        <f t="shared" si="1"/>
        <v>1</v>
      </c>
      <c r="O20" s="22">
        <f t="shared" si="1"/>
        <v>0</v>
      </c>
      <c r="P20" s="22">
        <f t="shared" si="1"/>
        <v>5</v>
      </c>
      <c r="Q20" s="22">
        <f t="shared" si="1"/>
        <v>0</v>
      </c>
      <c r="R20" s="22">
        <f t="shared" si="1"/>
        <v>2</v>
      </c>
      <c r="S20" s="22">
        <f t="shared" si="1"/>
        <v>2</v>
      </c>
      <c r="T20" s="22">
        <f t="shared" si="1"/>
        <v>0</v>
      </c>
      <c r="U20" s="23">
        <f t="shared" si="0"/>
        <v>14</v>
      </c>
    </row>
    <row r="21" spans="5:21" x14ac:dyDescent="0.3">
      <c r="U21">
        <f t="shared" si="0"/>
        <v>0</v>
      </c>
    </row>
    <row r="22" spans="5:21" x14ac:dyDescent="0.3">
      <c r="U22">
        <f t="shared" si="0"/>
        <v>0</v>
      </c>
    </row>
    <row r="23" spans="5:21" x14ac:dyDescent="0.3">
      <c r="U23">
        <f t="shared" si="0"/>
        <v>0</v>
      </c>
    </row>
    <row r="24" spans="5:21" x14ac:dyDescent="0.3">
      <c r="U24">
        <f t="shared" si="0"/>
        <v>0</v>
      </c>
    </row>
  </sheetData>
  <mergeCells count="1">
    <mergeCell ref="M6:R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37E9-D281-4FCF-9E87-E93FEF11646B}">
  <dimension ref="B3:O35"/>
  <sheetViews>
    <sheetView zoomScale="50" zoomScaleNormal="50" workbookViewId="0"/>
  </sheetViews>
  <sheetFormatPr baseColWidth="10" defaultRowHeight="14.4" x14ac:dyDescent="0.3"/>
  <cols>
    <col min="3" max="3" width="18.6640625" customWidth="1"/>
    <col min="4" max="4" width="16" customWidth="1"/>
  </cols>
  <sheetData>
    <row r="3" spans="2:15" x14ac:dyDescent="0.3">
      <c r="C3" t="s">
        <v>116</v>
      </c>
      <c r="D3" t="s">
        <v>117</v>
      </c>
    </row>
    <row r="4" spans="2:15" x14ac:dyDescent="0.3">
      <c r="E4" t="s">
        <v>118</v>
      </c>
      <c r="J4" t="s">
        <v>112</v>
      </c>
      <c r="K4" t="s">
        <v>110</v>
      </c>
      <c r="L4" t="s">
        <v>23</v>
      </c>
      <c r="M4" t="s">
        <v>111</v>
      </c>
      <c r="N4" t="s">
        <v>51</v>
      </c>
      <c r="O4" t="s">
        <v>49</v>
      </c>
    </row>
    <row r="5" spans="2:15" x14ac:dyDescent="0.3">
      <c r="B5">
        <v>1</v>
      </c>
      <c r="C5" s="19" t="s">
        <v>51</v>
      </c>
      <c r="D5" s="19" t="s">
        <v>151</v>
      </c>
      <c r="E5">
        <v>0</v>
      </c>
      <c r="I5" t="s">
        <v>212</v>
      </c>
      <c r="J5">
        <f>'ucum-all'!M19</f>
        <v>0.5</v>
      </c>
      <c r="K5">
        <f>'pronto-all'!K18</f>
        <v>2</v>
      </c>
      <c r="L5">
        <f>'gr-all'!M23</f>
        <v>0.75</v>
      </c>
      <c r="M5">
        <f>'sweet-all'!L29</f>
        <v>31.875</v>
      </c>
      <c r="N5">
        <f>'oum-all'!O28</f>
        <v>5.166666666666667</v>
      </c>
      <c r="O5">
        <f>'qudt-all'!P17</f>
        <v>39</v>
      </c>
    </row>
    <row r="6" spans="2:15" x14ac:dyDescent="0.3">
      <c r="B6">
        <v>2</v>
      </c>
      <c r="C6" s="19" t="s">
        <v>51</v>
      </c>
      <c r="D6" s="19" t="s">
        <v>107</v>
      </c>
      <c r="E6">
        <v>4</v>
      </c>
      <c r="I6" t="str">
        <f>I9</f>
        <v>mapping avg</v>
      </c>
      <c r="J6">
        <f t="shared" ref="J6:N6" si="0">J9</f>
        <v>2</v>
      </c>
      <c r="K6">
        <f t="shared" si="0"/>
        <v>1.3333333333333333</v>
      </c>
      <c r="L6">
        <f t="shared" si="0"/>
        <v>1.75</v>
      </c>
      <c r="M6">
        <f t="shared" si="0"/>
        <v>1.8</v>
      </c>
      <c r="N6">
        <f t="shared" si="0"/>
        <v>4.4000000000000004</v>
      </c>
      <c r="O6">
        <f>'mapping tp fp'!F49</f>
        <v>3.4</v>
      </c>
    </row>
    <row r="7" spans="2:15" x14ac:dyDescent="0.3">
      <c r="B7">
        <v>3</v>
      </c>
      <c r="C7" s="19" t="s">
        <v>51</v>
      </c>
      <c r="D7" s="19" t="s">
        <v>110</v>
      </c>
      <c r="E7">
        <v>0</v>
      </c>
    </row>
    <row r="8" spans="2:15" x14ac:dyDescent="0.3">
      <c r="B8">
        <v>4</v>
      </c>
      <c r="C8" s="19" t="s">
        <v>51</v>
      </c>
      <c r="D8" s="19" t="s">
        <v>111</v>
      </c>
      <c r="E8">
        <v>4</v>
      </c>
    </row>
    <row r="9" spans="2:15" x14ac:dyDescent="0.3">
      <c r="B9">
        <v>5</v>
      </c>
      <c r="C9" s="19" t="s">
        <v>51</v>
      </c>
      <c r="D9" s="19" t="s">
        <v>112</v>
      </c>
      <c r="E9">
        <v>3</v>
      </c>
      <c r="I9" t="s">
        <v>218</v>
      </c>
      <c r="J9">
        <f>'mapping tp fp'!F42</f>
        <v>2</v>
      </c>
      <c r="K9">
        <f>'mapping tp fp'!F28</f>
        <v>1.3333333333333333</v>
      </c>
      <c r="L9">
        <f>'mapping tp fp'!F22</f>
        <v>1.75</v>
      </c>
      <c r="M9">
        <f>'mapping tp fp'!F36</f>
        <v>1.8</v>
      </c>
      <c r="N9">
        <f>'mapping tp fp'!H13</f>
        <v>4.4000000000000004</v>
      </c>
      <c r="O9">
        <f>O6</f>
        <v>3.4</v>
      </c>
    </row>
    <row r="10" spans="2:15" x14ac:dyDescent="0.3">
      <c r="B10">
        <v>6</v>
      </c>
      <c r="C10" s="19" t="s">
        <v>51</v>
      </c>
      <c r="D10" s="19" t="s">
        <v>49</v>
      </c>
      <c r="E10">
        <v>10</v>
      </c>
      <c r="H10" s="19"/>
    </row>
    <row r="11" spans="2:15" x14ac:dyDescent="0.3">
      <c r="B11">
        <v>7</v>
      </c>
      <c r="C11" s="19" t="s">
        <v>51</v>
      </c>
      <c r="D11" s="19" t="s">
        <v>113</v>
      </c>
      <c r="E11">
        <v>9</v>
      </c>
      <c r="H11" s="19"/>
    </row>
    <row r="12" spans="2:15" x14ac:dyDescent="0.3">
      <c r="C12" s="19"/>
      <c r="D12" s="19"/>
      <c r="H12" s="19"/>
    </row>
    <row r="13" spans="2:15" x14ac:dyDescent="0.3">
      <c r="B13">
        <v>1</v>
      </c>
      <c r="C13" s="19" t="s">
        <v>151</v>
      </c>
      <c r="D13" s="19" t="s">
        <v>107</v>
      </c>
      <c r="E13">
        <v>0</v>
      </c>
      <c r="H13" s="19"/>
    </row>
    <row r="14" spans="2:15" x14ac:dyDescent="0.3">
      <c r="B14">
        <v>2</v>
      </c>
      <c r="C14" s="19" t="s">
        <v>151</v>
      </c>
      <c r="D14" s="19" t="s">
        <v>110</v>
      </c>
      <c r="E14">
        <v>1</v>
      </c>
      <c r="H14" s="19"/>
    </row>
    <row r="15" spans="2:15" x14ac:dyDescent="0.3">
      <c r="B15">
        <v>3</v>
      </c>
      <c r="C15" s="19" t="s">
        <v>151</v>
      </c>
      <c r="D15" s="19" t="s">
        <v>111</v>
      </c>
      <c r="E15">
        <v>0</v>
      </c>
      <c r="H15" s="19"/>
    </row>
    <row r="16" spans="2:15" x14ac:dyDescent="0.3">
      <c r="B16">
        <v>4</v>
      </c>
      <c r="C16" s="19" t="s">
        <v>151</v>
      </c>
      <c r="D16" s="19" t="s">
        <v>112</v>
      </c>
      <c r="E16">
        <v>0</v>
      </c>
      <c r="H16" s="19"/>
    </row>
    <row r="17" spans="2:8" x14ac:dyDescent="0.3">
      <c r="B17">
        <v>5</v>
      </c>
      <c r="C17" s="19" t="s">
        <v>151</v>
      </c>
      <c r="D17" s="19" t="s">
        <v>49</v>
      </c>
      <c r="E17">
        <v>0</v>
      </c>
      <c r="H17" s="19"/>
    </row>
    <row r="18" spans="2:8" x14ac:dyDescent="0.3">
      <c r="B18">
        <v>6</v>
      </c>
      <c r="C18" s="19" t="s">
        <v>151</v>
      </c>
      <c r="D18" s="19" t="s">
        <v>113</v>
      </c>
      <c r="E18">
        <v>1</v>
      </c>
      <c r="H18" s="19"/>
    </row>
    <row r="19" spans="2:8" x14ac:dyDescent="0.3">
      <c r="C19" s="19"/>
      <c r="D19" s="19"/>
      <c r="H19" s="19"/>
    </row>
    <row r="20" spans="2:8" x14ac:dyDescent="0.3">
      <c r="B20">
        <v>1</v>
      </c>
      <c r="C20" s="19" t="s">
        <v>107</v>
      </c>
      <c r="D20" s="19" t="s">
        <v>110</v>
      </c>
      <c r="E20">
        <v>1</v>
      </c>
    </row>
    <row r="21" spans="2:8" x14ac:dyDescent="0.3">
      <c r="B21">
        <v>2</v>
      </c>
      <c r="C21" s="19" t="s">
        <v>107</v>
      </c>
      <c r="D21" s="19" t="s">
        <v>111</v>
      </c>
      <c r="E21">
        <v>1</v>
      </c>
    </row>
    <row r="22" spans="2:8" x14ac:dyDescent="0.3">
      <c r="B22">
        <v>3</v>
      </c>
      <c r="C22" s="19" t="s">
        <v>107</v>
      </c>
      <c r="D22" s="19" t="s">
        <v>112</v>
      </c>
      <c r="E22">
        <v>0</v>
      </c>
    </row>
    <row r="23" spans="2:8" x14ac:dyDescent="0.3">
      <c r="B23">
        <v>4</v>
      </c>
      <c r="C23" s="19" t="s">
        <v>107</v>
      </c>
      <c r="D23" s="19" t="s">
        <v>49</v>
      </c>
      <c r="E23">
        <v>2</v>
      </c>
    </row>
    <row r="24" spans="2:8" x14ac:dyDescent="0.3">
      <c r="B24">
        <v>5</v>
      </c>
      <c r="C24" s="19" t="s">
        <v>107</v>
      </c>
      <c r="D24" s="19" t="s">
        <v>113</v>
      </c>
      <c r="E24">
        <v>0</v>
      </c>
    </row>
    <row r="25" spans="2:8" x14ac:dyDescent="0.3">
      <c r="C25" s="19"/>
      <c r="D25" s="19"/>
    </row>
    <row r="26" spans="2:8" x14ac:dyDescent="0.3">
      <c r="B26">
        <v>1</v>
      </c>
      <c r="C26" s="19" t="s">
        <v>110</v>
      </c>
      <c r="D26" s="19" t="s">
        <v>111</v>
      </c>
      <c r="E26">
        <v>1</v>
      </c>
    </row>
    <row r="27" spans="2:8" x14ac:dyDescent="0.3">
      <c r="B27">
        <v>2</v>
      </c>
      <c r="C27" s="19" t="s">
        <v>110</v>
      </c>
      <c r="D27" s="19" t="s">
        <v>112</v>
      </c>
      <c r="E27">
        <v>0</v>
      </c>
    </row>
    <row r="28" spans="2:8" x14ac:dyDescent="0.3">
      <c r="B28">
        <v>3</v>
      </c>
      <c r="C28" s="19" t="s">
        <v>110</v>
      </c>
      <c r="D28" s="19" t="s">
        <v>49</v>
      </c>
      <c r="E28">
        <v>2</v>
      </c>
    </row>
    <row r="29" spans="2:8" x14ac:dyDescent="0.3">
      <c r="B29">
        <v>4</v>
      </c>
      <c r="C29" s="19" t="s">
        <v>110</v>
      </c>
      <c r="D29" s="19" t="s">
        <v>113</v>
      </c>
      <c r="E29">
        <v>1</v>
      </c>
    </row>
    <row r="30" spans="2:8" x14ac:dyDescent="0.3">
      <c r="B30">
        <v>1</v>
      </c>
      <c r="C30" s="19" t="s">
        <v>111</v>
      </c>
      <c r="D30" s="19" t="s">
        <v>112</v>
      </c>
      <c r="E30">
        <v>2</v>
      </c>
    </row>
    <row r="31" spans="2:8" x14ac:dyDescent="0.3">
      <c r="B31">
        <v>2</v>
      </c>
      <c r="C31" s="19" t="s">
        <v>111</v>
      </c>
      <c r="D31" s="19" t="s">
        <v>49</v>
      </c>
      <c r="E31">
        <v>3</v>
      </c>
    </row>
    <row r="32" spans="2:8" x14ac:dyDescent="0.3">
      <c r="B32">
        <v>3</v>
      </c>
      <c r="C32" s="19" t="s">
        <v>111</v>
      </c>
      <c r="D32" s="19" t="s">
        <v>113</v>
      </c>
      <c r="E32">
        <v>0</v>
      </c>
    </row>
    <row r="33" spans="2:5" x14ac:dyDescent="0.3">
      <c r="B33">
        <v>1</v>
      </c>
      <c r="C33" s="19" t="s">
        <v>112</v>
      </c>
      <c r="D33" s="19" t="s">
        <v>49</v>
      </c>
      <c r="E33">
        <v>3</v>
      </c>
    </row>
    <row r="34" spans="2:5" x14ac:dyDescent="0.3">
      <c r="B34">
        <v>2</v>
      </c>
      <c r="C34" s="19" t="s">
        <v>112</v>
      </c>
      <c r="D34" s="19" t="s">
        <v>113</v>
      </c>
      <c r="E34">
        <v>0</v>
      </c>
    </row>
    <row r="35" spans="2:5" x14ac:dyDescent="0.3">
      <c r="C35" s="19" t="s">
        <v>49</v>
      </c>
      <c r="D35" s="19" t="s">
        <v>113</v>
      </c>
      <c r="E35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B484-8113-4F2E-ACF7-5EF946B79D54}">
  <dimension ref="C2:I49"/>
  <sheetViews>
    <sheetView workbookViewId="0">
      <selection activeCell="K42" sqref="K42"/>
    </sheetView>
  </sheetViews>
  <sheetFormatPr baseColWidth="10" defaultRowHeight="14.4" x14ac:dyDescent="0.3"/>
  <cols>
    <col min="4" max="4" width="15.33203125" customWidth="1"/>
    <col min="5" max="5" width="15.6640625" customWidth="1"/>
  </cols>
  <sheetData>
    <row r="2" spans="3:9" x14ac:dyDescent="0.3">
      <c r="D2" t="s">
        <v>188</v>
      </c>
    </row>
    <row r="3" spans="3:9" x14ac:dyDescent="0.3">
      <c r="D3" t="s">
        <v>116</v>
      </c>
      <c r="E3" t="s">
        <v>117</v>
      </c>
    </row>
    <row r="5" spans="3:9" x14ac:dyDescent="0.3">
      <c r="D5" t="s">
        <v>116</v>
      </c>
      <c r="E5" t="s">
        <v>117</v>
      </c>
    </row>
    <row r="6" spans="3:9" x14ac:dyDescent="0.3">
      <c r="F6" t="s">
        <v>108</v>
      </c>
      <c r="G6" t="s">
        <v>186</v>
      </c>
      <c r="H6" t="s">
        <v>187</v>
      </c>
      <c r="I6" t="s">
        <v>190</v>
      </c>
    </row>
    <row r="7" spans="3:9" x14ac:dyDescent="0.3">
      <c r="C7">
        <v>1</v>
      </c>
      <c r="D7" s="19" t="s">
        <v>51</v>
      </c>
      <c r="E7" s="19" t="s">
        <v>107</v>
      </c>
      <c r="F7">
        <v>4</v>
      </c>
      <c r="G7">
        <f>'oum-all'!B7</f>
        <v>0</v>
      </c>
      <c r="H7">
        <f>'oum-all'!E7</f>
        <v>3</v>
      </c>
      <c r="I7">
        <f>G7+H7</f>
        <v>3</v>
      </c>
    </row>
    <row r="8" spans="3:9" x14ac:dyDescent="0.3">
      <c r="C8">
        <v>2</v>
      </c>
      <c r="D8" s="19" t="s">
        <v>51</v>
      </c>
      <c r="E8" s="19" t="s">
        <v>111</v>
      </c>
      <c r="F8">
        <v>4</v>
      </c>
      <c r="G8">
        <f>'oum-all'!B32</f>
        <v>1</v>
      </c>
      <c r="H8">
        <f>'oum-all'!E32</f>
        <v>3</v>
      </c>
      <c r="I8">
        <f t="shared" ref="I8:I11" si="0">G8+H8</f>
        <v>4</v>
      </c>
    </row>
    <row r="9" spans="3:9" x14ac:dyDescent="0.3">
      <c r="C9">
        <v>3</v>
      </c>
      <c r="D9" s="19" t="s">
        <v>51</v>
      </c>
      <c r="E9" s="19" t="s">
        <v>112</v>
      </c>
      <c r="F9">
        <v>3</v>
      </c>
      <c r="G9">
        <f>'oum-all'!B14</f>
        <v>2</v>
      </c>
      <c r="H9">
        <f>'oum-all'!E14</f>
        <v>1</v>
      </c>
      <c r="I9">
        <f t="shared" si="0"/>
        <v>3</v>
      </c>
    </row>
    <row r="10" spans="3:9" x14ac:dyDescent="0.3">
      <c r="C10">
        <v>4</v>
      </c>
      <c r="D10" s="19" t="s">
        <v>51</v>
      </c>
      <c r="E10" s="19" t="s">
        <v>49</v>
      </c>
      <c r="F10">
        <v>10</v>
      </c>
      <c r="G10">
        <f>'oum-all'!B45</f>
        <v>2</v>
      </c>
      <c r="H10">
        <f>'oum-all'!E45</f>
        <v>8</v>
      </c>
      <c r="I10">
        <f t="shared" si="0"/>
        <v>10</v>
      </c>
    </row>
    <row r="11" spans="3:9" x14ac:dyDescent="0.3">
      <c r="C11">
        <v>5</v>
      </c>
      <c r="D11" s="19" t="s">
        <v>51</v>
      </c>
      <c r="E11" s="19" t="s">
        <v>113</v>
      </c>
      <c r="F11">
        <v>9</v>
      </c>
      <c r="G11">
        <f>'oum-all'!B25</f>
        <v>2</v>
      </c>
      <c r="H11">
        <f>'oum-all'!E25</f>
        <v>7</v>
      </c>
      <c r="I11">
        <f t="shared" si="0"/>
        <v>9</v>
      </c>
    </row>
    <row r="12" spans="3:9" x14ac:dyDescent="0.3">
      <c r="D12" s="19"/>
      <c r="E12" s="19"/>
      <c r="G12" t="s">
        <v>108</v>
      </c>
      <c r="H12" s="19">
        <f>SUM(H7:H11)</f>
        <v>22</v>
      </c>
    </row>
    <row r="13" spans="3:9" x14ac:dyDescent="0.3">
      <c r="D13" s="19"/>
      <c r="E13" s="19"/>
      <c r="G13" t="s">
        <v>208</v>
      </c>
      <c r="H13" s="19">
        <f>H12/5</f>
        <v>4.4000000000000004</v>
      </c>
    </row>
    <row r="14" spans="3:9" x14ac:dyDescent="0.3">
      <c r="D14" s="19" t="s">
        <v>151</v>
      </c>
      <c r="E14" s="19" t="s">
        <v>110</v>
      </c>
      <c r="F14">
        <v>1</v>
      </c>
      <c r="G14">
        <v>1</v>
      </c>
      <c r="H14">
        <v>0</v>
      </c>
      <c r="I14">
        <v>1</v>
      </c>
    </row>
    <row r="15" spans="3:9" x14ac:dyDescent="0.3">
      <c r="D15" s="19" t="s">
        <v>151</v>
      </c>
      <c r="E15" s="19" t="s">
        <v>113</v>
      </c>
      <c r="F15">
        <v>1</v>
      </c>
      <c r="G15">
        <v>1</v>
      </c>
      <c r="H15">
        <v>0</v>
      </c>
      <c r="I15">
        <v>1</v>
      </c>
    </row>
    <row r="16" spans="3:9" x14ac:dyDescent="0.3">
      <c r="D16" s="19"/>
      <c r="E16" s="19"/>
    </row>
    <row r="17" spans="4:6" x14ac:dyDescent="0.3">
      <c r="D17" s="19" t="s">
        <v>107</v>
      </c>
      <c r="E17" s="19" t="s">
        <v>110</v>
      </c>
      <c r="F17">
        <v>1</v>
      </c>
    </row>
    <row r="18" spans="4:6" x14ac:dyDescent="0.3">
      <c r="D18" s="19" t="s">
        <v>107</v>
      </c>
      <c r="E18" s="19" t="s">
        <v>111</v>
      </c>
      <c r="F18">
        <v>1</v>
      </c>
    </row>
    <row r="19" spans="4:6" x14ac:dyDescent="0.3">
      <c r="D19" s="19" t="s">
        <v>107</v>
      </c>
      <c r="E19" s="19" t="s">
        <v>51</v>
      </c>
      <c r="F19">
        <v>3</v>
      </c>
    </row>
    <row r="20" spans="4:6" x14ac:dyDescent="0.3">
      <c r="D20" s="19" t="s">
        <v>107</v>
      </c>
      <c r="E20" s="19" t="s">
        <v>49</v>
      </c>
      <c r="F20">
        <v>2</v>
      </c>
    </row>
    <row r="21" spans="4:6" x14ac:dyDescent="0.3">
      <c r="D21" s="19"/>
      <c r="E21" s="19" t="s">
        <v>108</v>
      </c>
      <c r="F21" s="19">
        <f>SUM(F17:F20)</f>
        <v>7</v>
      </c>
    </row>
    <row r="22" spans="4:6" x14ac:dyDescent="0.3">
      <c r="D22" s="19"/>
      <c r="E22" s="19" t="s">
        <v>208</v>
      </c>
      <c r="F22" s="19">
        <f>F21/4</f>
        <v>1.75</v>
      </c>
    </row>
    <row r="23" spans="4:6" x14ac:dyDescent="0.3">
      <c r="D23" s="19"/>
      <c r="E23" s="19"/>
    </row>
    <row r="24" spans="4:6" x14ac:dyDescent="0.3">
      <c r="D24" s="19" t="s">
        <v>110</v>
      </c>
      <c r="E24" s="19" t="s">
        <v>111</v>
      </c>
      <c r="F24">
        <v>1</v>
      </c>
    </row>
    <row r="25" spans="4:6" x14ac:dyDescent="0.3">
      <c r="D25" s="19" t="s">
        <v>110</v>
      </c>
      <c r="E25" s="19" t="s">
        <v>49</v>
      </c>
      <c r="F25">
        <v>1</v>
      </c>
    </row>
    <row r="26" spans="4:6" x14ac:dyDescent="0.3">
      <c r="D26" s="19" t="s">
        <v>110</v>
      </c>
      <c r="E26" s="19" t="s">
        <v>113</v>
      </c>
      <c r="F26">
        <v>1</v>
      </c>
    </row>
    <row r="27" spans="4:6" x14ac:dyDescent="0.3">
      <c r="D27" s="19"/>
      <c r="E27" s="19" t="s">
        <v>108</v>
      </c>
      <c r="F27" s="19">
        <f>SUM(F24:F26)</f>
        <v>3</v>
      </c>
    </row>
    <row r="28" spans="4:6" x14ac:dyDescent="0.3">
      <c r="D28" s="19"/>
      <c r="E28" s="19" t="s">
        <v>208</v>
      </c>
      <c r="F28" s="19">
        <f>4/3</f>
        <v>1.3333333333333333</v>
      </c>
    </row>
    <row r="29" spans="4:6" x14ac:dyDescent="0.3">
      <c r="D29" s="19"/>
      <c r="E29" s="19"/>
    </row>
    <row r="30" spans="4:6" x14ac:dyDescent="0.3">
      <c r="D30" s="19" t="s">
        <v>111</v>
      </c>
      <c r="E30" s="19" t="s">
        <v>112</v>
      </c>
      <c r="F30">
        <v>2</v>
      </c>
    </row>
    <row r="31" spans="4:6" x14ac:dyDescent="0.3">
      <c r="D31" s="19" t="s">
        <v>111</v>
      </c>
      <c r="E31" s="19" t="s">
        <v>110</v>
      </c>
      <c r="F31">
        <v>1</v>
      </c>
    </row>
    <row r="32" spans="4:6" x14ac:dyDescent="0.3">
      <c r="D32" s="19" t="s">
        <v>111</v>
      </c>
      <c r="E32" s="19" t="s">
        <v>23</v>
      </c>
      <c r="F32">
        <v>1</v>
      </c>
    </row>
    <row r="33" spans="4:6" x14ac:dyDescent="0.3">
      <c r="D33" s="19" t="s">
        <v>111</v>
      </c>
      <c r="E33" s="19" t="s">
        <v>51</v>
      </c>
      <c r="F33">
        <v>2</v>
      </c>
    </row>
    <row r="34" spans="4:6" x14ac:dyDescent="0.3">
      <c r="D34" s="19" t="s">
        <v>111</v>
      </c>
      <c r="E34" s="19" t="s">
        <v>49</v>
      </c>
      <c r="F34">
        <v>3</v>
      </c>
    </row>
    <row r="35" spans="4:6" x14ac:dyDescent="0.3">
      <c r="D35" s="19"/>
      <c r="E35" s="19" t="s">
        <v>108</v>
      </c>
      <c r="F35">
        <f>SUM(F30:F34)</f>
        <v>9</v>
      </c>
    </row>
    <row r="36" spans="4:6" x14ac:dyDescent="0.3">
      <c r="D36" s="19"/>
      <c r="E36" s="19" t="s">
        <v>208</v>
      </c>
      <c r="F36">
        <f>F35/5</f>
        <v>1.8</v>
      </c>
    </row>
    <row r="37" spans="4:6" x14ac:dyDescent="0.3">
      <c r="D37" s="19"/>
      <c r="E37" s="19"/>
    </row>
    <row r="38" spans="4:6" x14ac:dyDescent="0.3">
      <c r="D38" s="19" t="s">
        <v>112</v>
      </c>
      <c r="E38" s="19" t="s">
        <v>49</v>
      </c>
      <c r="F38" s="19">
        <v>3</v>
      </c>
    </row>
    <row r="39" spans="4:6" x14ac:dyDescent="0.3">
      <c r="D39" s="19" t="s">
        <v>112</v>
      </c>
      <c r="E39" s="19" t="s">
        <v>51</v>
      </c>
      <c r="F39">
        <v>1</v>
      </c>
    </row>
    <row r="40" spans="4:6" x14ac:dyDescent="0.3">
      <c r="D40" s="19" t="s">
        <v>112</v>
      </c>
      <c r="E40" s="19" t="s">
        <v>111</v>
      </c>
      <c r="F40">
        <v>2</v>
      </c>
    </row>
    <row r="41" spans="4:6" x14ac:dyDescent="0.3">
      <c r="E41" s="19" t="s">
        <v>108</v>
      </c>
      <c r="F41">
        <f>SUM(F38:F40)</f>
        <v>6</v>
      </c>
    </row>
    <row r="42" spans="4:6" x14ac:dyDescent="0.3">
      <c r="E42" s="19" t="s">
        <v>208</v>
      </c>
      <c r="F42">
        <f>F41/3</f>
        <v>2</v>
      </c>
    </row>
    <row r="44" spans="4:6" x14ac:dyDescent="0.3">
      <c r="D44" t="str">
        <f>E10</f>
        <v>qudt</v>
      </c>
      <c r="E44" t="str">
        <f>D10</f>
        <v>oum</v>
      </c>
      <c r="F44">
        <f>H10</f>
        <v>8</v>
      </c>
    </row>
    <row r="45" spans="4:6" x14ac:dyDescent="0.3">
      <c r="D45" t="s">
        <v>49</v>
      </c>
      <c r="E45" t="str">
        <f>D20</f>
        <v>good relations</v>
      </c>
      <c r="F45">
        <f>F20</f>
        <v>2</v>
      </c>
    </row>
    <row r="46" spans="4:6" x14ac:dyDescent="0.3">
      <c r="D46" t="s">
        <v>49</v>
      </c>
      <c r="E46" t="str">
        <f>D25</f>
        <v>pronto</v>
      </c>
      <c r="F46">
        <f>F25</f>
        <v>1</v>
      </c>
    </row>
    <row r="47" spans="4:6" x14ac:dyDescent="0.3">
      <c r="D47" t="s">
        <v>49</v>
      </c>
      <c r="E47" t="str">
        <f>D34</f>
        <v>sweet</v>
      </c>
      <c r="F47">
        <f>F34</f>
        <v>3</v>
      </c>
    </row>
    <row r="48" spans="4:6" x14ac:dyDescent="0.3">
      <c r="D48" t="s">
        <v>49</v>
      </c>
      <c r="E48" t="str">
        <f>D38</f>
        <v>ucum</v>
      </c>
      <c r="F48">
        <f>F38</f>
        <v>3</v>
      </c>
    </row>
    <row r="49" spans="5:6" x14ac:dyDescent="0.3">
      <c r="E49" t="s">
        <v>108</v>
      </c>
      <c r="F49">
        <f>SUM(F44:F48)/5</f>
        <v>3.4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52F4-FD8E-4249-8EF9-1F4B34A9BE8E}">
  <dimension ref="A2:Z106"/>
  <sheetViews>
    <sheetView topLeftCell="A67" zoomScale="80" zoomScaleNormal="80" workbookViewId="0">
      <selection activeCell="B22" sqref="B22"/>
    </sheetView>
  </sheetViews>
  <sheetFormatPr baseColWidth="10" defaultRowHeight="14.4" x14ac:dyDescent="0.3"/>
  <cols>
    <col min="1" max="1" width="14.77734375" customWidth="1"/>
    <col min="2" max="2" width="18.33203125" customWidth="1"/>
    <col min="3" max="3" width="15.88671875" customWidth="1"/>
    <col min="10" max="12" width="15.21875" customWidth="1"/>
    <col min="13" max="13" width="17.5546875" customWidth="1"/>
    <col min="15" max="15" width="8.5546875" customWidth="1"/>
    <col min="16" max="17" width="15.33203125" customWidth="1"/>
    <col min="18" max="18" width="12.88671875" customWidth="1"/>
    <col min="19" max="19" width="15.44140625" customWidth="1"/>
    <col min="20" max="20" width="11.44140625" customWidth="1"/>
    <col min="21" max="21" width="7.77734375" customWidth="1"/>
    <col min="22" max="22" width="6.77734375" customWidth="1"/>
    <col min="23" max="23" width="7.21875" customWidth="1"/>
    <col min="24" max="24" width="15.77734375" customWidth="1"/>
    <col min="25" max="25" width="14.44140625" customWidth="1"/>
  </cols>
  <sheetData>
    <row r="2" spans="1:26" x14ac:dyDescent="0.3">
      <c r="B2" t="s">
        <v>219</v>
      </c>
      <c r="C2" t="s">
        <v>81</v>
      </c>
      <c r="D2" s="39" t="s">
        <v>220</v>
      </c>
      <c r="E2" s="39" t="s">
        <v>76</v>
      </c>
      <c r="F2" s="39" t="s">
        <v>75</v>
      </c>
      <c r="G2" s="39" t="s">
        <v>78</v>
      </c>
      <c r="H2" s="39" t="s">
        <v>49</v>
      </c>
      <c r="I2" s="39" t="s">
        <v>113</v>
      </c>
      <c r="J2" t="s">
        <v>238</v>
      </c>
      <c r="K2" t="s">
        <v>231</v>
      </c>
      <c r="O2" t="s">
        <v>81</v>
      </c>
      <c r="R2" t="s">
        <v>220</v>
      </c>
      <c r="S2" t="s">
        <v>76</v>
      </c>
      <c r="T2" t="s">
        <v>75</v>
      </c>
      <c r="U2" t="s">
        <v>78</v>
      </c>
      <c r="V2" t="s">
        <v>49</v>
      </c>
      <c r="W2" t="s">
        <v>113</v>
      </c>
      <c r="X2" t="s">
        <v>246</v>
      </c>
      <c r="Y2" t="s">
        <v>247</v>
      </c>
    </row>
    <row r="3" spans="1:26" x14ac:dyDescent="0.3">
      <c r="C3" s="27"/>
      <c r="D3" s="27"/>
      <c r="E3" s="27"/>
      <c r="F3" s="41"/>
      <c r="G3" s="41"/>
      <c r="H3" s="41"/>
      <c r="I3" s="27"/>
      <c r="J3" s="27"/>
      <c r="O3">
        <v>804</v>
      </c>
      <c r="R3">
        <v>38</v>
      </c>
      <c r="S3">
        <f>'pronto-all'!E3</f>
        <v>2</v>
      </c>
      <c r="T3">
        <v>7</v>
      </c>
      <c r="U3">
        <v>31</v>
      </c>
      <c r="V3">
        <v>140</v>
      </c>
      <c r="W3">
        <f>'pronto-all'!F3</f>
        <v>49</v>
      </c>
    </row>
    <row r="5" spans="1:26" x14ac:dyDescent="0.3">
      <c r="O5" t="s">
        <v>81</v>
      </c>
      <c r="R5" s="19" t="s">
        <v>220</v>
      </c>
      <c r="S5" s="19" t="s">
        <v>76</v>
      </c>
      <c r="T5" t="s">
        <v>75</v>
      </c>
      <c r="U5" s="19" t="s">
        <v>78</v>
      </c>
      <c r="V5" t="s">
        <v>49</v>
      </c>
      <c r="W5" t="s">
        <v>113</v>
      </c>
      <c r="Z5" s="19" t="s">
        <v>245</v>
      </c>
    </row>
    <row r="6" spans="1:26" x14ac:dyDescent="0.3">
      <c r="B6" s="19" t="s">
        <v>147</v>
      </c>
      <c r="C6" s="42"/>
      <c r="D6" s="42"/>
      <c r="E6" s="42">
        <v>1</v>
      </c>
      <c r="F6" s="42"/>
      <c r="G6" s="42"/>
      <c r="H6" s="42"/>
      <c r="I6" s="42">
        <v>1</v>
      </c>
      <c r="J6" s="42"/>
      <c r="K6" s="42" t="s">
        <v>147</v>
      </c>
      <c r="L6" s="42"/>
      <c r="M6" s="42"/>
      <c r="N6" t="s">
        <v>241</v>
      </c>
      <c r="S6">
        <v>0</v>
      </c>
      <c r="W6">
        <v>0</v>
      </c>
      <c r="X6">
        <f>(SUM(C6:J6)/7)*100</f>
        <v>28.571428571428569</v>
      </c>
      <c r="Z6" s="19">
        <f>O6+R6+S6+T6+U6+V6+W6</f>
        <v>0</v>
      </c>
    </row>
    <row r="7" spans="1:26" x14ac:dyDescent="0.3">
      <c r="B7" s="19" t="s">
        <v>2</v>
      </c>
      <c r="C7" s="22"/>
      <c r="D7" s="22">
        <v>1</v>
      </c>
      <c r="E7" s="22">
        <v>1</v>
      </c>
      <c r="F7" s="22">
        <v>1</v>
      </c>
      <c r="G7" s="22"/>
      <c r="H7" s="22"/>
      <c r="I7" s="22"/>
      <c r="J7" s="22"/>
      <c r="K7" s="22" t="s">
        <v>2</v>
      </c>
      <c r="L7" s="22"/>
      <c r="M7" s="22"/>
      <c r="N7" t="s">
        <v>241</v>
      </c>
      <c r="R7">
        <f>0/3</f>
        <v>0</v>
      </c>
      <c r="S7">
        <f>0/2</f>
        <v>0</v>
      </c>
      <c r="Z7" s="19">
        <f t="shared" ref="Z7:Z13" si="0">O7+R7+S7+T7+U7+V7+W7</f>
        <v>0</v>
      </c>
    </row>
    <row r="8" spans="1:26" x14ac:dyDescent="0.3">
      <c r="A8" t="s">
        <v>225</v>
      </c>
      <c r="B8" s="19" t="s">
        <v>224</v>
      </c>
      <c r="C8" s="22"/>
      <c r="D8" s="22"/>
      <c r="E8" s="22">
        <v>1</v>
      </c>
      <c r="F8" s="22"/>
      <c r="G8" s="22"/>
      <c r="H8" s="22">
        <v>1</v>
      </c>
      <c r="I8" s="22"/>
      <c r="J8" s="22"/>
      <c r="K8" s="22" t="s">
        <v>224</v>
      </c>
      <c r="L8" s="22"/>
      <c r="M8" s="22"/>
      <c r="N8" t="s">
        <v>241</v>
      </c>
      <c r="S8">
        <f>0/2</f>
        <v>0</v>
      </c>
      <c r="V8">
        <v>0</v>
      </c>
      <c r="Z8" s="19">
        <f t="shared" si="0"/>
        <v>0</v>
      </c>
    </row>
    <row r="9" spans="1:26" x14ac:dyDescent="0.3">
      <c r="A9" t="s">
        <v>243</v>
      </c>
      <c r="B9" s="22" t="s">
        <v>153</v>
      </c>
      <c r="C9" s="22">
        <v>3</v>
      </c>
      <c r="D9" s="22"/>
      <c r="E9" s="22"/>
      <c r="F9" s="22">
        <v>2</v>
      </c>
      <c r="G9" s="22">
        <v>4</v>
      </c>
      <c r="H9" s="40">
        <v>6</v>
      </c>
      <c r="I9" s="22"/>
      <c r="J9" s="22"/>
      <c r="K9" s="22" t="s">
        <v>153</v>
      </c>
      <c r="L9" s="22"/>
      <c r="M9" s="22"/>
      <c r="O9">
        <f>2/227</f>
        <v>8.8105726872246704E-3</v>
      </c>
      <c r="T9">
        <f>2/7</f>
        <v>0.2857142857142857</v>
      </c>
      <c r="U9">
        <f>3/6</f>
        <v>0.5</v>
      </c>
      <c r="V9">
        <f>5/24</f>
        <v>0.20833333333333334</v>
      </c>
      <c r="Z9" s="19">
        <f>(O9+R9+S9+T9+U9+V9+W9)*100/4</f>
        <v>25.071454793371089</v>
      </c>
    </row>
    <row r="10" spans="1:26" x14ac:dyDescent="0.3">
      <c r="A10" t="s">
        <v>228</v>
      </c>
      <c r="B10" t="s">
        <v>119</v>
      </c>
      <c r="C10" s="22">
        <v>1</v>
      </c>
      <c r="D10" s="22">
        <v>1</v>
      </c>
      <c r="E10" s="22"/>
      <c r="F10" s="22"/>
      <c r="G10" s="22"/>
      <c r="H10" s="22"/>
      <c r="I10" s="22"/>
      <c r="J10" s="22"/>
      <c r="K10" s="22" t="s">
        <v>242</v>
      </c>
      <c r="L10" s="22"/>
      <c r="M10" s="22"/>
      <c r="O10">
        <v>0</v>
      </c>
      <c r="R10">
        <f>0/3</f>
        <v>0</v>
      </c>
      <c r="Z10" s="19">
        <f t="shared" si="0"/>
        <v>0</v>
      </c>
    </row>
    <row r="11" spans="1:26" x14ac:dyDescent="0.3">
      <c r="A11" t="s">
        <v>155</v>
      </c>
      <c r="B11" s="35" t="s">
        <v>154</v>
      </c>
      <c r="C11" s="22">
        <v>1</v>
      </c>
      <c r="D11" s="22"/>
      <c r="E11" s="22"/>
      <c r="F11" s="22">
        <v>1</v>
      </c>
      <c r="G11" s="22"/>
      <c r="H11" s="22"/>
      <c r="I11" s="22"/>
      <c r="J11" s="22"/>
      <c r="K11" s="22" t="s">
        <v>154</v>
      </c>
      <c r="L11" s="22"/>
      <c r="M11" s="22"/>
      <c r="O11">
        <v>0</v>
      </c>
      <c r="T11">
        <v>0</v>
      </c>
      <c r="Z11" s="19">
        <f t="shared" si="0"/>
        <v>0</v>
      </c>
    </row>
    <row r="12" spans="1:26" x14ac:dyDescent="0.3">
      <c r="B12" s="35" t="s">
        <v>232</v>
      </c>
      <c r="C12" s="22">
        <v>3</v>
      </c>
      <c r="D12" s="22"/>
      <c r="E12" s="22"/>
      <c r="F12" s="22"/>
      <c r="G12" s="22"/>
      <c r="H12" s="22">
        <v>1</v>
      </c>
      <c r="I12" s="22"/>
      <c r="J12" s="22"/>
      <c r="K12" s="22" t="s">
        <v>232</v>
      </c>
      <c r="L12" s="22"/>
      <c r="M12" s="22"/>
      <c r="O12">
        <f>3/551</f>
        <v>5.4446460980036296E-3</v>
      </c>
      <c r="V12">
        <f>0/1</f>
        <v>0</v>
      </c>
      <c r="Z12" s="19">
        <f>(O12+R12+S12+T12+U12+V12+W12)*100/4</f>
        <v>0.13611615245009073</v>
      </c>
    </row>
    <row r="13" spans="1:26" x14ac:dyDescent="0.3">
      <c r="B13" s="35" t="s">
        <v>237</v>
      </c>
      <c r="C13" s="22">
        <v>13</v>
      </c>
      <c r="D13" s="22"/>
      <c r="E13" s="22"/>
      <c r="F13" s="22"/>
      <c r="G13" s="22"/>
      <c r="H13" s="22">
        <v>1</v>
      </c>
      <c r="I13" s="22"/>
      <c r="J13" s="22"/>
      <c r="K13" s="22" t="s">
        <v>237</v>
      </c>
      <c r="L13" s="22"/>
      <c r="M13" s="22"/>
      <c r="O13">
        <f>0/13</f>
        <v>0</v>
      </c>
      <c r="V13">
        <f>0/5</f>
        <v>0</v>
      </c>
      <c r="Z13" s="19">
        <f t="shared" si="0"/>
        <v>0</v>
      </c>
    </row>
    <row r="14" spans="1:26" x14ac:dyDescent="0.3">
      <c r="B14" s="35"/>
    </row>
    <row r="15" spans="1:26" x14ac:dyDescent="0.3">
      <c r="B15" s="36" t="s">
        <v>230</v>
      </c>
    </row>
    <row r="16" spans="1:26" x14ac:dyDescent="0.3">
      <c r="B16" s="22" t="s">
        <v>231</v>
      </c>
    </row>
    <row r="17" spans="1:26" x14ac:dyDescent="0.3">
      <c r="O17" t="str">
        <f>O2</f>
        <v>OUM</v>
      </c>
      <c r="R17" t="str">
        <f t="shared" ref="R17:W17" si="1">R2</f>
        <v>GR</v>
      </c>
      <c r="S17" t="str">
        <f t="shared" si="1"/>
        <v>PRONTO</v>
      </c>
      <c r="T17" t="str">
        <f t="shared" si="1"/>
        <v>SWEET</v>
      </c>
      <c r="U17" t="str">
        <f t="shared" si="1"/>
        <v>UCUM</v>
      </c>
      <c r="V17" t="str">
        <f t="shared" si="1"/>
        <v>qudt</v>
      </c>
      <c r="W17" t="str">
        <f t="shared" si="1"/>
        <v>deb</v>
      </c>
    </row>
    <row r="18" spans="1:26" x14ac:dyDescent="0.3">
      <c r="B18" t="s">
        <v>219</v>
      </c>
      <c r="C18" t="s">
        <v>81</v>
      </c>
      <c r="D18" s="39" t="s">
        <v>220</v>
      </c>
      <c r="E18" s="39" t="s">
        <v>76</v>
      </c>
      <c r="F18" s="39" t="s">
        <v>75</v>
      </c>
      <c r="G18" s="39" t="s">
        <v>78</v>
      </c>
      <c r="H18" s="39" t="s">
        <v>49</v>
      </c>
      <c r="I18" s="39" t="s">
        <v>113</v>
      </c>
      <c r="J18" t="s">
        <v>238</v>
      </c>
      <c r="O18" s="19">
        <f>O3</f>
        <v>804</v>
      </c>
      <c r="P18" s="19"/>
      <c r="Q18" s="19"/>
      <c r="R18" s="19">
        <f t="shared" ref="R18:W18" si="2">R3</f>
        <v>38</v>
      </c>
      <c r="S18" s="19">
        <f t="shared" si="2"/>
        <v>2</v>
      </c>
      <c r="T18" s="19">
        <f t="shared" si="2"/>
        <v>7</v>
      </c>
      <c r="U18" s="19">
        <f t="shared" si="2"/>
        <v>31</v>
      </c>
      <c r="V18" s="19">
        <f t="shared" si="2"/>
        <v>140</v>
      </c>
      <c r="W18" s="19">
        <f t="shared" si="2"/>
        <v>49</v>
      </c>
    </row>
    <row r="19" spans="1:26" x14ac:dyDescent="0.3">
      <c r="B19" t="s">
        <v>182</v>
      </c>
      <c r="C19" s="27"/>
      <c r="D19" s="27"/>
      <c r="E19" s="27"/>
      <c r="F19" s="41">
        <v>1</v>
      </c>
      <c r="G19" s="41">
        <v>1</v>
      </c>
      <c r="H19" s="41">
        <v>1</v>
      </c>
      <c r="I19" s="27"/>
      <c r="J19" s="27" t="s">
        <v>182</v>
      </c>
      <c r="O19">
        <f>C19</f>
        <v>0</v>
      </c>
      <c r="R19">
        <f t="shared" ref="R19:W19" si="3">D19</f>
        <v>0</v>
      </c>
      <c r="S19">
        <f t="shared" si="3"/>
        <v>0</v>
      </c>
      <c r="T19">
        <f t="shared" si="3"/>
        <v>1</v>
      </c>
      <c r="U19">
        <f t="shared" si="3"/>
        <v>1</v>
      </c>
      <c r="V19">
        <f t="shared" si="3"/>
        <v>1</v>
      </c>
      <c r="W19">
        <f t="shared" si="3"/>
        <v>0</v>
      </c>
    </row>
    <row r="20" spans="1:26" x14ac:dyDescent="0.3">
      <c r="A20" t="s">
        <v>222</v>
      </c>
      <c r="B20" t="str">
        <f>'ucum-all'!B3</f>
        <v xml:space="preserve">SI Unit </v>
      </c>
      <c r="C20" s="27"/>
      <c r="D20" s="27"/>
      <c r="E20" s="27"/>
      <c r="F20" s="27"/>
      <c r="G20" s="41">
        <v>1</v>
      </c>
      <c r="H20" s="41">
        <v>1</v>
      </c>
      <c r="I20" s="27"/>
      <c r="J20" s="27" t="s">
        <v>239</v>
      </c>
      <c r="O20">
        <f t="shared" ref="O20:O36" si="4">C20</f>
        <v>0</v>
      </c>
      <c r="R20">
        <f t="shared" ref="R20:R36" si="5">D20</f>
        <v>0</v>
      </c>
      <c r="S20">
        <f t="shared" ref="S20:S36" si="6">E20</f>
        <v>0</v>
      </c>
      <c r="T20">
        <f t="shared" ref="T20:T36" si="7">F20</f>
        <v>0</v>
      </c>
      <c r="U20">
        <f t="shared" ref="U20:U36" si="8">G20</f>
        <v>1</v>
      </c>
      <c r="V20">
        <f t="shared" ref="V20:V36" si="9">H20</f>
        <v>1</v>
      </c>
      <c r="W20">
        <f t="shared" ref="W20:W36" si="10">I20</f>
        <v>0</v>
      </c>
    </row>
    <row r="21" spans="1:26" x14ac:dyDescent="0.3">
      <c r="A21" t="s">
        <v>223</v>
      </c>
      <c r="B21" t="str">
        <f>'ucum-all'!B4</f>
        <v xml:space="preserve">CGS Unit </v>
      </c>
      <c r="G21" s="41">
        <v>1</v>
      </c>
      <c r="H21" s="41">
        <v>0</v>
      </c>
      <c r="I21" s="27"/>
      <c r="J21" s="27" t="s">
        <v>240</v>
      </c>
      <c r="O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1</v>
      </c>
      <c r="V21">
        <f t="shared" si="9"/>
        <v>0</v>
      </c>
      <c r="W21">
        <f t="shared" si="10"/>
        <v>0</v>
      </c>
    </row>
    <row r="22" spans="1:26" x14ac:dyDescent="0.3">
      <c r="A22" t="s">
        <v>128</v>
      </c>
      <c r="B22" s="26" t="str">
        <f>'ucum-all'!B8</f>
        <v>prefix</v>
      </c>
      <c r="C22" s="41">
        <v>1</v>
      </c>
      <c r="D22" s="41"/>
      <c r="E22" s="41"/>
      <c r="F22" s="41">
        <v>1</v>
      </c>
      <c r="G22" s="41">
        <v>1</v>
      </c>
      <c r="H22" s="41"/>
      <c r="I22" s="41"/>
      <c r="J22" s="41"/>
      <c r="K22" s="41" t="s">
        <v>128</v>
      </c>
      <c r="L22" s="41"/>
      <c r="M22" s="41"/>
      <c r="O22">
        <f t="shared" si="4"/>
        <v>1</v>
      </c>
      <c r="R22">
        <f t="shared" si="5"/>
        <v>0</v>
      </c>
      <c r="S22">
        <f t="shared" si="6"/>
        <v>0</v>
      </c>
      <c r="T22">
        <f t="shared" si="7"/>
        <v>1</v>
      </c>
      <c r="U22">
        <f t="shared" si="8"/>
        <v>1</v>
      </c>
      <c r="V22">
        <f t="shared" si="9"/>
        <v>0</v>
      </c>
      <c r="W22">
        <f t="shared" si="10"/>
        <v>0</v>
      </c>
    </row>
    <row r="23" spans="1:26" x14ac:dyDescent="0.3">
      <c r="B23" s="19" t="s">
        <v>174</v>
      </c>
      <c r="C23" s="38">
        <v>1</v>
      </c>
      <c r="D23" s="38">
        <v>1</v>
      </c>
      <c r="E23" s="39"/>
      <c r="F23" s="39"/>
      <c r="G23" s="39"/>
      <c r="H23" s="38">
        <v>1</v>
      </c>
      <c r="J23" t="s">
        <v>174</v>
      </c>
      <c r="O23">
        <f t="shared" si="4"/>
        <v>1</v>
      </c>
      <c r="R23">
        <f t="shared" si="5"/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1</v>
      </c>
      <c r="W23">
        <f t="shared" si="10"/>
        <v>0</v>
      </c>
      <c r="Z23" t="e">
        <f>(O23/O6)+R23/R6+S23/S6+T23/T6+U23/U6+V23/V6+W23/W6</f>
        <v>#DIV/0!</v>
      </c>
    </row>
    <row r="24" spans="1:26" x14ac:dyDescent="0.3">
      <c r="B24" t="s">
        <v>227</v>
      </c>
      <c r="C24" s="27"/>
      <c r="D24" s="27"/>
      <c r="E24" s="27"/>
      <c r="F24" s="41">
        <v>0</v>
      </c>
      <c r="G24" s="41"/>
      <c r="H24" s="41">
        <v>0</v>
      </c>
      <c r="I24" s="27"/>
      <c r="J24" s="27" t="s">
        <v>226</v>
      </c>
      <c r="O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</row>
    <row r="25" spans="1:26" x14ac:dyDescent="0.3">
      <c r="B25" s="19" t="s">
        <v>229</v>
      </c>
      <c r="C25" s="37">
        <v>1</v>
      </c>
      <c r="D25" s="37">
        <v>1</v>
      </c>
      <c r="J25" t="s">
        <v>229</v>
      </c>
      <c r="O25">
        <f t="shared" si="4"/>
        <v>1</v>
      </c>
      <c r="R25">
        <f t="shared" si="5"/>
        <v>1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</row>
    <row r="26" spans="1:26" x14ac:dyDescent="0.3">
      <c r="B26" s="43" t="s">
        <v>129</v>
      </c>
      <c r="C26" s="37">
        <v>1</v>
      </c>
      <c r="I26" s="37">
        <v>1</v>
      </c>
      <c r="J26" t="s">
        <v>129</v>
      </c>
      <c r="O26">
        <f t="shared" si="4"/>
        <v>1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1</v>
      </c>
    </row>
    <row r="27" spans="1:26" x14ac:dyDescent="0.3">
      <c r="B27" s="43" t="s">
        <v>133</v>
      </c>
      <c r="C27" s="37">
        <v>1</v>
      </c>
      <c r="I27" s="37">
        <v>1</v>
      </c>
      <c r="J27" t="s">
        <v>133</v>
      </c>
      <c r="O27">
        <f t="shared" si="4"/>
        <v>1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1</v>
      </c>
    </row>
    <row r="28" spans="1:26" x14ac:dyDescent="0.3">
      <c r="B28" s="30" t="s">
        <v>135</v>
      </c>
      <c r="C28" s="27">
        <v>1</v>
      </c>
      <c r="D28" s="27"/>
      <c r="E28" s="27"/>
      <c r="F28" s="27"/>
      <c r="G28" s="27"/>
      <c r="H28" s="27"/>
      <c r="I28" s="27">
        <v>1</v>
      </c>
      <c r="J28" s="27" t="s">
        <v>135</v>
      </c>
      <c r="K28" s="27" t="s">
        <v>135</v>
      </c>
      <c r="L28" s="27"/>
      <c r="M28" s="27"/>
      <c r="O28">
        <f t="shared" si="4"/>
        <v>1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1</v>
      </c>
      <c r="Z28">
        <f>(((O28/O3)+R28/R3+S28/S3+T28/T3+U28/U3+V28/V3+W28/W3)/7)*100</f>
        <v>0.30931349085476406</v>
      </c>
    </row>
    <row r="29" spans="1:26" x14ac:dyDescent="0.3">
      <c r="B29" s="30" t="s">
        <v>137</v>
      </c>
      <c r="C29" s="27">
        <v>1</v>
      </c>
      <c r="D29" s="27"/>
      <c r="E29" s="27"/>
      <c r="F29" s="27"/>
      <c r="G29" s="27"/>
      <c r="H29" s="27"/>
      <c r="I29" s="27">
        <v>1</v>
      </c>
      <c r="J29" s="27"/>
      <c r="K29" s="27" t="s">
        <v>137</v>
      </c>
      <c r="L29" s="27"/>
      <c r="M29" s="27"/>
      <c r="O29">
        <f t="shared" si="4"/>
        <v>1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1</v>
      </c>
      <c r="Z29">
        <f>(((O29/O3)+R29/R3+S29/S3+T29/T3+U29/U3+V29/V3+W29/W3)/7)*100</f>
        <v>0.30931349085476406</v>
      </c>
    </row>
    <row r="30" spans="1:26" x14ac:dyDescent="0.3">
      <c r="B30" s="43" t="s">
        <v>141</v>
      </c>
      <c r="C30" s="37">
        <v>1</v>
      </c>
      <c r="I30" s="37">
        <v>1</v>
      </c>
      <c r="J30" t="s">
        <v>141</v>
      </c>
      <c r="O30">
        <f t="shared" si="4"/>
        <v>1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1</v>
      </c>
      <c r="Z30" t="e">
        <f>(O30/#REF!)+R30/#REF!+S30/#REF!+T30/#REF!+U30/#REF!+V30/#REF!+W30/#REF!</f>
        <v>#REF!</v>
      </c>
    </row>
    <row r="31" spans="1:26" x14ac:dyDescent="0.3">
      <c r="B31" s="43" t="s">
        <v>143</v>
      </c>
      <c r="C31" s="37">
        <v>1</v>
      </c>
      <c r="I31" s="37">
        <v>1</v>
      </c>
      <c r="J31" t="s">
        <v>143</v>
      </c>
      <c r="O31">
        <f t="shared" si="4"/>
        <v>1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1</v>
      </c>
      <c r="Z31" t="e">
        <f>(O31/O28)+R31/R28+S31/S28+T31/T28+U31/U28+V31/V28+W31/W28</f>
        <v>#DIV/0!</v>
      </c>
    </row>
    <row r="32" spans="1:26" x14ac:dyDescent="0.3">
      <c r="B32" s="43" t="s">
        <v>145</v>
      </c>
      <c r="C32" s="37">
        <v>1</v>
      </c>
      <c r="I32" s="37">
        <v>1</v>
      </c>
      <c r="J32" t="s">
        <v>145</v>
      </c>
      <c r="O32">
        <f t="shared" si="4"/>
        <v>1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1</v>
      </c>
      <c r="Z32" t="e">
        <f>(O32/O28)+R32/R28+S32/S28+T32/T28+U32/U28+V32/V28+W32/W28</f>
        <v>#DIV/0!</v>
      </c>
    </row>
    <row r="33" spans="2:26" x14ac:dyDescent="0.3">
      <c r="B33" s="43" t="s">
        <v>233</v>
      </c>
      <c r="C33" s="37">
        <v>0</v>
      </c>
      <c r="H33" s="37">
        <v>0</v>
      </c>
      <c r="J33" t="str">
        <f>B33</f>
        <v>system of units</v>
      </c>
      <c r="O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Z33" t="e">
        <f>(O33/O32)+R33/R32+S33/S32+T33/T32+U33/U32+V33/V32+W33/W32</f>
        <v>#DIV/0!</v>
      </c>
    </row>
    <row r="34" spans="2:26" x14ac:dyDescent="0.3">
      <c r="B34" s="43" t="s">
        <v>234</v>
      </c>
      <c r="C34" s="37">
        <v>0</v>
      </c>
      <c r="H34" s="37">
        <v>0</v>
      </c>
      <c r="J34" t="str">
        <f t="shared" ref="J34:J35" si="11">B34</f>
        <v>interval scale</v>
      </c>
      <c r="O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Z34" t="e">
        <f>(O34/O32)+R34/R32+S34/S32+T34/T32+U34/U32+V34/V32+W34/W32</f>
        <v>#DIV/0!</v>
      </c>
    </row>
    <row r="35" spans="2:26" x14ac:dyDescent="0.3">
      <c r="B35" s="43" t="s">
        <v>235</v>
      </c>
      <c r="C35" s="37">
        <v>0</v>
      </c>
      <c r="H35" s="37">
        <v>0</v>
      </c>
      <c r="J35" t="str">
        <f t="shared" si="11"/>
        <v>ratio scale</v>
      </c>
      <c r="O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Z35" t="e">
        <f>(O35/O12)+R35/R12+S35/S12+T35/T12+U35/U12+V35/V12+W35/W12</f>
        <v>#DIV/0!</v>
      </c>
    </row>
    <row r="36" spans="2:26" x14ac:dyDescent="0.3">
      <c r="B36" s="35" t="s">
        <v>236</v>
      </c>
      <c r="C36" s="27">
        <v>1</v>
      </c>
      <c r="D36" s="27"/>
      <c r="E36" s="27"/>
      <c r="F36" s="27"/>
      <c r="G36" s="27"/>
      <c r="H36" s="27">
        <v>1</v>
      </c>
      <c r="I36" s="27"/>
      <c r="J36" s="27"/>
      <c r="K36" s="27" t="s">
        <v>236</v>
      </c>
      <c r="L36" s="27"/>
      <c r="M36" s="27"/>
      <c r="O36">
        <f t="shared" si="4"/>
        <v>1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1</v>
      </c>
      <c r="W36">
        <f t="shared" si="10"/>
        <v>0</v>
      </c>
      <c r="Z36">
        <f>(((O36/O3)+R36/R3+S36/S3+T36/T3+U36/U3+V36/V3+W36/W3)/7)*100</f>
        <v>0.11980911767692153</v>
      </c>
    </row>
    <row r="38" spans="2:26" x14ac:dyDescent="0.3">
      <c r="B38" s="43" t="s">
        <v>244</v>
      </c>
      <c r="O38">
        <v>4</v>
      </c>
    </row>
    <row r="39" spans="2:26" x14ac:dyDescent="0.3">
      <c r="C39" t="s">
        <v>219</v>
      </c>
      <c r="D39" s="19" t="s">
        <v>81</v>
      </c>
      <c r="E39" s="39" t="s">
        <v>220</v>
      </c>
      <c r="F39" s="39" t="s">
        <v>76</v>
      </c>
      <c r="G39" s="39" t="s">
        <v>75</v>
      </c>
      <c r="H39" s="39" t="s">
        <v>78</v>
      </c>
      <c r="I39" s="39" t="s">
        <v>49</v>
      </c>
      <c r="J39" s="39" t="s">
        <v>113</v>
      </c>
      <c r="K39" s="49" t="s">
        <v>247</v>
      </c>
      <c r="L39" s="49" t="s">
        <v>256</v>
      </c>
      <c r="M39" s="49" t="s">
        <v>255</v>
      </c>
      <c r="N39" s="39" t="s">
        <v>253</v>
      </c>
      <c r="O39" s="39" t="s">
        <v>248</v>
      </c>
      <c r="P39" s="39" t="s">
        <v>67</v>
      </c>
      <c r="Q39" s="39" t="s">
        <v>254</v>
      </c>
      <c r="R39" s="39" t="s">
        <v>251</v>
      </c>
      <c r="T39" s="39" t="s">
        <v>252</v>
      </c>
    </row>
    <row r="40" spans="2:26" x14ac:dyDescent="0.3">
      <c r="C40" s="19" t="s">
        <v>147</v>
      </c>
      <c r="D40" s="45"/>
      <c r="E40" s="45"/>
      <c r="F40" s="45">
        <v>1</v>
      </c>
      <c r="G40" s="45"/>
      <c r="H40" s="45"/>
      <c r="I40" s="45"/>
      <c r="J40" s="45">
        <v>1</v>
      </c>
      <c r="K40" s="48">
        <f t="shared" ref="K40:K65" si="12">((SUM(D40:J40))/7)*100</f>
        <v>28.571428571428569</v>
      </c>
      <c r="L40" s="48" t="str">
        <f>C40</f>
        <v>structure</v>
      </c>
      <c r="M40" s="48">
        <f>K40</f>
        <v>28.571428571428569</v>
      </c>
    </row>
    <row r="41" spans="2:26" x14ac:dyDescent="0.3">
      <c r="C41" s="19" t="s">
        <v>2</v>
      </c>
      <c r="D41" s="21"/>
      <c r="E41" s="21">
        <v>1</v>
      </c>
      <c r="F41" s="21">
        <v>1</v>
      </c>
      <c r="G41" s="21">
        <v>1</v>
      </c>
      <c r="H41" s="21"/>
      <c r="I41" s="21"/>
      <c r="J41" s="21"/>
      <c r="K41" s="48">
        <f t="shared" si="12"/>
        <v>42.857142857142854</v>
      </c>
      <c r="L41" s="48" t="str">
        <f t="shared" ref="L41:L65" si="13">C41</f>
        <v>product</v>
      </c>
      <c r="M41" s="48">
        <f t="shared" ref="M41:M42" si="14">K41</f>
        <v>42.857142857142854</v>
      </c>
    </row>
    <row r="42" spans="2:26" x14ac:dyDescent="0.3">
      <c r="C42" s="19" t="s">
        <v>224</v>
      </c>
      <c r="D42" s="21"/>
      <c r="E42" s="21"/>
      <c r="F42" s="21">
        <v>1</v>
      </c>
      <c r="G42" s="21"/>
      <c r="H42" s="21"/>
      <c r="I42" s="21">
        <v>1</v>
      </c>
      <c r="J42" s="21"/>
      <c r="K42" s="48">
        <f t="shared" si="12"/>
        <v>28.571428571428569</v>
      </c>
      <c r="L42" s="48" t="str">
        <f t="shared" si="13"/>
        <v>rule type</v>
      </c>
      <c r="M42" s="48">
        <f t="shared" si="14"/>
        <v>28.571428571428569</v>
      </c>
    </row>
    <row r="43" spans="2:26" x14ac:dyDescent="0.3">
      <c r="C43" s="21" t="s">
        <v>153</v>
      </c>
      <c r="D43" s="21">
        <v>1</v>
      </c>
      <c r="E43" s="21"/>
      <c r="F43" s="21"/>
      <c r="G43" s="21">
        <v>1</v>
      </c>
      <c r="H43" s="21">
        <v>1</v>
      </c>
      <c r="I43" s="46">
        <v>1</v>
      </c>
      <c r="J43" s="21"/>
      <c r="K43" s="48">
        <f t="shared" si="12"/>
        <v>57.142857142857139</v>
      </c>
      <c r="L43" s="48"/>
      <c r="M43" s="48"/>
      <c r="N43" s="44">
        <f>K43</f>
        <v>57.142857142857139</v>
      </c>
      <c r="O43">
        <f>(4/4)*100</f>
        <v>100</v>
      </c>
      <c r="P43" t="str">
        <f>C43</f>
        <v>unit</v>
      </c>
    </row>
    <row r="44" spans="2:26" x14ac:dyDescent="0.3">
      <c r="C44" t="s">
        <v>119</v>
      </c>
      <c r="D44" s="21">
        <v>1</v>
      </c>
      <c r="E44" s="21">
        <v>1</v>
      </c>
      <c r="F44" s="21"/>
      <c r="G44" s="21"/>
      <c r="H44" s="21"/>
      <c r="I44" s="21"/>
      <c r="J44" s="21"/>
      <c r="K44" s="48">
        <f t="shared" si="12"/>
        <v>28.571428571428569</v>
      </c>
      <c r="L44" s="48" t="str">
        <f t="shared" si="13"/>
        <v>specific cost</v>
      </c>
      <c r="M44" s="48">
        <f>K44</f>
        <v>28.571428571428569</v>
      </c>
      <c r="N44" s="44"/>
    </row>
    <row r="45" spans="2:26" x14ac:dyDescent="0.3">
      <c r="C45" s="35" t="s">
        <v>154</v>
      </c>
      <c r="D45" s="21">
        <v>1</v>
      </c>
      <c r="E45" s="21"/>
      <c r="F45" s="21"/>
      <c r="G45" s="21">
        <v>1</v>
      </c>
      <c r="H45" s="21"/>
      <c r="I45" s="21"/>
      <c r="J45" s="21"/>
      <c r="K45" s="48">
        <f t="shared" si="12"/>
        <v>28.571428571428569</v>
      </c>
      <c r="L45" s="48" t="str">
        <f t="shared" si="13"/>
        <v>measure</v>
      </c>
      <c r="M45" s="48">
        <f>K45</f>
        <v>28.571428571428569</v>
      </c>
      <c r="N45" s="44">
        <f>K45</f>
        <v>28.571428571428569</v>
      </c>
      <c r="O45">
        <f>(1/4)*100</f>
        <v>25</v>
      </c>
      <c r="P45" t="str">
        <f>C45</f>
        <v>measure</v>
      </c>
    </row>
    <row r="46" spans="2:26" x14ac:dyDescent="0.3">
      <c r="C46" s="35" t="s">
        <v>232</v>
      </c>
      <c r="D46" s="21">
        <v>1</v>
      </c>
      <c r="E46" s="21"/>
      <c r="F46" s="21"/>
      <c r="G46" s="21"/>
      <c r="H46" s="21"/>
      <c r="I46" s="21">
        <v>1</v>
      </c>
      <c r="J46" s="21"/>
      <c r="K46" s="48">
        <f t="shared" si="12"/>
        <v>28.571428571428569</v>
      </c>
      <c r="L46" s="48"/>
      <c r="M46" s="48"/>
      <c r="N46" s="44"/>
      <c r="Q46" s="44">
        <f>K46</f>
        <v>28.571428571428569</v>
      </c>
      <c r="R46">
        <v>66.599999999999994</v>
      </c>
      <c r="T46" t="str">
        <f>C46</f>
        <v>quantity</v>
      </c>
    </row>
    <row r="47" spans="2:26" x14ac:dyDescent="0.3">
      <c r="C47" s="35" t="s">
        <v>237</v>
      </c>
      <c r="D47" s="21">
        <v>1</v>
      </c>
      <c r="E47" s="21"/>
      <c r="F47" s="21"/>
      <c r="G47" s="21"/>
      <c r="H47" s="21"/>
      <c r="I47" s="21">
        <v>1</v>
      </c>
      <c r="J47" s="21"/>
      <c r="K47" s="48">
        <f t="shared" si="12"/>
        <v>28.571428571428569</v>
      </c>
      <c r="L47" s="48" t="str">
        <f t="shared" si="13"/>
        <v>scale</v>
      </c>
      <c r="M47" s="48">
        <f>K47</f>
        <v>28.571428571428569</v>
      </c>
      <c r="N47" s="44"/>
    </row>
    <row r="48" spans="2:26" x14ac:dyDescent="0.3">
      <c r="C48" t="s">
        <v>182</v>
      </c>
      <c r="D48" s="21"/>
      <c r="E48" s="21"/>
      <c r="F48" s="21"/>
      <c r="G48" s="47">
        <v>1</v>
      </c>
      <c r="H48" s="47">
        <v>1</v>
      </c>
      <c r="I48" s="47">
        <v>1</v>
      </c>
      <c r="J48" s="21"/>
      <c r="K48" s="48">
        <f t="shared" si="12"/>
        <v>42.857142857142854</v>
      </c>
      <c r="L48" s="48"/>
      <c r="M48" s="48"/>
      <c r="N48" s="44">
        <f>K48</f>
        <v>42.857142857142854</v>
      </c>
      <c r="O48">
        <v>75</v>
      </c>
      <c r="P48" t="str">
        <f>C48</f>
        <v>Base Unit</v>
      </c>
    </row>
    <row r="49" spans="3:20" x14ac:dyDescent="0.3">
      <c r="C49" s="35" t="s">
        <v>239</v>
      </c>
      <c r="D49" s="21"/>
      <c r="E49" s="21"/>
      <c r="F49" s="21"/>
      <c r="G49" s="21"/>
      <c r="H49" s="47">
        <v>1</v>
      </c>
      <c r="I49" s="47">
        <v>1</v>
      </c>
      <c r="J49" s="21"/>
      <c r="K49" s="48">
        <f t="shared" si="12"/>
        <v>28.571428571428569</v>
      </c>
      <c r="L49" s="48"/>
      <c r="M49" s="48"/>
      <c r="N49" s="44">
        <f>K49</f>
        <v>28.571428571428569</v>
      </c>
      <c r="O49">
        <v>50</v>
      </c>
      <c r="P49" t="str">
        <f>C49</f>
        <v>SI Unit</v>
      </c>
    </row>
    <row r="50" spans="3:20" x14ac:dyDescent="0.3">
      <c r="C50" s="35" t="s">
        <v>249</v>
      </c>
      <c r="D50" s="21"/>
      <c r="E50" s="21"/>
      <c r="F50" s="21"/>
      <c r="G50" s="21"/>
      <c r="H50" s="47">
        <v>1</v>
      </c>
      <c r="I50" s="47">
        <v>1</v>
      </c>
      <c r="J50" s="21"/>
      <c r="K50" s="48">
        <f t="shared" si="12"/>
        <v>28.571428571428569</v>
      </c>
      <c r="L50" s="48"/>
      <c r="M50" s="48"/>
      <c r="N50" s="44">
        <f>K50</f>
        <v>28.571428571428569</v>
      </c>
      <c r="O50">
        <v>50</v>
      </c>
      <c r="P50" t="str">
        <f>C50</f>
        <v>CGS unit</v>
      </c>
    </row>
    <row r="51" spans="3:20" x14ac:dyDescent="0.3">
      <c r="C51" s="50" t="s">
        <v>250</v>
      </c>
      <c r="D51" s="47">
        <v>1</v>
      </c>
      <c r="E51" s="47"/>
      <c r="F51" s="47"/>
      <c r="G51" s="47">
        <v>1</v>
      </c>
      <c r="H51" s="47">
        <v>1</v>
      </c>
      <c r="I51" s="47"/>
      <c r="J51" s="47"/>
      <c r="K51" s="48">
        <f t="shared" si="12"/>
        <v>42.857142857142854</v>
      </c>
      <c r="L51" s="48" t="str">
        <f t="shared" si="13"/>
        <v xml:space="preserve">prefix </v>
      </c>
      <c r="M51" s="48">
        <f>K51</f>
        <v>42.857142857142854</v>
      </c>
      <c r="N51" s="44">
        <f>K51</f>
        <v>42.857142857142854</v>
      </c>
      <c r="O51">
        <v>25</v>
      </c>
      <c r="P51" t="str">
        <f>C51</f>
        <v xml:space="preserve">prefix </v>
      </c>
    </row>
    <row r="52" spans="3:20" x14ac:dyDescent="0.3">
      <c r="C52" s="19" t="s">
        <v>174</v>
      </c>
      <c r="D52" s="47">
        <v>1</v>
      </c>
      <c r="E52" s="47">
        <v>1</v>
      </c>
      <c r="F52" s="47"/>
      <c r="G52" s="47"/>
      <c r="H52" s="47"/>
      <c r="I52" s="47">
        <v>1</v>
      </c>
      <c r="J52" s="21"/>
      <c r="K52" s="48">
        <f t="shared" si="12"/>
        <v>42.857142857142854</v>
      </c>
      <c r="L52" s="48" t="str">
        <f t="shared" si="13"/>
        <v>organization</v>
      </c>
      <c r="M52" s="48">
        <f>K52</f>
        <v>42.857142857142854</v>
      </c>
      <c r="N52" s="44"/>
    </row>
    <row r="53" spans="3:20" x14ac:dyDescent="0.3">
      <c r="C53" t="s">
        <v>227</v>
      </c>
      <c r="D53" s="21"/>
      <c r="E53" s="21"/>
      <c r="F53" s="21"/>
      <c r="G53" s="47">
        <v>1</v>
      </c>
      <c r="H53" s="47"/>
      <c r="I53" s="47">
        <v>1</v>
      </c>
      <c r="J53" s="21"/>
      <c r="K53" s="48">
        <f t="shared" si="12"/>
        <v>28.571428571428569</v>
      </c>
      <c r="L53" s="48"/>
      <c r="M53" s="48"/>
      <c r="N53" s="44">
        <f>K53</f>
        <v>28.571428571428569</v>
      </c>
      <c r="O53">
        <v>50</v>
      </c>
      <c r="P53" t="str">
        <f>C53</f>
        <v>logarithmic unit</v>
      </c>
    </row>
    <row r="54" spans="3:20" x14ac:dyDescent="0.3">
      <c r="C54" s="19" t="s">
        <v>229</v>
      </c>
      <c r="D54" s="21">
        <v>1</v>
      </c>
      <c r="E54" s="21">
        <v>1</v>
      </c>
      <c r="F54" s="21"/>
      <c r="G54" s="21"/>
      <c r="H54" s="21"/>
      <c r="I54" s="21"/>
      <c r="J54" s="21"/>
      <c r="K54" s="48">
        <f t="shared" si="12"/>
        <v>28.571428571428569</v>
      </c>
      <c r="L54" s="48" t="str">
        <f t="shared" si="13"/>
        <v>person</v>
      </c>
      <c r="M54" s="48">
        <f>K54</f>
        <v>28.571428571428569</v>
      </c>
    </row>
    <row r="55" spans="3:20" x14ac:dyDescent="0.3">
      <c r="C55" s="43" t="s">
        <v>129</v>
      </c>
      <c r="D55" s="21">
        <v>1</v>
      </c>
      <c r="E55" s="21"/>
      <c r="F55" s="21"/>
      <c r="G55" s="21"/>
      <c r="H55" s="21"/>
      <c r="I55" s="21"/>
      <c r="J55" s="21">
        <v>1</v>
      </c>
      <c r="K55" s="48">
        <f t="shared" si="12"/>
        <v>28.571428571428569</v>
      </c>
      <c r="L55" s="48" t="str">
        <f t="shared" si="13"/>
        <v>hydrophilicity</v>
      </c>
      <c r="M55" s="48">
        <f>K55</f>
        <v>28.571428571428569</v>
      </c>
    </row>
    <row r="56" spans="3:20" x14ac:dyDescent="0.3">
      <c r="C56" s="43" t="s">
        <v>133</v>
      </c>
      <c r="D56" s="21">
        <v>1</v>
      </c>
      <c r="E56" s="21"/>
      <c r="F56" s="21"/>
      <c r="G56" s="21"/>
      <c r="H56" s="21"/>
      <c r="I56" s="21"/>
      <c r="J56" s="21">
        <v>1</v>
      </c>
      <c r="K56" s="48">
        <f t="shared" si="12"/>
        <v>28.571428571428569</v>
      </c>
      <c r="L56" s="48" t="str">
        <f t="shared" si="13"/>
        <v>bulk modulus</v>
      </c>
      <c r="M56" s="48">
        <f>K56</f>
        <v>28.571428571428569</v>
      </c>
    </row>
    <row r="57" spans="3:20" x14ac:dyDescent="0.3">
      <c r="C57" s="35" t="s">
        <v>135</v>
      </c>
      <c r="D57" s="21">
        <v>1</v>
      </c>
      <c r="E57" s="21"/>
      <c r="F57" s="21"/>
      <c r="G57" s="21"/>
      <c r="H57" s="21"/>
      <c r="I57" s="21"/>
      <c r="J57" s="21">
        <v>1</v>
      </c>
      <c r="K57" s="48">
        <f t="shared" si="12"/>
        <v>28.571428571428569</v>
      </c>
      <c r="L57" s="48"/>
      <c r="M57" s="48"/>
      <c r="Q57" s="44">
        <f>K57</f>
        <v>28.571428571428569</v>
      </c>
      <c r="R57">
        <v>66.599999999999994</v>
      </c>
      <c r="T57" t="str">
        <f>C57</f>
        <v>density</v>
      </c>
    </row>
    <row r="58" spans="3:20" x14ac:dyDescent="0.3">
      <c r="C58" s="35" t="s">
        <v>137</v>
      </c>
      <c r="D58" s="21">
        <v>1</v>
      </c>
      <c r="E58" s="21"/>
      <c r="F58" s="21"/>
      <c r="G58" s="21"/>
      <c r="H58" s="21"/>
      <c r="I58" s="21"/>
      <c r="J58" s="21">
        <v>1</v>
      </c>
      <c r="K58" s="48">
        <f t="shared" si="12"/>
        <v>28.571428571428569</v>
      </c>
      <c r="L58" s="48"/>
      <c r="M58" s="48"/>
      <c r="Q58" s="44">
        <f>K58</f>
        <v>28.571428571428569</v>
      </c>
      <c r="R58">
        <v>66.599999999999994</v>
      </c>
      <c r="T58" t="str">
        <f>C58</f>
        <v>diameter</v>
      </c>
    </row>
    <row r="59" spans="3:20" x14ac:dyDescent="0.3">
      <c r="C59" s="43" t="s">
        <v>141</v>
      </c>
      <c r="D59" s="21">
        <v>1</v>
      </c>
      <c r="E59" s="21"/>
      <c r="F59" s="21"/>
      <c r="G59" s="21"/>
      <c r="H59" s="21"/>
      <c r="I59" s="21"/>
      <c r="J59" s="21">
        <v>1</v>
      </c>
      <c r="K59" s="48">
        <f t="shared" si="12"/>
        <v>28.571428571428569</v>
      </c>
      <c r="L59" s="48" t="str">
        <f t="shared" si="13"/>
        <v>hydrophobicity</v>
      </c>
      <c r="M59" s="48">
        <f t="shared" ref="M59:M65" si="15">K59</f>
        <v>28.571428571428569</v>
      </c>
    </row>
    <row r="60" spans="3:20" x14ac:dyDescent="0.3">
      <c r="C60" s="43" t="s">
        <v>143</v>
      </c>
      <c r="D60" s="21">
        <v>1</v>
      </c>
      <c r="E60" s="21"/>
      <c r="F60" s="21"/>
      <c r="G60" s="21"/>
      <c r="H60" s="21"/>
      <c r="I60" s="21"/>
      <c r="J60" s="21">
        <v>1</v>
      </c>
      <c r="K60" s="48">
        <f t="shared" si="12"/>
        <v>28.571428571428569</v>
      </c>
      <c r="L60" s="48" t="str">
        <f t="shared" si="13"/>
        <v>molar mass</v>
      </c>
      <c r="M60" s="48">
        <f t="shared" si="15"/>
        <v>28.571428571428569</v>
      </c>
    </row>
    <row r="61" spans="3:20" x14ac:dyDescent="0.3">
      <c r="C61" s="43" t="s">
        <v>145</v>
      </c>
      <c r="D61" s="21">
        <v>1</v>
      </c>
      <c r="E61" s="21"/>
      <c r="F61" s="21"/>
      <c r="G61" s="21"/>
      <c r="H61" s="21"/>
      <c r="I61" s="21"/>
      <c r="J61" s="21">
        <v>1</v>
      </c>
      <c r="K61" s="48">
        <f t="shared" si="12"/>
        <v>28.571428571428569</v>
      </c>
      <c r="L61" s="48" t="str">
        <f t="shared" si="13"/>
        <v>thickness</v>
      </c>
      <c r="M61" s="48">
        <f t="shared" si="15"/>
        <v>28.571428571428569</v>
      </c>
    </row>
    <row r="62" spans="3:20" x14ac:dyDescent="0.3">
      <c r="C62" s="43" t="s">
        <v>233</v>
      </c>
      <c r="D62" s="21">
        <v>1</v>
      </c>
      <c r="E62" s="21"/>
      <c r="F62" s="21"/>
      <c r="G62" s="21"/>
      <c r="H62" s="21"/>
      <c r="I62" s="21">
        <v>1</v>
      </c>
      <c r="J62" s="21"/>
      <c r="K62" s="48">
        <f t="shared" si="12"/>
        <v>28.571428571428569</v>
      </c>
      <c r="L62" s="48" t="str">
        <f t="shared" si="13"/>
        <v>system of units</v>
      </c>
      <c r="M62" s="48">
        <f t="shared" si="15"/>
        <v>28.571428571428569</v>
      </c>
    </row>
    <row r="63" spans="3:20" x14ac:dyDescent="0.3">
      <c r="C63" s="43" t="s">
        <v>234</v>
      </c>
      <c r="D63" s="21">
        <v>1</v>
      </c>
      <c r="E63" s="21"/>
      <c r="F63" s="21"/>
      <c r="G63" s="21"/>
      <c r="H63" s="21"/>
      <c r="I63" s="21">
        <v>1</v>
      </c>
      <c r="J63" s="21"/>
      <c r="K63" s="48">
        <f t="shared" si="12"/>
        <v>28.571428571428569</v>
      </c>
      <c r="L63" s="48" t="str">
        <f t="shared" si="13"/>
        <v>interval scale</v>
      </c>
      <c r="M63" s="48">
        <f t="shared" si="15"/>
        <v>28.571428571428569</v>
      </c>
    </row>
    <row r="64" spans="3:20" x14ac:dyDescent="0.3">
      <c r="C64" s="43" t="s">
        <v>235</v>
      </c>
      <c r="D64" s="21">
        <v>1</v>
      </c>
      <c r="E64" s="21"/>
      <c r="F64" s="21"/>
      <c r="G64" s="21"/>
      <c r="H64" s="21"/>
      <c r="I64" s="21">
        <v>1</v>
      </c>
      <c r="J64" s="21"/>
      <c r="K64" s="48">
        <f t="shared" si="12"/>
        <v>28.571428571428569</v>
      </c>
      <c r="L64" s="48" t="str">
        <f t="shared" si="13"/>
        <v>ratio scale</v>
      </c>
      <c r="M64" s="48">
        <f t="shared" si="15"/>
        <v>28.571428571428569</v>
      </c>
    </row>
    <row r="65" spans="3:15" x14ac:dyDescent="0.3">
      <c r="C65" s="35" t="s">
        <v>236</v>
      </c>
      <c r="D65" s="21">
        <v>1</v>
      </c>
      <c r="E65" s="21"/>
      <c r="F65" s="21"/>
      <c r="G65" s="21"/>
      <c r="H65" s="21"/>
      <c r="I65" s="21">
        <v>1</v>
      </c>
      <c r="J65" s="21"/>
      <c r="K65" s="48">
        <f t="shared" si="12"/>
        <v>28.571428571428569</v>
      </c>
      <c r="L65" s="48" t="str">
        <f t="shared" si="13"/>
        <v>prefixed unit</v>
      </c>
      <c r="M65" s="48">
        <f t="shared" si="15"/>
        <v>28.571428571428569</v>
      </c>
      <c r="O65">
        <v>50</v>
      </c>
    </row>
    <row r="67" spans="3:15" x14ac:dyDescent="0.3">
      <c r="C67" s="44" t="str">
        <f>L39</f>
        <v>Ontologies</v>
      </c>
      <c r="D67" t="str">
        <f>M39</f>
        <v>DS Monomodules</v>
      </c>
    </row>
    <row r="68" spans="3:15" x14ac:dyDescent="0.3">
      <c r="C68" s="44" t="str">
        <f t="shared" ref="C68:C70" si="16">L40</f>
        <v>structure</v>
      </c>
      <c r="D68">
        <f t="shared" ref="D68:D70" si="17">M40</f>
        <v>28.571428571428569</v>
      </c>
    </row>
    <row r="69" spans="3:15" x14ac:dyDescent="0.3">
      <c r="C69" s="44" t="str">
        <f t="shared" si="16"/>
        <v>product</v>
      </c>
      <c r="D69">
        <f t="shared" si="17"/>
        <v>42.857142857142854</v>
      </c>
    </row>
    <row r="70" spans="3:15" x14ac:dyDescent="0.3">
      <c r="C70" s="44" t="str">
        <f t="shared" si="16"/>
        <v>rule type</v>
      </c>
      <c r="D70">
        <f t="shared" si="17"/>
        <v>28.571428571428569</v>
      </c>
    </row>
    <row r="71" spans="3:15" x14ac:dyDescent="0.3">
      <c r="C71" s="44" t="str">
        <f>L44</f>
        <v>specific cost</v>
      </c>
      <c r="D71">
        <f>M44</f>
        <v>28.571428571428569</v>
      </c>
    </row>
    <row r="72" spans="3:15" x14ac:dyDescent="0.3">
      <c r="C72" s="44" t="str">
        <f>L45</f>
        <v>measure</v>
      </c>
      <c r="D72">
        <f>M45</f>
        <v>28.571428571428569</v>
      </c>
    </row>
    <row r="73" spans="3:15" x14ac:dyDescent="0.3">
      <c r="C73" s="44" t="str">
        <f>L47</f>
        <v>scale</v>
      </c>
      <c r="D73">
        <f>M47</f>
        <v>28.571428571428569</v>
      </c>
    </row>
    <row r="74" spans="3:15" x14ac:dyDescent="0.3">
      <c r="C74" s="44" t="str">
        <f>L51</f>
        <v xml:space="preserve">prefix </v>
      </c>
      <c r="D74">
        <f>M51</f>
        <v>42.857142857142854</v>
      </c>
    </row>
    <row r="75" spans="3:15" x14ac:dyDescent="0.3">
      <c r="C75" s="44" t="str">
        <f>L52</f>
        <v>organization</v>
      </c>
      <c r="D75">
        <f>M52</f>
        <v>42.857142857142854</v>
      </c>
    </row>
    <row r="76" spans="3:15" x14ac:dyDescent="0.3">
      <c r="C76" s="44" t="str">
        <f t="shared" ref="C76:D78" si="18">L54</f>
        <v>person</v>
      </c>
      <c r="D76">
        <f t="shared" si="18"/>
        <v>28.571428571428569</v>
      </c>
    </row>
    <row r="77" spans="3:15" x14ac:dyDescent="0.3">
      <c r="C77" s="44" t="str">
        <f t="shared" si="18"/>
        <v>hydrophilicity</v>
      </c>
      <c r="D77">
        <f t="shared" si="18"/>
        <v>28.571428571428569</v>
      </c>
    </row>
    <row r="78" spans="3:15" x14ac:dyDescent="0.3">
      <c r="C78" s="44" t="str">
        <f t="shared" si="18"/>
        <v>bulk modulus</v>
      </c>
      <c r="D78">
        <f t="shared" si="18"/>
        <v>28.571428571428569</v>
      </c>
    </row>
    <row r="79" spans="3:15" x14ac:dyDescent="0.3">
      <c r="C79" s="44" t="str">
        <f t="shared" ref="C79:D85" si="19">L59</f>
        <v>hydrophobicity</v>
      </c>
      <c r="D79">
        <f t="shared" si="19"/>
        <v>28.571428571428569</v>
      </c>
    </row>
    <row r="80" spans="3:15" x14ac:dyDescent="0.3">
      <c r="C80" s="44" t="str">
        <f t="shared" si="19"/>
        <v>molar mass</v>
      </c>
      <c r="D80">
        <f t="shared" si="19"/>
        <v>28.571428571428569</v>
      </c>
    </row>
    <row r="81" spans="2:5" x14ac:dyDescent="0.3">
      <c r="C81" s="44" t="str">
        <f t="shared" si="19"/>
        <v>thickness</v>
      </c>
      <c r="D81">
        <f t="shared" si="19"/>
        <v>28.571428571428569</v>
      </c>
    </row>
    <row r="82" spans="2:5" x14ac:dyDescent="0.3">
      <c r="C82" s="44" t="str">
        <f t="shared" si="19"/>
        <v>system of units</v>
      </c>
      <c r="D82">
        <f t="shared" si="19"/>
        <v>28.571428571428569</v>
      </c>
    </row>
    <row r="83" spans="2:5" x14ac:dyDescent="0.3">
      <c r="C83" s="44" t="str">
        <f t="shared" si="19"/>
        <v>interval scale</v>
      </c>
      <c r="D83">
        <f t="shared" si="19"/>
        <v>28.571428571428569</v>
      </c>
    </row>
    <row r="84" spans="2:5" x14ac:dyDescent="0.3">
      <c r="C84" s="44" t="str">
        <f t="shared" si="19"/>
        <v>ratio scale</v>
      </c>
      <c r="D84">
        <f t="shared" si="19"/>
        <v>28.571428571428569</v>
      </c>
    </row>
    <row r="85" spans="2:5" x14ac:dyDescent="0.3">
      <c r="C85" s="44" t="str">
        <f t="shared" si="19"/>
        <v>prefixed unit</v>
      </c>
      <c r="D85">
        <f t="shared" si="19"/>
        <v>28.571428571428569</v>
      </c>
    </row>
    <row r="88" spans="2:5" x14ac:dyDescent="0.3">
      <c r="B88" t="s">
        <v>257</v>
      </c>
      <c r="C88" t="str">
        <f>N39</f>
        <v>DS Unit</v>
      </c>
      <c r="D88" t="str">
        <f t="shared" ref="D88:E88" si="20">O39</f>
        <v>BS Unit</v>
      </c>
      <c r="E88" t="str">
        <f t="shared" si="20"/>
        <v>Ontology</v>
      </c>
    </row>
    <row r="89" spans="2:5" x14ac:dyDescent="0.3">
      <c r="B89" t="str">
        <f>E89</f>
        <v>unit</v>
      </c>
      <c r="C89">
        <f>N43</f>
        <v>57.142857142857139</v>
      </c>
      <c r="D89">
        <f>O43</f>
        <v>100</v>
      </c>
      <c r="E89" t="str">
        <f>P43</f>
        <v>unit</v>
      </c>
    </row>
    <row r="90" spans="2:5" x14ac:dyDescent="0.3">
      <c r="B90" t="str">
        <f t="shared" ref="B90:B95" si="21">E90</f>
        <v>measure</v>
      </c>
      <c r="C90">
        <f>N45</f>
        <v>28.571428571428569</v>
      </c>
      <c r="D90">
        <f>O45</f>
        <v>25</v>
      </c>
      <c r="E90" t="str">
        <f>P45</f>
        <v>measure</v>
      </c>
    </row>
    <row r="91" spans="2:5" x14ac:dyDescent="0.3">
      <c r="B91" t="str">
        <f t="shared" si="21"/>
        <v>Base Unit</v>
      </c>
      <c r="C91">
        <f t="shared" ref="C91:E94" si="22">N48</f>
        <v>42.857142857142854</v>
      </c>
      <c r="D91">
        <f t="shared" si="22"/>
        <v>75</v>
      </c>
      <c r="E91" t="str">
        <f t="shared" si="22"/>
        <v>Base Unit</v>
      </c>
    </row>
    <row r="92" spans="2:5" x14ac:dyDescent="0.3">
      <c r="B92" t="str">
        <f t="shared" si="21"/>
        <v>SI Unit</v>
      </c>
      <c r="C92">
        <f t="shared" si="22"/>
        <v>28.571428571428569</v>
      </c>
      <c r="D92">
        <f t="shared" si="22"/>
        <v>50</v>
      </c>
      <c r="E92" t="str">
        <f t="shared" si="22"/>
        <v>SI Unit</v>
      </c>
    </row>
    <row r="93" spans="2:5" x14ac:dyDescent="0.3">
      <c r="B93" t="str">
        <f t="shared" si="21"/>
        <v>CGS unit</v>
      </c>
      <c r="C93">
        <f t="shared" si="22"/>
        <v>28.571428571428569</v>
      </c>
      <c r="D93">
        <f t="shared" si="22"/>
        <v>50</v>
      </c>
      <c r="E93" t="str">
        <f t="shared" si="22"/>
        <v>CGS unit</v>
      </c>
    </row>
    <row r="94" spans="2:5" x14ac:dyDescent="0.3">
      <c r="B94" t="str">
        <f>E94</f>
        <v xml:space="preserve">prefix </v>
      </c>
      <c r="C94">
        <f t="shared" si="22"/>
        <v>42.857142857142854</v>
      </c>
      <c r="D94">
        <f t="shared" si="22"/>
        <v>25</v>
      </c>
      <c r="E94" t="str">
        <f t="shared" si="22"/>
        <v xml:space="preserve">prefix </v>
      </c>
    </row>
    <row r="95" spans="2:5" x14ac:dyDescent="0.3">
      <c r="B95" t="str">
        <f t="shared" si="21"/>
        <v>logarithmic unit</v>
      </c>
      <c r="C95">
        <f>N53</f>
        <v>28.571428571428569</v>
      </c>
      <c r="D95">
        <f>O53</f>
        <v>50</v>
      </c>
      <c r="E95" t="str">
        <f>P53</f>
        <v>logarithmic unit</v>
      </c>
    </row>
    <row r="103" spans="2:7" x14ac:dyDescent="0.3">
      <c r="B103" t="s">
        <v>258</v>
      </c>
      <c r="C103" t="str">
        <f>Q39</f>
        <v>DS Quantity</v>
      </c>
      <c r="D103" t="str">
        <f t="shared" ref="D103:E103" si="23">R39</f>
        <v>BS Quantity</v>
      </c>
      <c r="E103">
        <f t="shared" si="23"/>
        <v>0</v>
      </c>
      <c r="F103" t="str">
        <f>T39</f>
        <v xml:space="preserve">Ontology </v>
      </c>
      <c r="G103">
        <f t="shared" ref="G103" si="24">U39</f>
        <v>0</v>
      </c>
    </row>
    <row r="104" spans="2:7" x14ac:dyDescent="0.3">
      <c r="B104" t="str">
        <f t="shared" ref="B104:B106" si="25">F104</f>
        <v>quantity</v>
      </c>
      <c r="C104">
        <f>Q46</f>
        <v>28.571428571428569</v>
      </c>
      <c r="D104">
        <f>R46</f>
        <v>66.599999999999994</v>
      </c>
      <c r="F104" t="str">
        <f>T46</f>
        <v>quantity</v>
      </c>
    </row>
    <row r="105" spans="2:7" x14ac:dyDescent="0.3">
      <c r="B105" t="str">
        <f t="shared" si="25"/>
        <v>density</v>
      </c>
      <c r="C105">
        <f>Q57</f>
        <v>28.571428571428569</v>
      </c>
      <c r="D105">
        <f>R57</f>
        <v>66.599999999999994</v>
      </c>
      <c r="F105" t="str">
        <f>T57</f>
        <v>density</v>
      </c>
    </row>
    <row r="106" spans="2:7" x14ac:dyDescent="0.3">
      <c r="B106" t="str">
        <f t="shared" si="25"/>
        <v>diameter</v>
      </c>
      <c r="C106">
        <f>Q58</f>
        <v>28.571428571428569</v>
      </c>
      <c r="D106">
        <f>R58</f>
        <v>66.599999999999994</v>
      </c>
      <c r="F106" t="str">
        <f>T58</f>
        <v>diameter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ED7A-30E1-4BF7-99A3-2A1C90D3E6A5}">
  <dimension ref="C2:F9"/>
  <sheetViews>
    <sheetView workbookViewId="0">
      <selection activeCell="L27" sqref="L27"/>
    </sheetView>
  </sheetViews>
  <sheetFormatPr baseColWidth="10" defaultRowHeight="14.4" x14ac:dyDescent="0.3"/>
  <cols>
    <col min="3" max="3" width="17.6640625" customWidth="1"/>
  </cols>
  <sheetData>
    <row r="2" spans="3:6" x14ac:dyDescent="0.3">
      <c r="D2" t="s">
        <v>262</v>
      </c>
      <c r="E2" t="s">
        <v>261</v>
      </c>
      <c r="F2" t="s">
        <v>260</v>
      </c>
    </row>
    <row r="3" spans="3:6" x14ac:dyDescent="0.3">
      <c r="C3" t="s">
        <v>259</v>
      </c>
      <c r="D3" s="44">
        <f>(E3/F3)*100</f>
        <v>23.684210526315788</v>
      </c>
      <c r="E3">
        <v>9</v>
      </c>
      <c r="F3">
        <v>38</v>
      </c>
    </row>
    <row r="4" spans="3:6" x14ac:dyDescent="0.3">
      <c r="C4" t="s">
        <v>71</v>
      </c>
      <c r="D4" s="44">
        <f t="shared" ref="D4:D9" si="0">(E4/F4)*100</f>
        <v>15.789473684210526</v>
      </c>
      <c r="E4">
        <v>6</v>
      </c>
      <c r="F4">
        <v>38</v>
      </c>
    </row>
    <row r="5" spans="3:6" x14ac:dyDescent="0.3">
      <c r="C5" t="s">
        <v>49</v>
      </c>
      <c r="D5" s="44">
        <f t="shared" si="0"/>
        <v>0</v>
      </c>
      <c r="F5">
        <v>140</v>
      </c>
    </row>
    <row r="6" spans="3:6" x14ac:dyDescent="0.3">
      <c r="C6" t="s">
        <v>113</v>
      </c>
      <c r="D6" s="44">
        <f t="shared" si="0"/>
        <v>1.0288065843621399</v>
      </c>
      <c r="E6">
        <v>5</v>
      </c>
      <c r="F6">
        <v>486</v>
      </c>
    </row>
    <row r="7" spans="3:6" x14ac:dyDescent="0.3">
      <c r="C7" t="s">
        <v>112</v>
      </c>
      <c r="D7" s="44">
        <f t="shared" si="0"/>
        <v>0</v>
      </c>
      <c r="F7">
        <v>31</v>
      </c>
    </row>
    <row r="8" spans="3:6" x14ac:dyDescent="0.3">
      <c r="C8" t="s">
        <v>51</v>
      </c>
      <c r="D8" s="44">
        <f t="shared" si="0"/>
        <v>27.970297029702973</v>
      </c>
      <c r="E8">
        <v>226</v>
      </c>
      <c r="F8">
        <v>808</v>
      </c>
    </row>
    <row r="9" spans="3:6" x14ac:dyDescent="0.3">
      <c r="C9" t="s">
        <v>111</v>
      </c>
      <c r="D9" s="44">
        <f t="shared" si="0"/>
        <v>0</v>
      </c>
      <c r="F9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78EF-59AC-4F1E-8B46-6BBAABFA5D3C}">
  <dimension ref="A1:M19"/>
  <sheetViews>
    <sheetView tabSelected="1" workbookViewId="0">
      <selection activeCell="C8" sqref="C8"/>
    </sheetView>
  </sheetViews>
  <sheetFormatPr baseColWidth="10" defaultRowHeight="14.4" x14ac:dyDescent="0.3"/>
  <sheetData>
    <row r="1" spans="1:13" x14ac:dyDescent="0.3">
      <c r="A1" t="s">
        <v>186</v>
      </c>
      <c r="B1" s="19" t="s">
        <v>46</v>
      </c>
      <c r="C1" s="19" t="s">
        <v>49</v>
      </c>
      <c r="D1" t="s">
        <v>187</v>
      </c>
      <c r="F1" t="s">
        <v>194</v>
      </c>
      <c r="G1" t="s">
        <v>195</v>
      </c>
    </row>
    <row r="2" spans="1:13" x14ac:dyDescent="0.3">
      <c r="B2" t="s">
        <v>182</v>
      </c>
      <c r="C2" t="s">
        <v>182</v>
      </c>
      <c r="D2">
        <v>1</v>
      </c>
      <c r="F2">
        <v>0</v>
      </c>
      <c r="G2">
        <v>0</v>
      </c>
    </row>
    <row r="3" spans="1:13" x14ac:dyDescent="0.3">
      <c r="B3" t="s">
        <v>178</v>
      </c>
      <c r="C3" t="s">
        <v>179</v>
      </c>
      <c r="D3">
        <v>1</v>
      </c>
      <c r="F3">
        <v>0</v>
      </c>
      <c r="G3">
        <v>0</v>
      </c>
    </row>
    <row r="4" spans="1:13" x14ac:dyDescent="0.3">
      <c r="B4" t="s">
        <v>180</v>
      </c>
      <c r="C4" t="s">
        <v>181</v>
      </c>
      <c r="D4">
        <v>1</v>
      </c>
      <c r="F4">
        <v>0</v>
      </c>
      <c r="G4">
        <v>0</v>
      </c>
    </row>
    <row r="5" spans="1:13" x14ac:dyDescent="0.3">
      <c r="E5" t="s">
        <v>108</v>
      </c>
    </row>
    <row r="6" spans="1:13" x14ac:dyDescent="0.3">
      <c r="A6" t="s">
        <v>186</v>
      </c>
      <c r="B6" s="19" t="s">
        <v>46</v>
      </c>
      <c r="C6" s="19" t="s">
        <v>51</v>
      </c>
      <c r="D6" t="s">
        <v>187</v>
      </c>
      <c r="F6" t="s">
        <v>194</v>
      </c>
      <c r="G6" t="s">
        <v>199</v>
      </c>
    </row>
    <row r="7" spans="1:13" s="27" customFormat="1" x14ac:dyDescent="0.3">
      <c r="A7" s="30"/>
      <c r="B7" s="30" t="s">
        <v>128</v>
      </c>
      <c r="C7" s="30" t="s">
        <v>126</v>
      </c>
      <c r="D7" s="30"/>
      <c r="G7" s="27">
        <v>0</v>
      </c>
    </row>
    <row r="8" spans="1:13" s="23" customFormat="1" x14ac:dyDescent="0.3">
      <c r="A8" s="32"/>
      <c r="B8" s="32" t="s">
        <v>128</v>
      </c>
      <c r="C8" s="32" t="s">
        <v>128</v>
      </c>
      <c r="D8" s="32">
        <v>1</v>
      </c>
      <c r="F8" s="23">
        <v>0</v>
      </c>
      <c r="G8" s="23">
        <v>2</v>
      </c>
    </row>
    <row r="9" spans="1:13" s="27" customFormat="1" x14ac:dyDescent="0.3">
      <c r="A9" s="30"/>
      <c r="B9" s="27" t="s">
        <v>205</v>
      </c>
      <c r="C9" s="27" t="s">
        <v>206</v>
      </c>
      <c r="G9" s="27">
        <v>0</v>
      </c>
    </row>
    <row r="10" spans="1:13" x14ac:dyDescent="0.3">
      <c r="A10" s="24"/>
      <c r="B10" s="24"/>
      <c r="C10" s="24"/>
      <c r="D10" s="24"/>
      <c r="G10">
        <f>SUM(G7:G9)</f>
        <v>2</v>
      </c>
      <c r="J10" s="52"/>
      <c r="K10" s="52"/>
    </row>
    <row r="11" spans="1:13" x14ac:dyDescent="0.3">
      <c r="J11" t="s">
        <v>207</v>
      </c>
      <c r="K11" t="s">
        <v>128</v>
      </c>
    </row>
    <row r="12" spans="1:13" x14ac:dyDescent="0.3">
      <c r="J12" t="s">
        <v>111</v>
      </c>
      <c r="K12" t="s">
        <v>51</v>
      </c>
      <c r="L12" t="s">
        <v>108</v>
      </c>
      <c r="M12" t="s">
        <v>208</v>
      </c>
    </row>
    <row r="13" spans="1:13" x14ac:dyDescent="0.3">
      <c r="I13" t="s">
        <v>112</v>
      </c>
      <c r="J13">
        <f>'sweet-all'!E3</f>
        <v>0</v>
      </c>
      <c r="K13">
        <f>G8</f>
        <v>2</v>
      </c>
      <c r="L13">
        <f>SUM(J13:K13)</f>
        <v>2</v>
      </c>
      <c r="M13">
        <f>L13/2</f>
        <v>1</v>
      </c>
    </row>
    <row r="15" spans="1:13" x14ac:dyDescent="0.3">
      <c r="J15" t="s">
        <v>209</v>
      </c>
      <c r="K15" t="s">
        <v>182</v>
      </c>
    </row>
    <row r="16" spans="1:13" x14ac:dyDescent="0.3">
      <c r="J16" t="s">
        <v>111</v>
      </c>
      <c r="K16" t="s">
        <v>49</v>
      </c>
      <c r="L16" t="s">
        <v>211</v>
      </c>
      <c r="M16" t="s">
        <v>208</v>
      </c>
    </row>
    <row r="17" spans="9:13" x14ac:dyDescent="0.3">
      <c r="I17" t="s">
        <v>210</v>
      </c>
      <c r="J17">
        <f>'sweet-all'!E9</f>
        <v>0</v>
      </c>
      <c r="K17">
        <f>G2</f>
        <v>0</v>
      </c>
      <c r="L17">
        <v>0</v>
      </c>
      <c r="M17">
        <v>0</v>
      </c>
    </row>
    <row r="19" spans="9:13" x14ac:dyDescent="0.3">
      <c r="K19" t="s">
        <v>214</v>
      </c>
      <c r="M19">
        <f>(M17+M13)/2</f>
        <v>0.5</v>
      </c>
    </row>
  </sheetData>
  <mergeCells count="1">
    <mergeCell ref="J10:K10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780F-FE71-4091-9AF1-E320E8DDE1A1}">
  <dimension ref="B2:K18"/>
  <sheetViews>
    <sheetView workbookViewId="0">
      <selection activeCell="F3" sqref="F3"/>
    </sheetView>
  </sheetViews>
  <sheetFormatPr baseColWidth="10" defaultRowHeight="14.4" x14ac:dyDescent="0.3"/>
  <cols>
    <col min="3" max="3" width="15" customWidth="1"/>
  </cols>
  <sheetData>
    <row r="2" spans="2:11" x14ac:dyDescent="0.3">
      <c r="B2" s="19" t="s">
        <v>110</v>
      </c>
      <c r="C2" s="19" t="s">
        <v>113</v>
      </c>
      <c r="D2" t="s">
        <v>187</v>
      </c>
      <c r="E2" t="s">
        <v>202</v>
      </c>
      <c r="F2" t="s">
        <v>200</v>
      </c>
    </row>
    <row r="3" spans="2:11" x14ac:dyDescent="0.3">
      <c r="B3" t="s">
        <v>147</v>
      </c>
      <c r="C3" t="s">
        <v>150</v>
      </c>
      <c r="D3">
        <v>1</v>
      </c>
      <c r="E3">
        <v>2</v>
      </c>
      <c r="F3">
        <v>49</v>
      </c>
    </row>
    <row r="4" spans="2:11" x14ac:dyDescent="0.3">
      <c r="D4" t="s">
        <v>108</v>
      </c>
      <c r="E4">
        <f>SUM(E3)</f>
        <v>2</v>
      </c>
      <c r="F4">
        <f>SUM(F3)</f>
        <v>49</v>
      </c>
    </row>
    <row r="6" spans="2:11" x14ac:dyDescent="0.3">
      <c r="B6" s="19" t="s">
        <v>110</v>
      </c>
      <c r="C6" s="19" t="s">
        <v>111</v>
      </c>
      <c r="D6" t="s">
        <v>187</v>
      </c>
      <c r="E6" t="s">
        <v>202</v>
      </c>
      <c r="F6" t="s">
        <v>196</v>
      </c>
    </row>
    <row r="7" spans="2:11" x14ac:dyDescent="0.3">
      <c r="B7" t="s">
        <v>2</v>
      </c>
      <c r="C7" t="s">
        <v>2</v>
      </c>
      <c r="D7">
        <v>1</v>
      </c>
      <c r="E7">
        <v>2</v>
      </c>
      <c r="F7">
        <v>1</v>
      </c>
    </row>
    <row r="8" spans="2:11" x14ac:dyDescent="0.3">
      <c r="D8" t="s">
        <v>108</v>
      </c>
      <c r="E8">
        <f>SUM(E7)</f>
        <v>2</v>
      </c>
      <c r="F8">
        <f>SUM(F7)</f>
        <v>1</v>
      </c>
    </row>
    <row r="11" spans="2:11" x14ac:dyDescent="0.3">
      <c r="B11" s="19" t="s">
        <v>110</v>
      </c>
      <c r="C11" s="19" t="s">
        <v>49</v>
      </c>
      <c r="D11" t="s">
        <v>187</v>
      </c>
      <c r="E11" t="s">
        <v>202</v>
      </c>
      <c r="F11" t="s">
        <v>195</v>
      </c>
    </row>
    <row r="12" spans="2:11" x14ac:dyDescent="0.3">
      <c r="B12" t="s">
        <v>175</v>
      </c>
      <c r="C12" t="s">
        <v>176</v>
      </c>
      <c r="D12">
        <v>1</v>
      </c>
      <c r="E12">
        <v>2</v>
      </c>
      <c r="F12">
        <v>0</v>
      </c>
    </row>
    <row r="14" spans="2:11" x14ac:dyDescent="0.3">
      <c r="H14" t="s">
        <v>207</v>
      </c>
      <c r="I14" t="s">
        <v>2</v>
      </c>
    </row>
    <row r="15" spans="2:11" x14ac:dyDescent="0.3">
      <c r="H15" t="s">
        <v>111</v>
      </c>
      <c r="I15" t="s">
        <v>23</v>
      </c>
      <c r="J15" t="s">
        <v>108</v>
      </c>
      <c r="K15" t="s">
        <v>208</v>
      </c>
    </row>
    <row r="16" spans="2:11" x14ac:dyDescent="0.3">
      <c r="G16" t="s">
        <v>110</v>
      </c>
      <c r="H16">
        <f>F7</f>
        <v>1</v>
      </c>
      <c r="I16">
        <f>'gr-all'!F3</f>
        <v>3</v>
      </c>
      <c r="K16">
        <f>(H16+I16)/2</f>
        <v>2</v>
      </c>
    </row>
    <row r="18" spans="10:11" x14ac:dyDescent="0.3">
      <c r="J18" t="s">
        <v>213</v>
      </c>
      <c r="K18">
        <f>K16</f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finding ontologies</vt:lpstr>
      <vt:lpstr>qc 1</vt:lpstr>
      <vt:lpstr>Tabelle1</vt:lpstr>
      <vt:lpstr>mappings</vt:lpstr>
      <vt:lpstr>mapping tp fp</vt:lpstr>
      <vt:lpstr>hypermodules</vt:lpstr>
      <vt:lpstr>defined concepts</vt:lpstr>
      <vt:lpstr>ucum-all</vt:lpstr>
      <vt:lpstr>pronto-all</vt:lpstr>
      <vt:lpstr>gr-all</vt:lpstr>
      <vt:lpstr>sweet-all</vt:lpstr>
      <vt:lpstr>oum-all</vt:lpstr>
      <vt:lpstr>Tabelle2</vt:lpstr>
      <vt:lpstr>mdoprov-all</vt:lpstr>
      <vt:lpstr>qudt-all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2020-11-29T08:12:42Z</dcterms:created>
  <dcterms:modified xsi:type="dcterms:W3CDTF">2022-01-09T15:13:05Z</dcterms:modified>
</cp:coreProperties>
</file>