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studos\SoilCorrectionNET\"/>
    </mc:Choice>
  </mc:AlternateContent>
  <xr:revisionPtr revIDLastSave="0" documentId="13_ncr:1_{53736642-987C-4F2C-90C4-8366707C5110}" xr6:coauthVersionLast="47" xr6:coauthVersionMax="47" xr10:uidLastSave="{00000000-0000-0000-0000-000000000000}"/>
  <bookViews>
    <workbookView xWindow="28680" yWindow="0" windowWidth="29040" windowHeight="15720" tabRatio="500" activeTab="3" xr2:uid="{00000000-000D-0000-FFFF-FFFF00000000}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D28" i="2" l="1"/>
  <c r="J64" i="5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P78" i="2"/>
  <c r="K70" i="4"/>
  <c r="R26" i="2"/>
  <c r="U16" i="2"/>
  <c r="J39" i="2"/>
  <c r="K25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L25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C68" i="4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H16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O110" i="2"/>
  <c r="K75" i="4"/>
  <c r="O73" i="2"/>
  <c r="E37" i="2"/>
  <c r="H73" i="4"/>
  <c r="E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 shapeId="0" xr:uid="{00000000-0006-0000-0100-000003000000}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 shapeId="0" xr:uid="{00000000-0006-0000-0100-000004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 shapeId="0" xr:uid="{00000000-0006-0000-0100-000007000000}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 shapeId="0" xr:uid="{00000000-0006-0000-0100-000008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 shapeId="0" xr:uid="{00000000-0006-0000-0100-000009000000}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1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<sst xmlns="http://schemas.openxmlformats.org/spreadsheetml/2006/main" count="541" uniqueCount="346">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</sst>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4" fontId="0" fillId="2" borderId="0" xfId="0" applyNumberFormat="1" applyFill="1" applyBorder="1" applyAlignment="1" applyProtection="1">
      <alignment horizontal="center"/>
    </xf>
    <xf numFmtId="14" fontId="0" fillId="37" borderId="0" xfId="0" applyNumberFormat="1" applyFill="1"/>
    <xf numFmtId="14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0" fillId="2" borderId="1" xfId="0" applyFont="1" applyFill="1" applyBorder="1" applyAlignment="1">
      <alignment horizontal="center" vertical="center" wrapText="1"/>
    </xf>
    <xf numFmtId="2" fontId="54" fillId="3" borderId="0" xfId="0" applyNumberFormat="1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 applyProtection="1">
      <alignment horizontal="left"/>
    </xf>
    <xf numFmtId="0" fontId="36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2" fontId="15" fillId="2" borderId="5" xfId="0" applyNumberFormat="1" applyFont="1" applyFill="1" applyBorder="1" applyAlignment="1">
      <alignment horizontal="center"/>
    </xf>
    <xf numFmtId="0" fontId="13" fillId="6" borderId="43" xfId="0" applyFont="1" applyFill="1" applyBorder="1" applyAlignment="1" applyProtection="1">
      <alignment horizont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4" fontId="9" fillId="2" borderId="9" xfId="0" applyNumberFormat="1" applyFont="1" applyFill="1" applyBorder="1" applyAlignment="1">
      <alignment horizontal="left" vertic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 applyProtection="1">
      <alignment horizontal="left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2" fontId="24" fillId="12" borderId="12" xfId="0" applyNumberFormat="1" applyFont="1" applyFill="1" applyBorder="1" applyAlignment="1">
      <alignment horizontal="center"/>
    </xf>
    <xf numFmtId="2" fontId="9" fillId="11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0" fontId="9" fillId="4" borderId="0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65" fillId="2" borderId="14" xfId="0" applyFont="1" applyFill="1" applyBorder="1" applyAlignment="1">
      <alignment horizontal="center" vertical="center"/>
    </xf>
    <xf numFmtId="0" fontId="66" fillId="2" borderId="69" xfId="0" applyFont="1" applyFill="1" applyBorder="1" applyAlignment="1">
      <alignment horizontal="center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0" fontId="0" fillId="2" borderId="9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82" fillId="2" borderId="0" xfId="0" applyFont="1" applyFill="1" applyBorder="1" applyAlignment="1" applyProtection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zoomScale="110" zoomScaleNormal="110" zoomScalePageLayoutView="110" workbookViewId="0">
      <selection activeCell="T26" sqref="T26"/>
    </sheetView>
  </sheetViews>
  <sheetFormatPr defaultColWidth="8.85546875" defaultRowHeight="12.75" x14ac:dyDescent="0.2"/>
  <cols>
    <col min="1" max="1" width="95" customWidth="1"/>
    <col min="2" max="1023" width="1" customWidth="1"/>
    <col min="1024" max="1025" width="1.28515625" customWidth="1"/>
  </cols>
  <sheetData>
    <row r="1" spans="1:1" ht="12.75" customHeight="1" x14ac:dyDescent="0.2">
      <c r="A1" s="1"/>
    </row>
    <row r="2" spans="1:1" ht="12.75" customHeight="1" x14ac:dyDescent="0.2">
      <c r="A2" s="2"/>
    </row>
    <row r="3" spans="1:1" ht="12.75" customHeight="1" x14ac:dyDescent="0.2">
      <c r="A3" s="3" t="s">
        <v>0</v>
      </c>
    </row>
    <row r="4" spans="1:1" ht="12.75" customHeight="1" x14ac:dyDescent="0.2">
      <c r="A4" s="3" t="s">
        <v>1</v>
      </c>
    </row>
    <row r="5" spans="1:1" ht="12.75" customHeight="1" x14ac:dyDescent="0.2">
      <c r="A5" s="3" t="s">
        <v>2</v>
      </c>
    </row>
    <row r="6" spans="1:1" ht="12.75" customHeight="1" x14ac:dyDescent="0.2">
      <c r="A6" s="3"/>
    </row>
    <row r="7" spans="1:1" ht="12.75" customHeight="1" x14ac:dyDescent="0.2">
      <c r="A7" s="4" t="s">
        <v>3</v>
      </c>
    </row>
    <row r="8" spans="1:1" ht="12.75" customHeight="1" x14ac:dyDescent="0.2">
      <c r="A8" s="3"/>
    </row>
    <row r="9" spans="1:1" ht="12.75" customHeight="1" x14ac:dyDescent="0.2">
      <c r="A9" s="5" t="s">
        <v>4</v>
      </c>
    </row>
    <row r="10" spans="1:1" ht="12.75" customHeight="1" x14ac:dyDescent="0.2">
      <c r="A10" s="3" t="s">
        <v>5</v>
      </c>
    </row>
    <row r="11" spans="1:1" ht="12.75" customHeight="1" x14ac:dyDescent="0.2">
      <c r="A11" s="3" t="s">
        <v>6</v>
      </c>
    </row>
    <row r="12" spans="1:1" ht="12.75" customHeight="1" x14ac:dyDescent="0.2">
      <c r="A12" s="3" t="s">
        <v>7</v>
      </c>
    </row>
    <row r="13" spans="1:1" ht="12.75" customHeight="1" x14ac:dyDescent="0.2">
      <c r="A13" s="3" t="s">
        <v>8</v>
      </c>
    </row>
    <row r="14" spans="1:1" ht="12.75" customHeight="1" x14ac:dyDescent="0.2">
      <c r="A14" s="6" t="s">
        <v>9</v>
      </c>
    </row>
    <row r="15" spans="1:1" ht="12.75" customHeight="1" x14ac:dyDescent="0.2">
      <c r="A15" s="6" t="s">
        <v>10</v>
      </c>
    </row>
    <row r="16" spans="1:1" ht="12.75" customHeight="1" x14ac:dyDescent="0.2">
      <c r="A16" s="3"/>
    </row>
    <row r="17" spans="1:1" ht="12.75" customHeight="1" x14ac:dyDescent="0.2">
      <c r="A17" s="3" t="s">
        <v>11</v>
      </c>
    </row>
    <row r="18" spans="1:1" ht="12.75" customHeight="1" x14ac:dyDescent="0.2">
      <c r="A18" s="3" t="s">
        <v>12</v>
      </c>
    </row>
    <row r="19" spans="1:1" ht="12.75" customHeight="1" x14ac:dyDescent="0.2">
      <c r="A19" s="3" t="s">
        <v>13</v>
      </c>
    </row>
    <row r="20" spans="1:1" ht="12.75" customHeight="1" x14ac:dyDescent="0.2">
      <c r="A20" s="3" t="s">
        <v>14</v>
      </c>
    </row>
    <row r="21" spans="1:1" ht="12.75" customHeight="1" x14ac:dyDescent="0.2">
      <c r="A21" s="3"/>
    </row>
    <row r="22" spans="1:1" ht="12.75" customHeight="1" x14ac:dyDescent="0.2">
      <c r="A22" s="7" t="s">
        <v>15</v>
      </c>
    </row>
    <row r="23" spans="1:1" ht="14.85" customHeight="1" x14ac:dyDescent="0.2">
      <c r="A23" s="3" t="s">
        <v>16</v>
      </c>
    </row>
    <row r="24" spans="1:1" ht="12.75" customHeight="1" x14ac:dyDescent="0.2">
      <c r="A24" s="3" t="s">
        <v>17</v>
      </c>
    </row>
    <row r="25" spans="1:1" ht="12.75" customHeight="1" x14ac:dyDescent="0.2">
      <c r="A25" s="3" t="s">
        <v>18</v>
      </c>
    </row>
    <row r="26" spans="1:1" ht="12.75" customHeight="1" x14ac:dyDescent="0.2">
      <c r="A26" s="3"/>
    </row>
    <row r="27" spans="1:1" ht="26.85" customHeight="1" x14ac:dyDescent="0.2">
      <c r="A27" s="602" t="s">
        <v>19</v>
      </c>
    </row>
    <row r="28" spans="1:1" ht="14.85" customHeight="1" x14ac:dyDescent="0.2">
      <c r="A28" s="602"/>
    </row>
    <row r="29" spans="1:1" ht="14.85" customHeight="1" x14ac:dyDescent="0.2">
      <c r="A29" s="8"/>
    </row>
    <row r="30" spans="1:1" ht="12.75" customHeight="1" x14ac:dyDescent="0.2">
      <c r="A30" s="3"/>
    </row>
    <row r="31" spans="1:1" ht="12.75" customHeight="1" x14ac:dyDescent="0.2">
      <c r="A31" s="3"/>
    </row>
    <row r="32" spans="1:1" ht="12.75" customHeight="1" x14ac:dyDescent="0.2">
      <c r="A32" s="3"/>
    </row>
    <row r="33" spans="1:1" ht="12.75" customHeight="1" x14ac:dyDescent="0.2">
      <c r="A33" s="3"/>
    </row>
    <row r="34" spans="1:1" ht="12.75" customHeight="1" x14ac:dyDescent="0.2">
      <c r="A34" s="3"/>
    </row>
    <row r="35" spans="1:1" ht="12.75" customHeight="1" x14ac:dyDescent="0.2">
      <c r="A35" s="3"/>
    </row>
    <row r="36" spans="1:1" ht="12.75" customHeight="1" x14ac:dyDescent="0.2">
      <c r="A36" s="3"/>
    </row>
    <row r="37" spans="1:1" ht="12.75" customHeight="1" x14ac:dyDescent="0.2">
      <c r="A37" s="3"/>
    </row>
    <row r="38" spans="1:1" ht="12.75" customHeight="1" x14ac:dyDescent="0.2">
      <c r="A38" s="3"/>
    </row>
    <row r="39" spans="1:1" ht="12.95" customHeight="1" x14ac:dyDescent="0.2">
      <c r="A39" s="9"/>
    </row>
  </sheetData>
  <mergeCells count="1">
    <mergeCell ref="A27:A28"/>
  </mergeCells>
  <hyperlinks>
    <hyperlink ref="A7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8576"/>
  <sheetViews>
    <sheetView topLeftCell="K17" zoomScale="110" zoomScaleNormal="110" zoomScalePageLayoutView="110" workbookViewId="0">
      <selection activeCell="AD28" sqref="AD28"/>
    </sheetView>
  </sheetViews>
  <sheetFormatPr defaultColWidth="8.85546875" defaultRowHeight="12.75" x14ac:dyDescent="0.2"/>
  <cols>
    <col min="1" max="1" width="8.85546875" style="10"/>
    <col min="2" max="2" width="10.7109375" style="10" customWidth="1"/>
    <col min="3" max="3" width="9.28515625" style="10" customWidth="1"/>
    <col min="4" max="4" width="14.7109375" style="10" customWidth="1"/>
    <col min="5" max="5" width="10.85546875" style="10" customWidth="1"/>
    <col min="6" max="6" width="9.28515625" style="10" customWidth="1"/>
    <col min="7" max="7" width="9" style="10" customWidth="1"/>
    <col min="8" max="8" width="8.140625" style="10" customWidth="1"/>
    <col min="9" max="9" width="10.42578125" style="10" customWidth="1"/>
    <col min="10" max="10" width="9.28515625" style="10" customWidth="1"/>
    <col min="11" max="11" width="10" style="10" customWidth="1"/>
    <col min="12" max="12" width="8.85546875" style="10" customWidth="1"/>
    <col min="13" max="33" width="8.85546875" style="11" customWidth="1"/>
    <col min="34" max="42" width="8.85546875" style="12" customWidth="1"/>
    <col min="43" max="52" width="8.85546875" style="11" customWidth="1"/>
    <col min="53" max="257" width="8.85546875" style="10" customWidth="1"/>
    <col min="258" max="1023" width="8.85546875" customWidth="1"/>
    <col min="1024" max="1025" width="1.28515625" customWidth="1"/>
  </cols>
  <sheetData>
    <row r="1" spans="1:256" ht="15.95" customHeight="1" x14ac:dyDescent="0.2">
      <c r="A1" s="717" t="s">
        <v>20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8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256" ht="19.5" customHeight="1" x14ac:dyDescent="0.2">
      <c r="A2" s="717"/>
      <c r="B2" s="717"/>
      <c r="C2" s="717"/>
      <c r="D2" s="717"/>
      <c r="E2" s="717"/>
      <c r="F2" s="717"/>
      <c r="G2" s="717"/>
      <c r="H2" s="717"/>
      <c r="I2" s="717"/>
      <c r="J2" s="717"/>
      <c r="K2" s="717"/>
      <c r="L2" s="718"/>
      <c r="O2" s="14" t="str">
        <f>IF(J6=1,"Plantio Direto",IF(J6=2,"Convencional",""))</f>
        <v>Plantio Direto</v>
      </c>
      <c r="Q2" s="617" t="s">
        <v>21</v>
      </c>
      <c r="R2" s="617"/>
      <c r="S2" s="617"/>
      <c r="T2" s="617"/>
      <c r="U2" s="617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</row>
    <row r="3" spans="1:256" ht="19.5" customHeight="1" x14ac:dyDescent="0.25">
      <c r="A3" s="16" t="s">
        <v>22</v>
      </c>
      <c r="B3" s="716" t="s">
        <v>23</v>
      </c>
      <c r="C3" s="716"/>
      <c r="D3" s="716"/>
      <c r="E3" s="716"/>
      <c r="F3" s="716"/>
      <c r="G3" s="716"/>
      <c r="H3" s="716"/>
      <c r="I3" s="15" t="s">
        <v>24</v>
      </c>
      <c r="J3" s="17">
        <v>43381</v>
      </c>
      <c r="K3" s="18"/>
      <c r="L3" s="19"/>
      <c r="O3" s="20" t="str">
        <f>IF(C6=1,"+ 40% de argila",IF(C6=2,"25 a 40% de argila",""))</f>
        <v>+ 40% de argila</v>
      </c>
      <c r="Q3" s="719">
        <f>Y51</f>
        <v>5.5178391958328223E-2</v>
      </c>
      <c r="R3" s="719"/>
      <c r="S3" s="719"/>
      <c r="T3" s="719"/>
      <c r="U3" s="719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256" ht="18.75" customHeight="1" x14ac:dyDescent="0.25">
      <c r="A4" s="22" t="s">
        <v>25</v>
      </c>
      <c r="B4" s="720" t="s">
        <v>26</v>
      </c>
      <c r="C4" s="720"/>
      <c r="D4" s="720"/>
      <c r="E4" s="720"/>
      <c r="F4" s="721" t="s">
        <v>27</v>
      </c>
      <c r="G4" s="721"/>
      <c r="H4" s="722"/>
      <c r="I4" s="722"/>
      <c r="J4" s="723" t="s">
        <v>28</v>
      </c>
      <c r="K4" s="723"/>
      <c r="L4" s="23">
        <v>4.84</v>
      </c>
      <c r="M4" s="24"/>
      <c r="N4" s="11" t="str">
        <f>IF(D22&gt;0.01,D22,"")</f>
        <v/>
      </c>
      <c r="O4" s="20" t="str">
        <f>IF(C6=1,"Argiloso",IF(C6=2,"Text. Média",""))</f>
        <v>Argiloso</v>
      </c>
      <c r="Q4" s="606" t="str">
        <f>U52</f>
        <v>Boa resposta a adubação com Potássio</v>
      </c>
      <c r="R4" s="606"/>
      <c r="S4" s="606"/>
      <c r="T4" s="606"/>
      <c r="U4" s="606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</row>
    <row r="5" spans="1:256" ht="20.100000000000001" customHeight="1" x14ac:dyDescent="0.25">
      <c r="A5" s="16" t="s">
        <v>29</v>
      </c>
      <c r="B5" s="709">
        <v>1</v>
      </c>
      <c r="C5" s="709"/>
      <c r="D5" s="709"/>
      <c r="E5" s="710" t="s">
        <v>30</v>
      </c>
      <c r="F5" s="710"/>
      <c r="G5" s="710"/>
      <c r="H5" s="711">
        <v>4.84</v>
      </c>
      <c r="I5" s="711"/>
      <c r="J5" s="712" t="s">
        <v>31</v>
      </c>
      <c r="K5" s="712"/>
      <c r="L5" s="26"/>
      <c r="M5" s="27">
        <f>H11+M60+O66+N70</f>
        <v>1.63</v>
      </c>
      <c r="N5" s="11" t="str">
        <f>IF(K7&gt;0.01,"cm","")</f>
        <v>cm</v>
      </c>
      <c r="O5" s="11">
        <f>IF(O6&gt;0.01,O6,"")</f>
        <v>50</v>
      </c>
      <c r="Q5" s="28" t="s">
        <v>32</v>
      </c>
      <c r="R5" s="29">
        <f>F11+H11+D11</f>
        <v>7.54</v>
      </c>
      <c r="S5" s="11">
        <f>IF(R5&gt;0.01,R5,"")</f>
        <v>7.54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</row>
    <row r="6" spans="1:256" ht="20.100000000000001" customHeight="1" x14ac:dyDescent="0.2">
      <c r="A6" s="713" t="s">
        <v>33</v>
      </c>
      <c r="B6" s="713"/>
      <c r="C6" s="30">
        <v>1</v>
      </c>
      <c r="D6" s="31" t="str">
        <f>O4</f>
        <v>Argiloso</v>
      </c>
      <c r="E6" s="32" t="str">
        <f>O3</f>
        <v>+ 40% de argila</v>
      </c>
      <c r="F6" s="33"/>
      <c r="G6" s="714" t="s">
        <v>34</v>
      </c>
      <c r="H6" s="714"/>
      <c r="I6" s="714"/>
      <c r="J6" s="34">
        <v>1</v>
      </c>
      <c r="K6" s="715" t="str">
        <f>O2</f>
        <v>Plantio Direto</v>
      </c>
      <c r="L6" s="715"/>
      <c r="O6" s="11">
        <f>P33*10</f>
        <v>50</v>
      </c>
      <c r="Q6" s="28" t="s">
        <v>35</v>
      </c>
      <c r="R6" s="29">
        <f>R5+L11</f>
        <v>12.89</v>
      </c>
      <c r="S6" s="11">
        <f>IF(R6&gt;0.01,R6,"")</f>
        <v>12.89</v>
      </c>
      <c r="V6" s="11" t="s">
        <v>36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</row>
    <row r="7" spans="1:256" s="13" customFormat="1" ht="20.100000000000001" customHeight="1" x14ac:dyDescent="0.25">
      <c r="A7" s="22" t="s">
        <v>37</v>
      </c>
      <c r="B7" s="18"/>
      <c r="C7" s="716" t="s">
        <v>0</v>
      </c>
      <c r="D7" s="716"/>
      <c r="E7" s="716"/>
      <c r="F7" s="716"/>
      <c r="G7" s="35" t="s">
        <v>38</v>
      </c>
      <c r="H7" s="35"/>
      <c r="I7" s="35"/>
      <c r="J7" s="35"/>
      <c r="K7" s="30">
        <v>20</v>
      </c>
      <c r="L7" s="36" t="s">
        <v>39</v>
      </c>
      <c r="M7" s="11"/>
      <c r="N7" s="706">
        <f>IF(K7=1,"0 a 10",IF(K7=2,"0 a 20",0))</f>
        <v>0</v>
      </c>
      <c r="O7" s="706"/>
      <c r="P7" s="11"/>
      <c r="Q7" s="11"/>
      <c r="R7" s="29">
        <f>100*R5/R6</f>
        <v>58.494957331264544</v>
      </c>
      <c r="S7" s="11"/>
      <c r="T7" s="18"/>
      <c r="U7" s="18"/>
      <c r="V7" s="18" t="s">
        <v>40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8"/>
      <c r="AS7" s="38"/>
      <c r="AT7" s="38"/>
      <c r="AU7" s="11"/>
      <c r="AV7" s="11"/>
      <c r="AW7" s="11"/>
      <c r="AX7" s="11"/>
      <c r="AY7" s="11"/>
      <c r="AZ7" s="11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3" customFormat="1" ht="20.100000000000001" customHeight="1" x14ac:dyDescent="0.2">
      <c r="A8" s="39" t="s">
        <v>41</v>
      </c>
      <c r="B8" s="40"/>
      <c r="C8" s="40"/>
      <c r="D8" s="40"/>
      <c r="E8" s="701">
        <v>761</v>
      </c>
      <c r="F8" s="701"/>
      <c r="G8" s="41"/>
      <c r="H8" s="41"/>
      <c r="I8" s="41"/>
      <c r="J8" s="41"/>
      <c r="K8" s="41"/>
      <c r="L8" s="42"/>
      <c r="M8" s="11"/>
      <c r="N8" s="20"/>
      <c r="O8" s="11">
        <f>R33/10</f>
        <v>4.5</v>
      </c>
      <c r="P8" s="43">
        <f>R33/10</f>
        <v>4.5</v>
      </c>
      <c r="Q8" s="11"/>
      <c r="R8" s="11"/>
      <c r="S8" s="1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8"/>
      <c r="AS8" s="38"/>
      <c r="AT8" s="38"/>
      <c r="AU8" s="11"/>
      <c r="AV8" s="11"/>
      <c r="AW8" s="11"/>
      <c r="AX8" s="11"/>
      <c r="AY8" s="11"/>
      <c r="AZ8" s="11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20.100000000000001" customHeight="1" x14ac:dyDescent="0.25">
      <c r="A9" s="702" t="s">
        <v>42</v>
      </c>
      <c r="B9" s="44" t="s">
        <v>43</v>
      </c>
      <c r="C9" s="45" t="s">
        <v>44</v>
      </c>
      <c r="D9" s="703" t="s">
        <v>45</v>
      </c>
      <c r="E9" s="703"/>
      <c r="F9" s="703"/>
      <c r="G9" s="703"/>
      <c r="H9" s="703"/>
      <c r="I9" s="703"/>
      <c r="J9" s="46" t="s">
        <v>43</v>
      </c>
      <c r="K9" s="704" t="s">
        <v>46</v>
      </c>
      <c r="L9" s="705" t="s">
        <v>47</v>
      </c>
      <c r="M9" s="47"/>
      <c r="N9" s="706" t="str">
        <f>IF(C6=1,"9,0",IF(C6=2,"12,0",""))</f>
        <v>9,0</v>
      </c>
      <c r="O9" s="706"/>
      <c r="P9" s="47"/>
      <c r="Q9" s="47"/>
      <c r="R9" s="47"/>
      <c r="S9" s="47"/>
      <c r="T9" s="4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8"/>
      <c r="AS9" s="38"/>
      <c r="AT9" s="3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256" ht="20.100000000000001" customHeight="1" x14ac:dyDescent="0.2">
      <c r="A10" s="702"/>
      <c r="B10" s="707" t="s">
        <v>48</v>
      </c>
      <c r="C10" s="707"/>
      <c r="D10" s="708" t="s">
        <v>49</v>
      </c>
      <c r="E10" s="708"/>
      <c r="F10" s="708" t="s">
        <v>50</v>
      </c>
      <c r="G10" s="708"/>
      <c r="H10" s="708" t="s">
        <v>51</v>
      </c>
      <c r="I10" s="708"/>
      <c r="J10" s="49" t="s">
        <v>52</v>
      </c>
      <c r="K10" s="704"/>
      <c r="L10" s="705"/>
      <c r="M10" s="50"/>
      <c r="O10" s="51">
        <f>D11/R6*100</f>
        <v>1.1636927851047323</v>
      </c>
      <c r="P10" s="51">
        <f>F11/R6*100</f>
        <v>44.685802948021717</v>
      </c>
      <c r="Q10" s="11">
        <f>H11/R6*100</f>
        <v>12.645461598138091</v>
      </c>
      <c r="R10" s="11">
        <f>J11/R6*100</f>
        <v>28.471683475562447</v>
      </c>
      <c r="S10" s="11">
        <f>L11/R6*100</f>
        <v>41.505042668735449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256" ht="20.100000000000001" customHeight="1" x14ac:dyDescent="0.25">
      <c r="A11" s="52" t="s">
        <v>53</v>
      </c>
      <c r="B11" s="695">
        <v>8.59</v>
      </c>
      <c r="C11" s="695"/>
      <c r="D11" s="695">
        <v>0.15</v>
      </c>
      <c r="E11" s="695"/>
      <c r="F11" s="695">
        <v>5.76</v>
      </c>
      <c r="G11" s="695"/>
      <c r="H11" s="695">
        <v>1.63</v>
      </c>
      <c r="I11" s="695"/>
      <c r="J11" s="53">
        <v>3.67</v>
      </c>
      <c r="K11" s="53">
        <v>0</v>
      </c>
      <c r="L11" s="54">
        <v>5.35</v>
      </c>
      <c r="M11" s="696"/>
      <c r="N11" s="696"/>
      <c r="O11" s="55">
        <f>AB64</f>
        <v>8.59</v>
      </c>
      <c r="P11" s="56" t="s">
        <v>54</v>
      </c>
      <c r="T11" s="18"/>
      <c r="U11" s="691" t="str">
        <f>IF(C6=1,"9,0",IF(C6=2,"6,0",""))</f>
        <v>9,0</v>
      </c>
      <c r="V11" s="691"/>
      <c r="W11" s="697">
        <v>0</v>
      </c>
      <c r="X11" s="697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R11" s="38"/>
      <c r="AS11" s="38"/>
      <c r="AT11" s="38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</row>
    <row r="12" spans="1:256" ht="20.100000000000001" customHeight="1" x14ac:dyDescent="0.25">
      <c r="A12" s="58" t="s">
        <v>55</v>
      </c>
      <c r="B12" s="698" t="str">
        <f>N9</f>
        <v>9,0</v>
      </c>
      <c r="C12" s="698"/>
      <c r="D12" s="699" t="str">
        <f>Q13</f>
        <v>0,35</v>
      </c>
      <c r="E12" s="699"/>
      <c r="F12" s="700" t="str">
        <f>S13</f>
        <v>6,0</v>
      </c>
      <c r="G12" s="700"/>
      <c r="H12" s="700" t="str">
        <f>U13</f>
        <v>1,5</v>
      </c>
      <c r="I12" s="700"/>
      <c r="J12" s="59" t="str">
        <f>U11</f>
        <v>9,0</v>
      </c>
      <c r="K12" s="59">
        <f>W11</f>
        <v>0</v>
      </c>
      <c r="L12" s="60"/>
      <c r="M12" s="61" t="s">
        <v>56</v>
      </c>
      <c r="N12" s="62" t="s">
        <v>57</v>
      </c>
      <c r="O12" s="63" t="str">
        <f>IFERROR(M24,"")</f>
        <v/>
      </c>
      <c r="P12" s="51">
        <f>IF(P38&gt;0.001,AF22,AE23)</f>
        <v>4.5</v>
      </c>
      <c r="T12" s="18"/>
      <c r="U12" s="18" t="s">
        <v>58</v>
      </c>
      <c r="V12" s="18"/>
      <c r="W12" s="18"/>
      <c r="X12" s="18"/>
      <c r="Y12" s="18"/>
      <c r="Z12" s="18"/>
      <c r="AA12" s="18"/>
      <c r="AB12" s="18"/>
      <c r="AC12" s="18"/>
      <c r="AD12" s="18"/>
      <c r="AE12" s="18">
        <f>IF(P33&gt;0.01,AD23,"")</f>
        <v>29.069767441860463</v>
      </c>
      <c r="AF12" s="18"/>
      <c r="AG12" s="18"/>
      <c r="AH12" s="37"/>
      <c r="AI12" s="37"/>
      <c r="AJ12" s="37" t="s">
        <v>59</v>
      </c>
      <c r="AK12" s="64"/>
      <c r="AL12" s="37"/>
      <c r="AM12" s="37"/>
      <c r="AN12" s="37"/>
      <c r="AO12" s="37"/>
      <c r="AP12" s="37"/>
      <c r="AQ12" s="38"/>
      <c r="AR12" s="38"/>
      <c r="AS12" s="38"/>
      <c r="AT12" s="3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256" ht="22.5" customHeight="1" x14ac:dyDescent="0.25">
      <c r="A13" s="65" t="s">
        <v>60</v>
      </c>
      <c r="B13" s="690" t="str">
        <f>N4</f>
        <v/>
      </c>
      <c r="C13" s="690"/>
      <c r="D13" s="690">
        <f>Q16</f>
        <v>0.64450000000000007</v>
      </c>
      <c r="E13" s="690"/>
      <c r="F13" s="690" t="str">
        <f>N13</f>
        <v/>
      </c>
      <c r="G13" s="690"/>
      <c r="H13" s="690">
        <f>V16</f>
        <v>1.63</v>
      </c>
      <c r="I13" s="690"/>
      <c r="J13" s="66"/>
      <c r="K13" s="66"/>
      <c r="L13" s="67"/>
      <c r="M13" s="11">
        <f>H23*0.6</f>
        <v>0</v>
      </c>
      <c r="N13" s="63" t="str">
        <f>IFERROR(V65,"")</f>
        <v/>
      </c>
      <c r="O13" s="10"/>
      <c r="P13" s="63" t="str">
        <f>IFERROR('Memória de cálculo'!B22,"")</f>
        <v/>
      </c>
      <c r="Q13" s="691" t="str">
        <f>IF(C6=1,"0,35",IF(C6=2,"0,25",""))</f>
        <v>0,35</v>
      </c>
      <c r="R13" s="691"/>
      <c r="S13" s="691" t="str">
        <f>IF(C6=1,"6,0",IF(C6=2,"4,0",""))</f>
        <v>6,0</v>
      </c>
      <c r="T13" s="691"/>
      <c r="U13" s="691" t="str">
        <f>IF(C6=1,"1,5",IF(C6=2,"1,0",""))</f>
        <v>1,5</v>
      </c>
      <c r="V13" s="691"/>
      <c r="W13" s="18"/>
      <c r="X13" s="18"/>
      <c r="Y13" s="18"/>
      <c r="Z13" s="18"/>
      <c r="AA13" s="18"/>
      <c r="AB13" s="18"/>
      <c r="AC13" s="18"/>
      <c r="AD13" s="18" t="str">
        <f>IF(AD21&gt;0.01,"M. O .(%)","")</f>
        <v>M. O .(%)</v>
      </c>
      <c r="AE13" s="18">
        <f>IF(AD21&gt;0.01,AD21,AD23)</f>
        <v>26.162790697674421</v>
      </c>
      <c r="AF13" s="18">
        <f>IF(AF22&gt;0.01,AF22,AF24)</f>
        <v>4.5</v>
      </c>
      <c r="AG13" s="18" t="s">
        <v>61</v>
      </c>
      <c r="AH13" s="64"/>
      <c r="AI13" s="37"/>
      <c r="AJ13" s="37" t="s">
        <v>62</v>
      </c>
      <c r="AK13" s="64"/>
      <c r="AL13" s="37"/>
      <c r="AM13" s="37"/>
      <c r="AN13" s="37"/>
      <c r="AO13" s="37"/>
      <c r="AP13" s="37"/>
      <c r="AQ13" s="38"/>
      <c r="AR13" s="38"/>
      <c r="AS13" s="38"/>
      <c r="AT13" s="3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256" ht="15.75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1"/>
      <c r="N14" s="63"/>
      <c r="O14" s="63"/>
      <c r="P14" s="63"/>
      <c r="Q14" s="57"/>
      <c r="R14" s="57"/>
      <c r="S14" s="57"/>
      <c r="T14" s="57"/>
      <c r="U14" s="57"/>
      <c r="V14" s="57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64"/>
      <c r="AI14" s="37"/>
      <c r="AJ14" s="37"/>
      <c r="AK14" s="64"/>
      <c r="AL14" s="37"/>
      <c r="AM14" s="37"/>
      <c r="AN14" s="37"/>
      <c r="AO14" s="37"/>
      <c r="AP14" s="37"/>
      <c r="AQ14" s="38"/>
      <c r="AR14" s="38"/>
      <c r="AS14" s="38"/>
      <c r="AT14" s="38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256" ht="21" customHeight="1" x14ac:dyDescent="0.25">
      <c r="A15" s="72"/>
      <c r="B15" s="692" t="s">
        <v>63</v>
      </c>
      <c r="C15" s="692"/>
      <c r="D15" s="73">
        <f>S5</f>
        <v>7.54</v>
      </c>
      <c r="E15" s="692" t="s">
        <v>64</v>
      </c>
      <c r="F15" s="692"/>
      <c r="G15" s="73">
        <f>S6</f>
        <v>12.89</v>
      </c>
      <c r="H15" s="693" t="s">
        <v>65</v>
      </c>
      <c r="I15" s="693"/>
      <c r="J15" s="694">
        <f>M16</f>
        <v>58.494957331264544</v>
      </c>
      <c r="K15" s="694"/>
      <c r="L15" s="74"/>
      <c r="O15" s="75">
        <f>G17*10</f>
        <v>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64"/>
      <c r="AI15" s="37"/>
      <c r="AJ15" s="37"/>
      <c r="AK15" s="64"/>
      <c r="AL15" s="37"/>
      <c r="AM15" s="37"/>
      <c r="AN15" s="37"/>
      <c r="AO15" s="37"/>
      <c r="AP15" s="37"/>
      <c r="AQ15" s="38"/>
      <c r="AR15" s="38"/>
      <c r="AS15" s="38"/>
      <c r="AT15" s="38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256" ht="15.75" x14ac:dyDescent="0.25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682"/>
      <c r="L16" s="682"/>
      <c r="M16" s="63">
        <f>IFERROR(R7,"")</f>
        <v>58.494957331264544</v>
      </c>
      <c r="N16" s="77" t="e">
        <f>C55*150</f>
        <v>#VALUE!</v>
      </c>
      <c r="P16" s="63">
        <f>IFERROR(M21,"")</f>
        <v>0</v>
      </c>
      <c r="Q16" s="63">
        <f>IFERROR(T65,"")</f>
        <v>0.64450000000000007</v>
      </c>
      <c r="R16" s="63" t="str">
        <f>IFERROR(R17,"")</f>
        <v/>
      </c>
      <c r="S16" s="63">
        <f>IFERROR(O10,"")</f>
        <v>1.1636927851047323</v>
      </c>
      <c r="T16" s="63" t="str">
        <f>IFERROR('Memória de cálculo'!C66,"")</f>
        <v/>
      </c>
      <c r="U16" s="63" t="str">
        <f>IFERROR(R26,"")</f>
        <v/>
      </c>
      <c r="V16" s="63">
        <f>IFERROR(Y65,"")</f>
        <v>1.63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64"/>
      <c r="AI16" s="37"/>
      <c r="AJ16" s="37"/>
      <c r="AK16" s="64"/>
      <c r="AL16" s="37"/>
      <c r="AM16" s="37"/>
      <c r="AN16" s="37"/>
      <c r="AO16" s="37"/>
      <c r="AP16" s="37"/>
      <c r="AQ16" s="38"/>
      <c r="AR16" s="38"/>
      <c r="AS16" s="38"/>
      <c r="AT16" s="38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22" ht="18.75" customHeight="1" x14ac:dyDescent="0.25">
      <c r="A17" s="683" t="s">
        <v>66</v>
      </c>
      <c r="B17" s="683"/>
      <c r="C17" s="684">
        <v>30.69</v>
      </c>
      <c r="D17" s="684"/>
      <c r="E17" s="683" t="str">
        <f>P20</f>
        <v/>
      </c>
      <c r="F17" s="683"/>
      <c r="G17" s="684"/>
      <c r="H17" s="684"/>
      <c r="I17" s="683" t="str">
        <f>U24</f>
        <v/>
      </c>
      <c r="J17" s="683"/>
      <c r="K17" s="685"/>
      <c r="L17" s="685"/>
      <c r="M17" s="78"/>
      <c r="N17" s="29" t="str">
        <f>IF(D52=4,N16,"")</f>
        <v/>
      </c>
      <c r="O17" s="75">
        <f>H19*10</f>
        <v>0</v>
      </c>
      <c r="P17" s="79">
        <f>K18/1000</f>
        <v>1.7843023255813953E-2</v>
      </c>
      <c r="R17" s="11" t="e">
        <f>AL37/2.42</f>
        <v>#VALUE!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64"/>
      <c r="AI17" s="37"/>
      <c r="AJ17" s="37"/>
      <c r="AK17" s="64"/>
      <c r="AL17" s="37"/>
      <c r="AM17" s="37"/>
      <c r="AN17" s="37"/>
      <c r="AO17" s="37"/>
      <c r="AP17" s="37"/>
      <c r="AQ17" s="38"/>
      <c r="AR17" s="38"/>
      <c r="AS17" s="38"/>
      <c r="AT17" s="38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</row>
    <row r="18" spans="1:122" ht="18.75" customHeight="1" x14ac:dyDescent="0.25">
      <c r="A18" s="686" t="str">
        <f>U26</f>
        <v/>
      </c>
      <c r="B18" s="686"/>
      <c r="C18" s="687">
        <f>V18</f>
        <v>0</v>
      </c>
      <c r="D18" s="687"/>
      <c r="E18" s="677" t="str">
        <f>S18</f>
        <v>M.O. %</v>
      </c>
      <c r="F18" s="677"/>
      <c r="G18" s="688">
        <f>R19</f>
        <v>3.069</v>
      </c>
      <c r="H18" s="688"/>
      <c r="I18" s="687" t="str">
        <f>U18</f>
        <v>Carbono</v>
      </c>
      <c r="J18" s="687"/>
      <c r="K18" s="689">
        <f>U19</f>
        <v>17.843023255813954</v>
      </c>
      <c r="L18" s="689"/>
      <c r="M18" s="80" t="str">
        <f>IFERROR(M19,"")</f>
        <v/>
      </c>
      <c r="N18" s="63" t="str">
        <f>IFERROR(O18,"")</f>
        <v/>
      </c>
      <c r="O18" s="81" t="str">
        <f>IF(O17&gt;0.01,"M. O .(g/dm3)","")</f>
        <v/>
      </c>
      <c r="P18" s="82">
        <f>K17*1.72/10</f>
        <v>0</v>
      </c>
      <c r="Q18" s="83" t="str">
        <f>IF(Q19&gt;0.01,"M. O . %","")</f>
        <v>M. O . %</v>
      </c>
      <c r="R18" s="84">
        <f>C17/10</f>
        <v>3.069</v>
      </c>
      <c r="S18" s="85" t="str">
        <f>IF(S19&gt;0.01,"M.O. %","")</f>
        <v>M.O. %</v>
      </c>
      <c r="T18" s="86" t="str">
        <f>IF(K17&gt;0.01,"M.O. %","")</f>
        <v/>
      </c>
      <c r="U18" s="87" t="str">
        <f>IF(K18&gt;0.01,"Carbono","")</f>
        <v>Carbono</v>
      </c>
      <c r="V18" s="88">
        <f>G17*10</f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4"/>
      <c r="AI18" s="37"/>
      <c r="AJ18" s="37"/>
      <c r="AK18" s="64"/>
      <c r="AL18" s="37"/>
      <c r="AM18" s="37"/>
      <c r="AN18" s="37"/>
      <c r="AO18" s="37"/>
      <c r="AP18" s="37"/>
      <c r="AQ18" s="38"/>
      <c r="AR18" s="38"/>
      <c r="AS18" s="38"/>
      <c r="AT18" s="38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22" ht="18.75" customHeight="1" x14ac:dyDescent="0.25">
      <c r="A19" s="675" t="str">
        <f>V27</f>
        <v/>
      </c>
      <c r="B19" s="675"/>
      <c r="C19" s="676" t="str">
        <f>W19</f>
        <v/>
      </c>
      <c r="D19" s="676"/>
      <c r="E19" s="677" t="str">
        <f>T18</f>
        <v/>
      </c>
      <c r="F19" s="677"/>
      <c r="G19" s="676" t="str">
        <f>P19</f>
        <v/>
      </c>
      <c r="H19" s="676"/>
      <c r="I19" s="678" t="s">
        <v>67</v>
      </c>
      <c r="J19" s="678"/>
      <c r="K19" s="679" t="s">
        <v>68</v>
      </c>
      <c r="L19" s="679"/>
      <c r="M19" s="81" t="str">
        <f>IF(O17&gt;0.01,"M. O .(g/dm3)","")</f>
        <v/>
      </c>
      <c r="N19" s="63" t="str">
        <f>IFERROR(O19,"")</f>
        <v/>
      </c>
      <c r="O19" s="81" t="str">
        <f>IF(O17&gt;0.01,"M. O .(g/dm3)","")</f>
        <v/>
      </c>
      <c r="P19" s="11" t="str">
        <f>IF(P18&gt;0.01,P18,"")</f>
        <v/>
      </c>
      <c r="Q19" s="89">
        <f>G18/1.72*10</f>
        <v>17.843023255813954</v>
      </c>
      <c r="R19" s="11">
        <f>IF(R18&gt;0.01,R18,"0,00")</f>
        <v>3.069</v>
      </c>
      <c r="S19" s="89">
        <f>G18/1.72*10</f>
        <v>17.843023255813954</v>
      </c>
      <c r="T19" s="18"/>
      <c r="U19" s="90">
        <f>IF(U20&gt;0.01,U20,U21)</f>
        <v>17.843023255813954</v>
      </c>
      <c r="V19" s="91" t="e">
        <f>G19*10</f>
        <v>#VALUE!</v>
      </c>
      <c r="W19" s="63" t="str">
        <f>IFERROR(V19,"")</f>
        <v/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64"/>
      <c r="AI19" s="37"/>
      <c r="AJ19" s="37"/>
      <c r="AK19" s="64"/>
      <c r="AL19" s="37"/>
      <c r="AM19" s="37"/>
      <c r="AN19" s="37"/>
      <c r="AO19" s="37"/>
      <c r="AP19" s="37"/>
      <c r="AQ19" s="38"/>
      <c r="AR19" s="38"/>
      <c r="AS19" s="38"/>
      <c r="AT19" s="38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22" ht="7.5" customHeight="1" x14ac:dyDescent="0.25">
      <c r="A20" s="76"/>
      <c r="B20" s="40"/>
      <c r="C20" s="40"/>
      <c r="D20" s="40"/>
      <c r="E20" s="40"/>
      <c r="F20" s="40"/>
      <c r="G20" s="92"/>
      <c r="H20" s="92"/>
      <c r="I20" s="92"/>
      <c r="J20" s="93"/>
      <c r="K20" s="93"/>
      <c r="L20" s="94"/>
      <c r="N20" s="63" t="str">
        <f>IFERROR(O20,"")</f>
        <v/>
      </c>
      <c r="O20" s="95" t="str">
        <f>IF(C18&lt;=0,"",IF(C19&gt;0.01,"",IF(C17&gt;0.01,"","M. O .(g/dm3)")))</f>
        <v/>
      </c>
      <c r="P20" s="96" t="str">
        <f>IF(C17&gt;0.001,"","M.O. %")</f>
        <v/>
      </c>
      <c r="T20" s="18"/>
      <c r="U20" s="97">
        <f>G18/1.72*10</f>
        <v>17.843023255813954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64"/>
      <c r="AI20" s="37"/>
      <c r="AJ20" s="37"/>
      <c r="AK20" s="64"/>
      <c r="AL20" s="37"/>
      <c r="AM20" s="37"/>
      <c r="AN20" s="37"/>
      <c r="AO20" s="37"/>
      <c r="AP20" s="37"/>
      <c r="AQ20" s="38"/>
      <c r="AR20" s="38"/>
      <c r="AS20" s="38"/>
      <c r="AT20" s="38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22" ht="20.100000000000001" customHeight="1" x14ac:dyDescent="0.25">
      <c r="A21" s="680" t="s">
        <v>69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77">
        <f>IF(D23=5,N21,M23)</f>
        <v>0</v>
      </c>
      <c r="N21" s="27" t="str">
        <f>IF(D23=5,C24*0.15,"0,0")</f>
        <v>0,0</v>
      </c>
      <c r="O21" s="79">
        <f>O10/100</f>
        <v>1.1636927851047323E-2</v>
      </c>
      <c r="P21" s="98">
        <f>IF(K18&gt;0.01,P17,"")</f>
        <v>1.7843023255813953E-2</v>
      </c>
      <c r="S21" s="99" t="b">
        <f>IF(B11&lt;6,"Baixo",IF(B11&gt;6.01&lt;9,"Médio",IF(B11&gt;9.01,"Alto")))</f>
        <v>0</v>
      </c>
      <c r="T21" s="18"/>
      <c r="U21" s="97">
        <f>G17/1.72*10</f>
        <v>0</v>
      </c>
      <c r="V21" s="10"/>
      <c r="W21" s="100" t="str">
        <f>IF(C18&gt;0.01,"M.O. (g.dm3)","")</f>
        <v/>
      </c>
      <c r="X21" s="18"/>
      <c r="Y21" s="18"/>
      <c r="Z21" s="18"/>
      <c r="AA21" s="18"/>
      <c r="AB21" s="18"/>
      <c r="AC21" s="101" t="b">
        <f>AL42</f>
        <v>0</v>
      </c>
      <c r="AD21" s="102">
        <f>P35/1.72*10</f>
        <v>26.162790697674421</v>
      </c>
      <c r="AE21" s="18"/>
      <c r="AF21" s="18"/>
      <c r="AG21" s="18" t="s">
        <v>70</v>
      </c>
      <c r="AH21" s="64"/>
      <c r="AI21" s="37"/>
      <c r="AJ21" s="37" t="s">
        <v>71</v>
      </c>
      <c r="AK21" s="64"/>
      <c r="AL21" s="37"/>
      <c r="AM21" s="37"/>
      <c r="AN21" s="37"/>
      <c r="AO21" s="37"/>
      <c r="AP21" s="37"/>
      <c r="AQ21" s="38"/>
      <c r="AR21" s="38"/>
      <c r="AS21" s="38"/>
      <c r="AT21" s="38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22" ht="20.100000000000001" customHeight="1" x14ac:dyDescent="0.25">
      <c r="A22" s="103" t="s">
        <v>72</v>
      </c>
      <c r="B22" s="104"/>
      <c r="C22" s="105"/>
      <c r="D22" s="106"/>
      <c r="E22" s="107" t="s">
        <v>43</v>
      </c>
      <c r="F22" s="107"/>
      <c r="G22" s="104"/>
      <c r="H22" s="108" t="s">
        <v>73</v>
      </c>
      <c r="I22" s="109"/>
      <c r="J22" s="109"/>
      <c r="K22" s="110"/>
      <c r="L22" s="111"/>
      <c r="M22" s="112" t="str">
        <f>N27</f>
        <v/>
      </c>
      <c r="N22" s="27" t="str">
        <f>IF(D23=1,'Memória de cálculo'!B24*0.1,IF(D23=12,'Memória de cálculo'!B24*0.11,"0,0"))</f>
        <v>0,0</v>
      </c>
      <c r="P22" s="51" t="e">
        <f>F13/R6*100</f>
        <v>#VALUE!</v>
      </c>
      <c r="Q22" s="29">
        <f>N23/R6*100</f>
        <v>0</v>
      </c>
      <c r="T22" s="18"/>
      <c r="U22" s="10"/>
      <c r="V22" s="10"/>
      <c r="W22" s="18"/>
      <c r="X22" s="10"/>
      <c r="Y22" s="10"/>
      <c r="Z22" s="10"/>
      <c r="AA22" s="10"/>
      <c r="AB22" s="18"/>
      <c r="AC22" s="18"/>
      <c r="AD22" s="18" t="str">
        <f>IF(R38&gt;0.01,"Carbono","")</f>
        <v>Carbono</v>
      </c>
      <c r="AE22" s="18"/>
      <c r="AF22" s="113">
        <f>P38*1.72/10</f>
        <v>0</v>
      </c>
      <c r="AG22" s="18" t="s">
        <v>74</v>
      </c>
      <c r="AH22" s="64"/>
      <c r="AI22" s="681" t="str">
        <f>N22</f>
        <v>0,0</v>
      </c>
      <c r="AJ22" s="681"/>
      <c r="AK22" s="64"/>
      <c r="AL22" s="37"/>
      <c r="AM22" s="37"/>
      <c r="AN22" s="37"/>
      <c r="AO22" s="37"/>
      <c r="AP22" s="37"/>
      <c r="AQ22" s="38"/>
      <c r="AR22" s="38"/>
      <c r="AS22" s="38"/>
      <c r="AT22" s="3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22" ht="20.100000000000001" customHeight="1" x14ac:dyDescent="0.25">
      <c r="A23" s="664" t="s">
        <v>75</v>
      </c>
      <c r="B23" s="664"/>
      <c r="C23" s="664"/>
      <c r="D23" s="30"/>
      <c r="E23" s="114" t="str">
        <f>P23</f>
        <v/>
      </c>
      <c r="F23" s="18"/>
      <c r="G23" s="18"/>
      <c r="H23" s="115">
        <f>P16</f>
        <v>0</v>
      </c>
      <c r="I23" s="116" t="str">
        <f>P27</f>
        <v/>
      </c>
      <c r="J23" s="40"/>
      <c r="K23" s="117" t="str">
        <f>O12</f>
        <v/>
      </c>
      <c r="L23" s="118" t="str">
        <f>AO30</f>
        <v/>
      </c>
      <c r="M23" s="119">
        <f>AI22/2.42</f>
        <v>0</v>
      </c>
      <c r="N23" s="29">
        <f>H13-H11</f>
        <v>0</v>
      </c>
      <c r="P23" s="120" t="str">
        <f>IF(AL42=FALSE(),"",AL42)</f>
        <v/>
      </c>
      <c r="Q23" s="29" t="e">
        <f>P22+Q22+F36</f>
        <v>#VALUE!</v>
      </c>
      <c r="S23" s="99" t="str">
        <f>IF(B11&lt;&gt;6&lt;&gt;9,"Médio","0")</f>
        <v>Médio</v>
      </c>
      <c r="T23" s="18"/>
      <c r="U23" s="18"/>
      <c r="V23" s="18"/>
      <c r="W23" s="18"/>
      <c r="X23" s="121" t="str">
        <f>IF(V18&lt;0.001,"","Carbono")</f>
        <v/>
      </c>
      <c r="Y23" s="10"/>
      <c r="Z23" s="10"/>
      <c r="AA23" s="10"/>
      <c r="AB23" s="18"/>
      <c r="AC23" s="102"/>
      <c r="AD23" s="102">
        <f>P33/1.72*10</f>
        <v>29.069767441860463</v>
      </c>
      <c r="AE23" s="102">
        <f>R38*1.72/10</f>
        <v>4.5</v>
      </c>
      <c r="AF23" s="18"/>
      <c r="AG23" s="18" t="s">
        <v>76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 spans="1:122" ht="19.5" customHeight="1" x14ac:dyDescent="0.25">
      <c r="A24" s="22" t="s">
        <v>77</v>
      </c>
      <c r="B24" s="35"/>
      <c r="C24" s="670" t="str">
        <f>P13</f>
        <v/>
      </c>
      <c r="D24" s="670"/>
      <c r="E24" s="122" t="s">
        <v>78</v>
      </c>
      <c r="F24" s="35"/>
      <c r="G24" s="18"/>
      <c r="H24" s="123" t="s">
        <v>79</v>
      </c>
      <c r="I24" s="124"/>
      <c r="J24" s="125" t="str">
        <f>R16</f>
        <v/>
      </c>
      <c r="K24" s="126"/>
      <c r="L24" s="127"/>
      <c r="M24" s="128" t="e">
        <f>M22/2.42</f>
        <v>#VALUE!</v>
      </c>
      <c r="O24" s="18" t="str">
        <f>IF(D23=1,"kg/ha de",IF(D23=12,"Kg/ha de",IF(D23=5,"Kg/ha de","")))</f>
        <v/>
      </c>
      <c r="T24" s="121" t="str">
        <f>IF(J18&gt;0.001,"","Carbono")</f>
        <v>Carbono</v>
      </c>
      <c r="U24" s="121" t="str">
        <f>IF(K18&gt;0.001,"","Carbono")</f>
        <v/>
      </c>
      <c r="V24" s="129" t="str">
        <f>IF(G18&gt;0.001,"","Carbono")</f>
        <v/>
      </c>
      <c r="W24" s="18"/>
      <c r="X24" s="98" t="str">
        <f>IF(G18&lt;=0,"",IF(G19&gt;0.01,"",IF(G17&gt;0.01,"","M. O .(g/dm3)")))</f>
        <v/>
      </c>
      <c r="Y24" s="10"/>
      <c r="Z24" s="10"/>
      <c r="AA24" s="10"/>
      <c r="AB24" s="18"/>
      <c r="AC24" s="18"/>
      <c r="AD24" s="18"/>
      <c r="AE24" s="130" t="e">
        <f>AD26/R6*100</f>
        <v>#VALUE!</v>
      </c>
      <c r="AF24" s="102">
        <f>R38*1.72/10</f>
        <v>4.5</v>
      </c>
      <c r="AG24" s="18" t="s">
        <v>80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8"/>
      <c r="AS24" s="38"/>
      <c r="AT24" s="3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22" ht="19.5" customHeight="1" x14ac:dyDescent="0.25">
      <c r="A25" s="131" t="s">
        <v>81</v>
      </c>
      <c r="B25" s="132"/>
      <c r="C25" s="133"/>
      <c r="D25" s="134">
        <v>0.7</v>
      </c>
      <c r="E25" s="135" t="s">
        <v>82</v>
      </c>
      <c r="F25" s="136"/>
      <c r="G25" s="40"/>
      <c r="H25" s="137"/>
      <c r="I25" s="138"/>
      <c r="J25" s="139"/>
      <c r="K25" s="140"/>
      <c r="L25" s="141"/>
      <c r="M25" s="128"/>
      <c r="O25" s="18"/>
      <c r="T25" s="121"/>
      <c r="U25" s="121"/>
      <c r="V25" s="129"/>
      <c r="W25" s="18"/>
      <c r="X25" s="98"/>
      <c r="Y25" s="10"/>
      <c r="Z25" s="10"/>
      <c r="AA25" s="10"/>
      <c r="AB25" s="18"/>
      <c r="AC25" s="18"/>
      <c r="AD25" s="18"/>
      <c r="AE25" s="130"/>
      <c r="AF25" s="102"/>
      <c r="AG25" s="1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8"/>
      <c r="AS25" s="38"/>
      <c r="AT25" s="38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22" ht="20.100000000000001" customHeight="1" x14ac:dyDescent="0.2">
      <c r="A26" s="671" t="s">
        <v>83</v>
      </c>
      <c r="B26" s="671"/>
      <c r="C26" s="671"/>
      <c r="D26" s="671"/>
      <c r="E26" s="671"/>
      <c r="F26" s="671"/>
      <c r="G26" s="671"/>
      <c r="H26" s="671"/>
      <c r="I26" s="671"/>
      <c r="J26" s="671"/>
      <c r="K26" s="671"/>
      <c r="L26" s="671"/>
      <c r="N26" s="11">
        <f>H13/R6*100</f>
        <v>12.645461598138091</v>
      </c>
      <c r="O26" s="18" t="str">
        <f>IF(D23=11,"","Kg/ha de")</f>
        <v>Kg/ha de</v>
      </c>
      <c r="R26" s="656" t="e">
        <f>'Memória de cálculo'!K70/2.42</f>
        <v>#VALUE!</v>
      </c>
      <c r="S26" s="656"/>
      <c r="T26" s="121" t="str">
        <f>IF(G18&lt;0.001,"","M.O. %")</f>
        <v>M.O. %</v>
      </c>
      <c r="U26" s="121" t="str">
        <f>IF(C18&lt;0.001,"","M.O. (g.dm3)")</f>
        <v/>
      </c>
      <c r="V26" s="18"/>
      <c r="W26" s="18"/>
      <c r="X26" s="18"/>
      <c r="Y26" s="18"/>
      <c r="Z26" s="18"/>
      <c r="AA26" s="18"/>
      <c r="AB26" s="18"/>
      <c r="AC26" s="18"/>
      <c r="AD26" s="142" t="e">
        <f>F11+O179</f>
        <v>#VALUE!</v>
      </c>
      <c r="AE26" s="130">
        <f>M5/R6*100</f>
        <v>12.645461598138091</v>
      </c>
      <c r="AF26" s="18"/>
      <c r="AG26" s="1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8"/>
      <c r="AS26" s="38"/>
      <c r="AT26" s="3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22" ht="20.100000000000001" customHeight="1" x14ac:dyDescent="0.25">
      <c r="A27" s="672" t="s">
        <v>84</v>
      </c>
      <c r="B27" s="672"/>
      <c r="C27" s="673" t="s">
        <v>85</v>
      </c>
      <c r="D27" s="673"/>
      <c r="E27" s="673" t="s">
        <v>84</v>
      </c>
      <c r="F27" s="673"/>
      <c r="G27" s="673" t="s">
        <v>85</v>
      </c>
      <c r="H27" s="673"/>
      <c r="I27" s="673" t="s">
        <v>84</v>
      </c>
      <c r="J27" s="673"/>
      <c r="K27" s="674" t="s">
        <v>85</v>
      </c>
      <c r="L27" s="674"/>
      <c r="N27" s="143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29" t="str">
        <f>IF(N22&gt;0.1,N22,"")</f>
        <v>0,0</v>
      </c>
      <c r="P27" s="18" t="str">
        <f>IF(D23=1,"Enxofre",IF(D23=12,"Enxofre",IF(D23=5,"Magnésio","")))</f>
        <v/>
      </c>
      <c r="R27" s="18"/>
      <c r="S27" s="18"/>
      <c r="T27" s="121" t="str">
        <f>IF(H19&gt;0.001,"","M.O. %")</f>
        <v>M.O. %</v>
      </c>
      <c r="U27" s="121" t="e">
        <f>IF(V19&gt;0.001,"M.O. (g.dm3)","")</f>
        <v>#VALUE!</v>
      </c>
      <c r="V27" s="63" t="str">
        <f>IFERROR(U27,"")</f>
        <v/>
      </c>
      <c r="W27" s="18"/>
      <c r="X27" s="18"/>
      <c r="Y27" s="18"/>
      <c r="Z27" s="18"/>
      <c r="AA27" s="18"/>
      <c r="AB27" s="18"/>
      <c r="AC27" s="18"/>
      <c r="AE27" s="144">
        <f>D11/R6*100</f>
        <v>1.1636927851047323</v>
      </c>
      <c r="AF27" s="18"/>
      <c r="AG27" s="18"/>
      <c r="AH27" s="37"/>
      <c r="AI27" s="37"/>
      <c r="AJ27" s="37"/>
      <c r="AK27" s="37"/>
      <c r="AL27" s="37"/>
      <c r="AM27" s="37"/>
      <c r="AN27" s="37"/>
      <c r="AO27" s="37"/>
      <c r="AP27" s="145"/>
      <c r="AQ27" s="146"/>
      <c r="AR27" s="147"/>
      <c r="AS27" s="146"/>
      <c r="AT27" s="3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22" ht="20.100000000000001" customHeight="1" x14ac:dyDescent="0.2">
      <c r="A28" s="669" t="s">
        <v>86</v>
      </c>
      <c r="B28" s="669"/>
      <c r="C28" s="667"/>
      <c r="D28" s="667"/>
      <c r="E28" s="668" t="s">
        <v>87</v>
      </c>
      <c r="F28" s="668"/>
      <c r="G28" s="667"/>
      <c r="H28" s="667"/>
      <c r="I28" s="668" t="s">
        <v>88</v>
      </c>
      <c r="J28" s="668"/>
      <c r="K28" s="628"/>
      <c r="L28" s="628"/>
      <c r="M28" s="11" t="e">
        <f>E38*0.6</f>
        <v>#VALUE!</v>
      </c>
      <c r="N28" s="143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11" t="str">
        <f>IF(D37=2,M41,"")</f>
        <v/>
      </c>
      <c r="T28" s="18"/>
      <c r="U28" s="18"/>
      <c r="V28" s="18"/>
      <c r="W28" s="18"/>
      <c r="X28" s="18"/>
      <c r="Y28" s="18"/>
      <c r="Z28" s="18"/>
      <c r="AA28" s="18"/>
      <c r="AB28" s="148"/>
      <c r="AC28" s="148"/>
      <c r="AD28" s="18">
        <f>IF('Memória de cálculo'!F51&lt;0.01,D11,IF('Memória de cálculo'!F51&gt;0.01,'Memória de cálculo'!F51+D11))</f>
        <v>0.64450000000000007</v>
      </c>
      <c r="AE28" s="25"/>
      <c r="AF28" s="18" t="str">
        <f>IF(P38&gt;0.01,"M. O .(%)","")</f>
        <v/>
      </c>
      <c r="AG28" s="18">
        <f>AF29+AN30/2</f>
        <v>67.5</v>
      </c>
      <c r="AH28" s="37"/>
      <c r="AI28" s="37"/>
      <c r="AJ28" s="37"/>
      <c r="AK28" s="37"/>
      <c r="AL28" s="37"/>
      <c r="AM28" s="37"/>
      <c r="AN28" s="37"/>
      <c r="AO28" s="37"/>
      <c r="AP28" s="149"/>
      <c r="AQ28" s="38"/>
      <c r="AR28" s="150"/>
      <c r="AS28" s="38"/>
      <c r="AT28" s="38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22" ht="20.100000000000001" customHeight="1" x14ac:dyDescent="0.2">
      <c r="A29" s="666" t="s">
        <v>89</v>
      </c>
      <c r="B29" s="666"/>
      <c r="C29" s="667"/>
      <c r="D29" s="667"/>
      <c r="E29" s="668" t="s">
        <v>90</v>
      </c>
      <c r="F29" s="668"/>
      <c r="G29" s="667"/>
      <c r="H29" s="667"/>
      <c r="I29" s="668" t="s">
        <v>91</v>
      </c>
      <c r="J29" s="668"/>
      <c r="K29" s="628"/>
      <c r="L29" s="628"/>
      <c r="M29" s="18" t="str">
        <f>IF(D37=2,"",IF(D37=3,"e",""))</f>
        <v/>
      </c>
      <c r="N29" s="143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18" t="str">
        <f>IF(D52=4,"de Enxofre","")</f>
        <v/>
      </c>
      <c r="S29" s="143" t="str">
        <f>IF(D37=1,"",IF(D37=2,"",IF(D37=3,C39*0.18,"")))</f>
        <v/>
      </c>
      <c r="T29" s="18"/>
      <c r="U29" s="18"/>
      <c r="V29" s="18"/>
      <c r="W29" s="18"/>
      <c r="X29" s="18"/>
      <c r="Y29" s="18"/>
      <c r="Z29" s="18"/>
      <c r="AA29" s="18"/>
      <c r="AB29" s="25"/>
      <c r="AC29" s="18"/>
      <c r="AD29" s="18">
        <f>IF(D11&gt;0.5,D11,AD28)</f>
        <v>0.64450000000000007</v>
      </c>
      <c r="AE29" s="151">
        <f>P35</f>
        <v>4.5</v>
      </c>
      <c r="AF29" s="18">
        <f>AE29*10</f>
        <v>45</v>
      </c>
      <c r="AH29" s="37"/>
      <c r="AI29" s="37"/>
      <c r="AJ29" s="37"/>
      <c r="AK29" s="37"/>
      <c r="AL29" s="37"/>
      <c r="AM29" s="37"/>
      <c r="AN29" s="37"/>
      <c r="AO29" s="37"/>
      <c r="AP29" s="152"/>
      <c r="AQ29" s="38"/>
      <c r="AR29" s="153"/>
      <c r="AS29" s="153"/>
      <c r="AT29" s="38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22" ht="20.100000000000001" customHeight="1" x14ac:dyDescent="0.25">
      <c r="A30" s="666" t="s">
        <v>92</v>
      </c>
      <c r="B30" s="666"/>
      <c r="C30" s="667"/>
      <c r="D30" s="667"/>
      <c r="E30" s="668" t="s">
        <v>93</v>
      </c>
      <c r="F30" s="668"/>
      <c r="G30" s="667"/>
      <c r="H30" s="667"/>
      <c r="I30" s="668" t="s">
        <v>94</v>
      </c>
      <c r="J30" s="668"/>
      <c r="K30" s="628"/>
      <c r="L30" s="628"/>
      <c r="M30" s="154" t="str">
        <f>IF(C37=3,"e","")</f>
        <v/>
      </c>
      <c r="N30" s="143" t="str">
        <f>IF(D37=1,"",IF(D37=2,"Essa correção de Potássio fornecerá também:",IF(D37=3,"Essa correção de Potássio fornecerá também:","")))</f>
        <v/>
      </c>
      <c r="R30" s="18" t="str">
        <f>IF(D3=2,"",IF(D37=3,"Kg/ha de",""))</f>
        <v/>
      </c>
      <c r="T30" s="18"/>
      <c r="U30" s="18"/>
      <c r="V30" s="18"/>
      <c r="W30" s="18"/>
      <c r="X30" s="18"/>
      <c r="Y30" s="18"/>
      <c r="Z30" s="18"/>
      <c r="AA30" s="18"/>
      <c r="AB30" s="123"/>
      <c r="AC30" s="123"/>
      <c r="AD30" s="18"/>
      <c r="AE30" s="18"/>
      <c r="AF30" s="18"/>
      <c r="AG30" s="18"/>
      <c r="AH30" s="37"/>
      <c r="AI30" s="37"/>
      <c r="AJ30" s="37"/>
      <c r="AK30" s="37"/>
      <c r="AL30" s="37">
        <f>IF(AE27&gt;0.01,AE27,"")</f>
        <v>1.1636927851047323</v>
      </c>
      <c r="AM30" s="64"/>
      <c r="AN30" s="37">
        <f>P35*10</f>
        <v>45</v>
      </c>
      <c r="AO30" s="37" t="str">
        <f>IF(D23=1,"CÁLCIO",IF(D23=2,"CÁLCIO",IF(D23=3,"NITROGÊNIO",IF(D23=4,"NITROGÊNIO",IF(D23=5,"CÁLCIO",IF(D23=6,"CÁLCIO",IF(D23&gt;=7,AO31,"")))))))</f>
        <v/>
      </c>
      <c r="AP30" s="37"/>
      <c r="AQ30" s="38"/>
      <c r="AR30" s="38"/>
      <c r="AS30" s="38"/>
      <c r="AT30" s="38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22" ht="20.100000000000001" customHeight="1" x14ac:dyDescent="0.2">
      <c r="A31" s="666" t="s">
        <v>95</v>
      </c>
      <c r="B31" s="666"/>
      <c r="C31" s="667"/>
      <c r="D31" s="667"/>
      <c r="E31" s="668" t="s">
        <v>96</v>
      </c>
      <c r="F31" s="668"/>
      <c r="G31" s="667"/>
      <c r="H31" s="667"/>
      <c r="I31" s="668" t="s">
        <v>97</v>
      </c>
      <c r="J31" s="668"/>
      <c r="K31" s="628"/>
      <c r="L31" s="628"/>
      <c r="M31" s="18" t="str">
        <f>IF(D37=2,"",IF(D37=3,"MAGNÉSIO",""))</f>
        <v/>
      </c>
      <c r="N31" s="143" t="str">
        <f>IF(D37=1,"",IF(D37=2,C39*0.17,IF(D37=3,C39*0.22,"")))</f>
        <v/>
      </c>
      <c r="O31" s="660" t="s">
        <v>98</v>
      </c>
      <c r="P31" s="660"/>
      <c r="Q31" s="660"/>
      <c r="R31" s="660"/>
      <c r="S31" s="660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661" t="s">
        <v>49</v>
      </c>
      <c r="AE31" s="661"/>
      <c r="AF31" s="661"/>
      <c r="AG31" s="18"/>
      <c r="AH31" s="37"/>
      <c r="AI31" s="37"/>
      <c r="AJ31" s="37"/>
      <c r="AK31" s="37"/>
      <c r="AL31" s="37"/>
      <c r="AM31" s="64"/>
      <c r="AN31" s="37">
        <f>IF(AN30&gt;0.01,AN30,AF29)</f>
        <v>45</v>
      </c>
      <c r="AO31" s="155" t="str">
        <f>IF(D23=7,"CÁLCIO",IF(D23=8,"CÁLCIO",IF(D23=9,"CÁLCIO",IF(D23=10,"CÁLCIO",IF(D23=11,"",IF(D23=12,"CÁLCIO",""))))))</f>
        <v/>
      </c>
      <c r="AP31" s="37"/>
      <c r="AQ31" s="38"/>
      <c r="AR31" s="38"/>
      <c r="AS31" s="38"/>
      <c r="AT31" s="38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22" ht="4.5" customHeight="1" x14ac:dyDescent="0.25">
      <c r="A32" s="15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7"/>
      <c r="W32" s="18"/>
      <c r="X32" s="18"/>
      <c r="Y32" s="18"/>
      <c r="Z32" s="18"/>
      <c r="AA32" s="18"/>
      <c r="AB32" s="157" t="s">
        <v>99</v>
      </c>
      <c r="AC32" s="18"/>
      <c r="AD32" s="18"/>
      <c r="AE32" s="18"/>
      <c r="AF32" s="158"/>
      <c r="AG32" s="158"/>
      <c r="AH32" s="159"/>
      <c r="AI32" s="159"/>
      <c r="AJ32" s="37"/>
      <c r="AK32" s="37"/>
      <c r="AL32" s="160">
        <f>F11</f>
        <v>5.76</v>
      </c>
      <c r="AM32" s="160">
        <f>P37*10</f>
        <v>0</v>
      </c>
      <c r="AN32" s="37" t="str">
        <f>IF(AN31&gt;0.01,"M. O .(g/dm3)","")</f>
        <v>M. O .(g/dm3)</v>
      </c>
      <c r="AO32" s="37" t="str">
        <f>IF(D23=6,"Com essa correção de Fósforo, forneceremos também CÁLCIO, na quantidade de:","")</f>
        <v/>
      </c>
      <c r="AP32" s="37"/>
      <c r="AQ32" s="38"/>
      <c r="AR32" s="38"/>
      <c r="AS32" s="38"/>
      <c r="AT32" s="38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1:122" ht="20.100000000000001" customHeight="1" x14ac:dyDescent="0.25">
      <c r="A33" s="662" t="s">
        <v>100</v>
      </c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18" t="str">
        <f>IF(D37=2,"ENXOFRE",IF(D37=3,"ENXOFRE e",""))</f>
        <v/>
      </c>
      <c r="N33" s="18" t="str">
        <f>IF(D37=2,"Kg/ha de",IF(D37=3,"Kg/ha de",""))</f>
        <v/>
      </c>
      <c r="O33" s="161" t="s">
        <v>101</v>
      </c>
      <c r="P33" s="162">
        <v>5</v>
      </c>
      <c r="Q33" s="163" t="s">
        <v>102</v>
      </c>
      <c r="R33" s="164">
        <v>45</v>
      </c>
      <c r="T33" s="165" t="str">
        <f>IF(F36&lt;U33,V33,T34)</f>
        <v>Acima do equilíbrio</v>
      </c>
      <c r="U33" s="11">
        <v>1.5</v>
      </c>
      <c r="V33" s="11" t="s">
        <v>103</v>
      </c>
      <c r="W33" s="18"/>
      <c r="X33" s="18"/>
      <c r="Y33" s="18"/>
      <c r="Z33" s="18"/>
      <c r="AA33" s="18"/>
      <c r="AB33" s="18"/>
      <c r="AC33" s="663" t="str">
        <f>O67</f>
        <v>Desequilibrado</v>
      </c>
      <c r="AD33" s="663"/>
      <c r="AE33" s="167">
        <f>R10</f>
        <v>28.471683475562447</v>
      </c>
      <c r="AF33" s="167"/>
      <c r="AG33" s="48" t="s">
        <v>50</v>
      </c>
      <c r="AH33" s="145"/>
      <c r="AI33" s="145"/>
      <c r="AJ33" s="168"/>
      <c r="AK33" s="168"/>
      <c r="AL33" s="37"/>
      <c r="AM33" s="37" t="str">
        <f>IF(AM32&gt;0.01,"M. O .(g/dm3)","")</f>
        <v/>
      </c>
      <c r="AN33" s="37">
        <f>IF(R33&gt;0.01,R33,AN31)</f>
        <v>45</v>
      </c>
      <c r="AO33" s="37"/>
      <c r="AP33" s="37">
        <v>10</v>
      </c>
      <c r="AQ33" s="169" t="str">
        <f>IF(AC59&lt;AP33,AR40,AQ35)</f>
        <v>Resposta linear a Potássio</v>
      </c>
      <c r="AR33" s="38"/>
      <c r="AS33" s="38"/>
      <c r="AT33" s="38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1:122" ht="20.100000000000001" customHeight="1" x14ac:dyDescent="0.25">
      <c r="A34" s="170" t="s">
        <v>104</v>
      </c>
      <c r="B34" s="107"/>
      <c r="C34" s="107"/>
      <c r="D34" s="104"/>
      <c r="E34" s="104"/>
      <c r="F34" s="171">
        <f>S16</f>
        <v>1.1636927851047323</v>
      </c>
      <c r="G34" s="172" t="s">
        <v>105</v>
      </c>
      <c r="H34" s="104"/>
      <c r="I34" s="104"/>
      <c r="J34" s="104"/>
      <c r="K34" s="104"/>
      <c r="L34" s="173"/>
      <c r="M34" s="650" t="str">
        <f>IF(C6=1,O51,IF(C6=2,O46,""))</f>
        <v>Tendendo ao equilíbrio</v>
      </c>
      <c r="N34" s="650"/>
      <c r="O34" s="161"/>
      <c r="P34" s="162"/>
      <c r="Q34" s="163"/>
      <c r="R34" s="164"/>
      <c r="T34" s="165" t="str">
        <f>IF(F36&lt;U34,V34,T35)</f>
        <v>Acima do equilíbrio</v>
      </c>
      <c r="U34" s="11">
        <v>2.4900000000000002</v>
      </c>
      <c r="V34" s="11" t="s">
        <v>106</v>
      </c>
      <c r="W34" s="18"/>
      <c r="X34" s="18"/>
      <c r="Y34" s="18"/>
      <c r="Z34" s="18"/>
      <c r="AA34" s="18"/>
      <c r="AB34" s="18"/>
      <c r="AC34" s="166"/>
      <c r="AD34" s="166"/>
      <c r="AE34" s="167"/>
      <c r="AF34" s="167"/>
      <c r="AG34" s="48"/>
      <c r="AH34" s="145"/>
      <c r="AI34" s="145"/>
      <c r="AJ34" s="168"/>
      <c r="AK34" s="168"/>
      <c r="AL34" s="37"/>
      <c r="AM34" s="37"/>
      <c r="AN34" s="37"/>
      <c r="AO34" s="37"/>
      <c r="AP34" s="37"/>
      <c r="AQ34" s="169"/>
      <c r="AR34" s="38"/>
      <c r="AS34" s="38"/>
      <c r="AT34" s="38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1:122" ht="20.100000000000001" customHeight="1" x14ac:dyDescent="0.25">
      <c r="A35" s="664" t="s">
        <v>107</v>
      </c>
      <c r="B35" s="664"/>
      <c r="C35" s="664"/>
      <c r="D35" s="664"/>
      <c r="E35" s="664"/>
      <c r="F35" s="175">
        <v>5</v>
      </c>
      <c r="G35" s="176" t="s">
        <v>105</v>
      </c>
      <c r="H35" s="665" t="s">
        <v>108</v>
      </c>
      <c r="I35" s="665"/>
      <c r="J35" s="665"/>
      <c r="K35" s="665"/>
      <c r="L35" s="177" t="str">
        <f>N52</f>
        <v>3,0%</v>
      </c>
      <c r="M35" s="650" t="e">
        <f>IF(C6=2,U38,IF(C6=1,O46,""))</f>
        <v>#N/A</v>
      </c>
      <c r="N35" s="650"/>
      <c r="O35" s="178" t="str">
        <f>AD13</f>
        <v>M. O .(%)</v>
      </c>
      <c r="P35" s="179">
        <f>P8</f>
        <v>4.5</v>
      </c>
      <c r="Q35" s="180" t="str">
        <f>AM35</f>
        <v/>
      </c>
      <c r="R35" s="181">
        <f>O5</f>
        <v>50</v>
      </c>
      <c r="T35" s="165" t="str">
        <f>IF(F36&lt;=U35,V35,T37)</f>
        <v>Acima do equilíbrio</v>
      </c>
      <c r="U35" s="11">
        <v>3.49</v>
      </c>
      <c r="V35" s="11" t="s">
        <v>109</v>
      </c>
      <c r="W35" s="18"/>
      <c r="X35" s="18"/>
      <c r="Y35" s="18"/>
      <c r="Z35" s="18"/>
      <c r="AA35" s="18"/>
      <c r="AB35" s="157"/>
      <c r="AC35" s="18"/>
      <c r="AD35" s="18" t="s">
        <v>56</v>
      </c>
      <c r="AE35" s="18"/>
      <c r="AF35" s="182"/>
      <c r="AG35" s="182"/>
      <c r="AH35" s="159"/>
      <c r="AI35" s="159"/>
      <c r="AJ35" s="168"/>
      <c r="AK35" s="168"/>
      <c r="AL35" s="37"/>
      <c r="AM35" s="37" t="str">
        <f>IF(R35&lt;=0,"",IF(R37&gt;0.01,"",IF(R33&gt;0.01,"","M. O .(g/dm3)")))</f>
        <v/>
      </c>
      <c r="AN35" s="37"/>
      <c r="AO35" s="37"/>
      <c r="AP35" s="37">
        <v>20</v>
      </c>
      <c r="AQ35" s="169" t="str">
        <f>IF(AC59&lt;AP35,AR41,AQ37)</f>
        <v>Resposta linear a Potássio</v>
      </c>
      <c r="AR35" s="38"/>
      <c r="AS35" s="38"/>
      <c r="AT35" s="38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1:122" ht="20.100000000000001" customHeight="1" x14ac:dyDescent="0.25">
      <c r="A36" s="183" t="s">
        <v>110</v>
      </c>
      <c r="B36" s="184"/>
      <c r="C36" s="184"/>
      <c r="D36" s="185"/>
      <c r="E36" s="185"/>
      <c r="F36" s="186">
        <f>N36</f>
        <v>5</v>
      </c>
      <c r="G36" s="187" t="s">
        <v>105</v>
      </c>
      <c r="H36" s="185"/>
      <c r="I36" s="185"/>
      <c r="J36" s="185"/>
      <c r="K36" s="185"/>
      <c r="L36" s="188"/>
      <c r="M36" s="63" t="str">
        <f>N52</f>
        <v>3,0%</v>
      </c>
      <c r="N36" s="174">
        <f>IF(F35&gt;0.001,F35,"")</f>
        <v>5</v>
      </c>
      <c r="O36" s="178"/>
      <c r="P36" s="179"/>
      <c r="Q36" s="180"/>
      <c r="R36" s="181"/>
      <c r="T36" s="165"/>
      <c r="W36" s="18"/>
      <c r="X36" s="18"/>
      <c r="Y36" s="18"/>
      <c r="Z36" s="18"/>
      <c r="AA36" s="18"/>
      <c r="AB36" s="157"/>
      <c r="AC36" s="18"/>
      <c r="AD36" s="18"/>
      <c r="AE36" s="18"/>
      <c r="AF36" s="182"/>
      <c r="AG36" s="182"/>
      <c r="AH36" s="159"/>
      <c r="AI36" s="159"/>
      <c r="AJ36" s="168"/>
      <c r="AK36" s="168"/>
      <c r="AL36" s="37"/>
      <c r="AM36" s="37"/>
      <c r="AN36" s="37"/>
      <c r="AO36" s="37"/>
      <c r="AP36" s="37"/>
      <c r="AQ36" s="169"/>
      <c r="AR36" s="38"/>
      <c r="AS36" s="38"/>
      <c r="AT36" s="38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1:122" ht="19.5" customHeight="1" x14ac:dyDescent="0.25">
      <c r="A37" s="664" t="s">
        <v>111</v>
      </c>
      <c r="B37" s="664"/>
      <c r="C37" s="664"/>
      <c r="D37" s="30"/>
      <c r="E37" s="157" t="str">
        <f>O73</f>
        <v/>
      </c>
      <c r="F37" s="11"/>
      <c r="G37" s="123"/>
      <c r="H37" s="11"/>
      <c r="I37" s="189" t="str">
        <f>N41</f>
        <v/>
      </c>
      <c r="J37" s="11"/>
      <c r="K37" s="11"/>
      <c r="L37" s="127"/>
      <c r="M37" s="650" t="e">
        <f>IF(C6=1,O46,IF(C6=2,O46))</f>
        <v>#N/A</v>
      </c>
      <c r="N37" s="650"/>
      <c r="O37" s="190" t="str">
        <f>AF28</f>
        <v/>
      </c>
      <c r="P37" s="191">
        <f>AF22</f>
        <v>0</v>
      </c>
      <c r="Q37" s="192" t="str">
        <f>AM33</f>
        <v/>
      </c>
      <c r="R37" s="193">
        <f>AM32</f>
        <v>0</v>
      </c>
      <c r="T37" s="165" t="str">
        <f>IF(F36&gt;=U37,V37)</f>
        <v>Acima do equilíbrio</v>
      </c>
      <c r="U37" s="11">
        <v>3.5</v>
      </c>
      <c r="V37" s="11" t="s">
        <v>112</v>
      </c>
      <c r="W37" s="18"/>
      <c r="X37" s="18"/>
      <c r="Y37" s="18"/>
      <c r="Z37" s="18"/>
      <c r="AA37" s="18"/>
      <c r="AB37" s="18"/>
      <c r="AC37" s="18"/>
      <c r="AD37" s="15"/>
      <c r="AE37" s="18"/>
      <c r="AF37" s="182"/>
      <c r="AG37" s="182"/>
      <c r="AH37" s="194" t="s">
        <v>113</v>
      </c>
      <c r="AI37" s="194"/>
      <c r="AJ37" s="168"/>
      <c r="AK37" s="168"/>
      <c r="AL37" s="155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37"/>
      <c r="AN37" s="37"/>
      <c r="AO37" s="37"/>
      <c r="AP37" s="37"/>
      <c r="AQ37" s="169" t="str">
        <f>IF(AC59&gt;=AP35,AR42)</f>
        <v>Resposta linear a Potássio</v>
      </c>
      <c r="AR37" s="38"/>
      <c r="AS37" s="38"/>
      <c r="AT37" s="38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1:122" ht="20.100000000000001" customHeight="1" x14ac:dyDescent="0.25">
      <c r="A38" s="652" t="str">
        <f>N30</f>
        <v/>
      </c>
      <c r="B38" s="652"/>
      <c r="C38" s="652"/>
      <c r="D38" s="652"/>
      <c r="E38" s="195" t="str">
        <f>N31</f>
        <v/>
      </c>
      <c r="F38" s="196" t="str">
        <f>N33</f>
        <v/>
      </c>
      <c r="G38" s="653" t="str">
        <f>M33</f>
        <v/>
      </c>
      <c r="H38" s="653"/>
      <c r="I38" s="112" t="str">
        <f>S29</f>
        <v/>
      </c>
      <c r="J38" s="197" t="str">
        <f>R30</f>
        <v/>
      </c>
      <c r="K38" s="654" t="str">
        <f>M31</f>
        <v/>
      </c>
      <c r="L38" s="654"/>
      <c r="M38" s="650" t="e">
        <f>IF(C6=1,O46,IF(C6=2,P40,""))</f>
        <v>#N/A</v>
      </c>
      <c r="N38" s="650"/>
      <c r="O38" s="198" t="s">
        <v>114</v>
      </c>
      <c r="P38" s="199"/>
      <c r="Q38" s="200" t="str">
        <f>AD22</f>
        <v>Carbono</v>
      </c>
      <c r="R38" s="201">
        <f>AE13</f>
        <v>26.162790697674421</v>
      </c>
      <c r="T38" s="18"/>
      <c r="U38" s="202" t="str">
        <f>IF(E50&lt;W38,X38,U40)</f>
        <v>Acima do equilíbrio</v>
      </c>
      <c r="V38" s="165" t="str">
        <f>IF(E50&lt;=W38,X38,V40)</f>
        <v>Acima do equilíbrio</v>
      </c>
      <c r="W38" s="11">
        <v>20</v>
      </c>
      <c r="X38" s="11" t="s">
        <v>103</v>
      </c>
      <c r="Y38" s="18"/>
      <c r="Z38" s="18"/>
      <c r="AA38" s="18"/>
      <c r="AB38" s="18" t="s">
        <v>56</v>
      </c>
      <c r="AC38" s="18"/>
      <c r="AD38" s="48"/>
      <c r="AE38" s="18"/>
      <c r="AF38" s="182"/>
      <c r="AG38" s="182"/>
      <c r="AH38" s="168"/>
      <c r="AI38" s="159"/>
      <c r="AJ38" s="168"/>
      <c r="AK38" s="168"/>
      <c r="AL38" s="155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37"/>
      <c r="AN38" s="37"/>
      <c r="AQ38" s="38"/>
      <c r="AR38" s="38"/>
      <c r="AS38" s="38"/>
      <c r="AT38" s="38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1:122" ht="20.100000000000001" customHeight="1" x14ac:dyDescent="0.25">
      <c r="A39" s="203" t="s">
        <v>77</v>
      </c>
      <c r="B39" s="204"/>
      <c r="C39" s="655" t="str">
        <f>T16</f>
        <v/>
      </c>
      <c r="D39" s="655"/>
      <c r="E39" s="205" t="str">
        <f>'Memória de cálculo'!E66</f>
        <v xml:space="preserve">kg/hectare </v>
      </c>
      <c r="F39" s="206"/>
      <c r="G39" s="206"/>
      <c r="H39" s="137" t="s">
        <v>115</v>
      </c>
      <c r="I39" s="137"/>
      <c r="J39" s="656" t="str">
        <f>U16</f>
        <v/>
      </c>
      <c r="K39" s="656"/>
      <c r="L39" s="207"/>
      <c r="M39" s="174"/>
      <c r="N39" s="174"/>
      <c r="O39" s="198"/>
      <c r="P39" s="199"/>
      <c r="Q39" s="200"/>
      <c r="R39" s="201"/>
      <c r="T39" s="18"/>
      <c r="U39" s="202"/>
      <c r="V39" s="165"/>
      <c r="Y39" s="18"/>
      <c r="Z39" s="18"/>
      <c r="AA39" s="18"/>
      <c r="AB39" s="18"/>
      <c r="AC39" s="18"/>
      <c r="AD39" s="48"/>
      <c r="AE39" s="18"/>
      <c r="AF39" s="182"/>
      <c r="AG39" s="182"/>
      <c r="AH39" s="168"/>
      <c r="AI39" s="159"/>
      <c r="AJ39" s="168"/>
      <c r="AK39" s="168"/>
      <c r="AL39" s="155"/>
      <c r="AM39" s="37"/>
      <c r="AN39" s="37"/>
      <c r="AQ39" s="38"/>
      <c r="AR39" s="38"/>
      <c r="AS39" s="38"/>
      <c r="AT39" s="38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1:122" ht="20.100000000000001" customHeight="1" x14ac:dyDescent="0.25">
      <c r="A40" s="657" t="s">
        <v>116</v>
      </c>
      <c r="B40" s="657"/>
      <c r="C40" s="657"/>
      <c r="D40" s="657"/>
      <c r="E40" s="657"/>
      <c r="F40" s="657"/>
      <c r="G40" s="657"/>
      <c r="H40" s="657"/>
      <c r="I40" s="657"/>
      <c r="J40" s="657"/>
      <c r="K40" s="657"/>
      <c r="L40" s="657"/>
      <c r="M40" s="11" t="str">
        <f>IF(Q40,R40,0)</f>
        <v>Desequilibrado</v>
      </c>
      <c r="N40" s="208">
        <f>F35</f>
        <v>5</v>
      </c>
      <c r="O40" s="165"/>
      <c r="P40" s="165" t="str">
        <f>IF(F34&lt;Q40,R40,P41)</f>
        <v>Desequilibrado</v>
      </c>
      <c r="Q40" s="11">
        <v>2</v>
      </c>
      <c r="R40" s="11" t="s">
        <v>103</v>
      </c>
      <c r="T40" s="11" t="s">
        <v>103</v>
      </c>
      <c r="U40" s="202" t="str">
        <f>IF(E50&lt;W40,X40,U41)</f>
        <v>Acima do equilíbrio</v>
      </c>
      <c r="V40" s="165" t="str">
        <f>IF(E50&lt;=W40,X40,V41)</f>
        <v>Acima do equilíbrio</v>
      </c>
      <c r="W40" s="174">
        <v>30</v>
      </c>
      <c r="X40" s="11" t="s">
        <v>106</v>
      </c>
      <c r="Y40" s="18"/>
      <c r="Z40" s="18"/>
      <c r="AA40" s="18"/>
      <c r="AB40" s="157" t="s">
        <v>117</v>
      </c>
      <c r="AC40" s="18"/>
      <c r="AD40" s="18"/>
      <c r="AE40" s="209">
        <f>S10</f>
        <v>41.505042668735449</v>
      </c>
      <c r="AF40" s="182"/>
      <c r="AG40" s="182"/>
      <c r="AH40" s="168"/>
      <c r="AI40" s="168"/>
      <c r="AJ40" s="168"/>
      <c r="AK40" s="168"/>
      <c r="AL40" s="210" t="str">
        <f>IF(D23=1,"18",IF(D23=2,"41",IF(D23=3,"48",IF(D23=4,"45",IF(D23=5,"18",IF(D23=6,"33",IF(D23&gt;=7,AL41,"")))))))</f>
        <v/>
      </c>
      <c r="AM40" s="210" t="str">
        <f>IF(D23=1,"0,49924",IF(D23=2,"0,33877",IF(D23=3,"0,0",IF(D23=4,"0,0",IF(D23=5,"0,49924",IF(D23=6,"0,92716",IF(D23&gt;=7,AM41,"")))))))</f>
        <v/>
      </c>
      <c r="AN40" s="37"/>
      <c r="AQ40" s="38"/>
      <c r="AR40" s="38" t="s">
        <v>118</v>
      </c>
      <c r="AS40" s="38"/>
      <c r="AT40" s="38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1:122" ht="20.100000000000001" customHeight="1" x14ac:dyDescent="0.2">
      <c r="A41" s="658" t="s">
        <v>84</v>
      </c>
      <c r="B41" s="658"/>
      <c r="C41" s="659" t="s">
        <v>85</v>
      </c>
      <c r="D41" s="659"/>
      <c r="E41" s="659" t="s">
        <v>84</v>
      </c>
      <c r="F41" s="659"/>
      <c r="G41" s="659" t="s">
        <v>119</v>
      </c>
      <c r="H41" s="659"/>
      <c r="I41" s="659" t="s">
        <v>84</v>
      </c>
      <c r="J41" s="659"/>
      <c r="K41" s="645" t="s">
        <v>85</v>
      </c>
      <c r="L41" s="645"/>
      <c r="M41" s="11" t="e">
        <f>N31*0.6</f>
        <v>#VALUE!</v>
      </c>
      <c r="N41" s="211" t="str">
        <f>IF(D37=3,"Atenção para o teor de Magnésio no solo","")</f>
        <v/>
      </c>
      <c r="P41" s="165" t="str">
        <f>IF(F34&lt;Q41,R41,P42)</f>
        <v>Tendendo ao equilíbrio</v>
      </c>
      <c r="Q41" s="11">
        <v>2.4</v>
      </c>
      <c r="R41" s="11" t="s">
        <v>106</v>
      </c>
      <c r="T41" s="212" t="s">
        <v>120</v>
      </c>
      <c r="U41" s="202" t="str">
        <f>IF(E50&lt;W41,X41,U42)</f>
        <v>Acima do equilíbrio</v>
      </c>
      <c r="V41" s="165" t="str">
        <f>IF(E50&lt;=W41,X41,V42)</f>
        <v>Acima do equilíbrio</v>
      </c>
      <c r="W41" s="11">
        <v>35</v>
      </c>
      <c r="X41" s="11" t="s">
        <v>109</v>
      </c>
      <c r="Y41" s="18"/>
      <c r="Z41" s="18"/>
      <c r="AA41" s="18"/>
      <c r="AB41" s="18"/>
      <c r="AC41" s="18"/>
      <c r="AD41" s="25" t="s">
        <v>121</v>
      </c>
      <c r="AE41" s="18" t="s">
        <v>122</v>
      </c>
      <c r="AF41" s="182"/>
      <c r="AG41" s="182"/>
      <c r="AH41" s="168"/>
      <c r="AI41" s="213"/>
      <c r="AJ41" s="168"/>
      <c r="AK41" s="214"/>
      <c r="AL41" s="210" t="str">
        <f>IF(D23=7,"29",IF(D23=8,"32",IF(D23=9,"24",IF(D23=10,"18,5",IF(D23=11,"52",IF(D23=12,"18",""))))))</f>
        <v/>
      </c>
      <c r="AM41" s="210" t="str">
        <f>IF(D23=7,"0,92716",IF(D23=8,"0,80235",IF(D23=9,"0,49924",IF(D23=10,"0,795218",IF(D23=11,"0,0",IF(D23=12,"0,0",""))))))</f>
        <v/>
      </c>
      <c r="AN41" s="37"/>
      <c r="AO41" s="37"/>
      <c r="AP41" s="37"/>
      <c r="AQ41" s="38"/>
      <c r="AR41" s="38" t="s">
        <v>123</v>
      </c>
      <c r="AS41" s="38"/>
      <c r="AT41" s="38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1:122" ht="19.5" customHeight="1" x14ac:dyDescent="0.25">
      <c r="A42" s="647" t="s">
        <v>124</v>
      </c>
      <c r="B42" s="647"/>
      <c r="C42" s="648"/>
      <c r="D42" s="648"/>
      <c r="E42" s="647" t="s">
        <v>125</v>
      </c>
      <c r="F42" s="647"/>
      <c r="G42" s="648"/>
      <c r="H42" s="648"/>
      <c r="I42" s="647" t="s">
        <v>126</v>
      </c>
      <c r="J42" s="647"/>
      <c r="K42" s="648"/>
      <c r="L42" s="648"/>
      <c r="M42" s="51" t="e">
        <f>E50+F36</f>
        <v>#VALUE!</v>
      </c>
      <c r="N42" s="209"/>
      <c r="P42" s="215" t="str">
        <f>IF(F34&lt;Q42,R42,P43)</f>
        <v>Em equilíbrio</v>
      </c>
      <c r="Q42" s="11">
        <v>3.5</v>
      </c>
      <c r="R42" s="11" t="s">
        <v>109</v>
      </c>
      <c r="T42" s="216">
        <v>5.3</v>
      </c>
      <c r="U42" s="202" t="str">
        <f>IF(E50&gt;=W42,X42)</f>
        <v>Acima do equilíbrio</v>
      </c>
      <c r="V42" s="165" t="str">
        <f>IF(E50&gt;=W42,X42)</f>
        <v>Acima do equilíbrio</v>
      </c>
      <c r="W42" s="11">
        <v>35.1</v>
      </c>
      <c r="X42" s="11" t="s">
        <v>112</v>
      </c>
      <c r="Y42" s="18"/>
      <c r="Z42" s="18"/>
      <c r="AA42" s="18"/>
      <c r="AB42" s="18"/>
      <c r="AC42" s="166" t="str">
        <f>O62</f>
        <v>Acima do equilíbrio</v>
      </c>
      <c r="AD42" s="166"/>
      <c r="AE42" s="18"/>
      <c r="AF42" s="18"/>
      <c r="AG42" s="158"/>
      <c r="AH42" s="217"/>
      <c r="AI42" s="37"/>
      <c r="AJ42" s="168"/>
      <c r="AK42" s="168"/>
      <c r="AL42" s="218" t="b">
        <f>IF(D23=1,"Superfosfato Simples",IF(D23=2,"Superfosfato Triplo",IF(D23=3,"MAP",IF(D23=4,"DAP",IF(D23=5,"Termofosfato Yoorin",IF(D23=6,"Fosfato Reat. Arad",IF(D23&gt;=7,W44)))))))</f>
        <v>0</v>
      </c>
      <c r="AM42" s="37"/>
      <c r="AN42" s="37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37"/>
      <c r="AP42" s="37"/>
      <c r="AQ42" s="38"/>
      <c r="AR42" s="38" t="s">
        <v>127</v>
      </c>
      <c r="AS42" s="38"/>
      <c r="AT42" s="3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1:122" ht="15" x14ac:dyDescent="0.2">
      <c r="G43" s="649"/>
      <c r="H43" s="649"/>
      <c r="I43" s="649"/>
      <c r="J43" s="649"/>
      <c r="K43" s="649"/>
      <c r="L43" s="649"/>
      <c r="M43" s="51" t="e">
        <f>100-M42</f>
        <v>#VALUE!</v>
      </c>
      <c r="N43" s="51" t="e">
        <f>E50+K50+F36</f>
        <v>#VALUE!</v>
      </c>
      <c r="P43" s="215" t="b">
        <f>IF(F34&gt;Q43,R43)</f>
        <v>0</v>
      </c>
      <c r="Q43" s="11">
        <v>3.51</v>
      </c>
      <c r="R43" s="11" t="s">
        <v>112</v>
      </c>
      <c r="T43" s="219" t="s">
        <v>56</v>
      </c>
      <c r="U43" s="220">
        <v>6.5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7"/>
      <c r="AJ43" s="37"/>
      <c r="AK43" s="37"/>
      <c r="AL43" s="37"/>
      <c r="AM43" s="37"/>
      <c r="AN43" s="37"/>
      <c r="AO43" s="37"/>
      <c r="AP43" s="37"/>
      <c r="AQ43" s="38"/>
      <c r="AR43" s="38"/>
      <c r="AS43" s="38"/>
      <c r="AT43" s="38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1:122" ht="15" x14ac:dyDescent="0.2">
      <c r="A44" s="15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7"/>
      <c r="M44" s="650" t="str">
        <f>IF(C6=1," 60 a 70%",IF(C6=2,"50%",""))</f>
        <v xml:space="preserve"> 60 a 70%</v>
      </c>
      <c r="N44" s="650"/>
      <c r="O44" s="221">
        <f>H11/D11</f>
        <v>10.866666666666667</v>
      </c>
      <c r="T44" s="18"/>
      <c r="U44" s="18"/>
      <c r="V44" s="18"/>
      <c r="W44" s="222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7"/>
      <c r="AJ44" s="37"/>
      <c r="AK44" s="37"/>
      <c r="AL44" s="37"/>
      <c r="AM44" s="37"/>
      <c r="AN44" s="37"/>
      <c r="AO44" s="37"/>
      <c r="AP44" s="37"/>
      <c r="AQ44" s="38"/>
      <c r="AR44" s="38"/>
      <c r="AS44" s="38"/>
      <c r="AT44" s="38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1:122" x14ac:dyDescent="0.2">
      <c r="A45" s="72"/>
      <c r="L45" s="74"/>
      <c r="M45" s="51">
        <f>IF(D52=1,M43,K48)</f>
        <v>12.645461598138091</v>
      </c>
      <c r="R45" s="11" t="str">
        <f>IF(AC56&lt;25,"Em equilíbrio","Desiquilibrado")</f>
        <v>Em equilíbrio</v>
      </c>
      <c r="T45" s="202" t="str">
        <f>IF(F36&lt;Q46,R46,T46)</f>
        <v>Acima do equilíbrio</v>
      </c>
      <c r="U45" s="18" t="str">
        <f>IF(O44&lt;0.6,"Esta relação afeta a produção","Não afeta a produção")</f>
        <v>Não afeta a produção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7"/>
      <c r="AJ45" s="37"/>
      <c r="AK45" s="37"/>
      <c r="AL45" s="37"/>
      <c r="AM45" s="37"/>
      <c r="AN45" s="37"/>
      <c r="AO45" s="37"/>
      <c r="AP45" s="37"/>
      <c r="AQ45" s="38"/>
      <c r="AR45" s="38"/>
      <c r="AS45" s="38"/>
      <c r="AT45" s="38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1:122" ht="20.100000000000001" customHeight="1" x14ac:dyDescent="0.25">
      <c r="A46" s="651" t="s">
        <v>128</v>
      </c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51" t="e">
        <f>E50+K50+F36</f>
        <v>#VALUE!</v>
      </c>
      <c r="N46" s="51" t="e">
        <f>M46-F36</f>
        <v>#VALUE!</v>
      </c>
      <c r="O46" s="165" t="e">
        <f>NA()</f>
        <v>#N/A</v>
      </c>
      <c r="P46" s="165" t="str">
        <f>IF(F34&lt;Q46,R46,IF(F34&gt;=Q46&lt;=Q47,R47,IF(F34&gt;=Q47&lt;=Q48,R48,IF(F34&gt;Q49,R49))))</f>
        <v>Desequilibrado</v>
      </c>
      <c r="Q46" s="11">
        <v>2</v>
      </c>
      <c r="R46" s="11" t="s">
        <v>103</v>
      </c>
      <c r="T46" s="202" t="str">
        <f>IF(F36&lt;Q47,R47,T47)</f>
        <v>Acima do equilíbrio</v>
      </c>
      <c r="U46" s="18"/>
      <c r="V46" s="18"/>
      <c r="W46" s="18"/>
      <c r="X46" s="18"/>
      <c r="Y46" s="35" t="s">
        <v>129</v>
      </c>
      <c r="Z46" s="18"/>
      <c r="AA46" s="18"/>
      <c r="AB46" s="18"/>
      <c r="AC46" s="18"/>
      <c r="AD46" s="18"/>
      <c r="AE46" s="18"/>
      <c r="AF46" s="18"/>
      <c r="AG46" s="18"/>
      <c r="AH46" s="37"/>
      <c r="AI46" s="37"/>
      <c r="AJ46" s="37"/>
      <c r="AK46" s="37"/>
      <c r="AL46" s="37"/>
      <c r="AM46" s="37"/>
      <c r="AN46" s="37"/>
      <c r="AO46" s="37"/>
      <c r="AP46" s="37"/>
      <c r="AQ46" s="38"/>
      <c r="AR46" s="38"/>
      <c r="AS46" s="38"/>
      <c r="AT46" s="38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1:122" ht="20.100000000000001" customHeight="1" x14ac:dyDescent="0.25">
      <c r="A47" s="223" t="s">
        <v>50</v>
      </c>
      <c r="B47" s="224"/>
      <c r="C47" s="224"/>
      <c r="D47" s="224"/>
      <c r="E47" s="225"/>
      <c r="F47" s="226"/>
      <c r="G47" s="227" t="s">
        <v>51</v>
      </c>
      <c r="H47" s="228"/>
      <c r="I47" s="229"/>
      <c r="J47" s="229"/>
      <c r="K47" s="230"/>
      <c r="L47" s="231"/>
      <c r="M47" s="11" t="e">
        <f>M46/3</f>
        <v>#VALUE!</v>
      </c>
      <c r="N47" s="51" t="e">
        <f>M46-E50</f>
        <v>#VALUE!</v>
      </c>
      <c r="O47" s="165" t="str">
        <f>IF(F34&lt;Q40,R40,O48)</f>
        <v>Desequilibrado</v>
      </c>
      <c r="Q47" s="11">
        <v>2.5</v>
      </c>
      <c r="R47" s="11" t="s">
        <v>106</v>
      </c>
      <c r="T47" s="202" t="str">
        <f>IF(F36&lt;Q48,R48,T48)</f>
        <v>Acima do equilíbrio</v>
      </c>
      <c r="U47" s="18">
        <v>20</v>
      </c>
      <c r="V47" s="202" t="str">
        <f>IF($AG$56&lt;U47,W47,V48)</f>
        <v>Acima do equilíbrio</v>
      </c>
      <c r="W47" s="18" t="s">
        <v>130</v>
      </c>
      <c r="X47" s="18"/>
      <c r="Y47" s="27">
        <f>F11+H11</f>
        <v>7.39</v>
      </c>
      <c r="Z47" s="18"/>
      <c r="AA47" s="18"/>
      <c r="AB47" s="15" t="s">
        <v>50</v>
      </c>
      <c r="AC47" s="25" t="s">
        <v>51</v>
      </c>
      <c r="AD47" s="18"/>
      <c r="AE47" s="18"/>
      <c r="AF47" s="18"/>
      <c r="AG47" s="18"/>
      <c r="AH47" s="37"/>
      <c r="AI47" s="37"/>
      <c r="AJ47" s="37"/>
      <c r="AK47" s="37"/>
      <c r="AL47" s="37"/>
      <c r="AM47" s="37"/>
      <c r="AN47" s="37"/>
      <c r="AO47" s="37"/>
      <c r="AP47" s="37"/>
      <c r="AQ47" s="38"/>
      <c r="AR47" s="38"/>
      <c r="AS47" s="38"/>
      <c r="AT47" s="38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1:122" ht="20.100000000000001" customHeight="1" x14ac:dyDescent="0.25">
      <c r="A48" s="638" t="s">
        <v>131</v>
      </c>
      <c r="B48" s="638"/>
      <c r="C48" s="638"/>
      <c r="D48" s="638"/>
      <c r="E48" s="232">
        <f>V52</f>
        <v>44.685802948021717</v>
      </c>
      <c r="F48" s="233" t="s">
        <v>105</v>
      </c>
      <c r="G48" s="234" t="s">
        <v>131</v>
      </c>
      <c r="H48" s="18"/>
      <c r="I48" s="18"/>
      <c r="J48" s="18"/>
      <c r="K48" s="235">
        <f>W52</f>
        <v>12.645461598138091</v>
      </c>
      <c r="L48" s="236" t="s">
        <v>105</v>
      </c>
      <c r="M48" s="51">
        <f>K50</f>
        <v>12.645461598138091</v>
      </c>
      <c r="N48" s="51" t="e">
        <f>M46-K50</f>
        <v>#VALUE!</v>
      </c>
      <c r="O48" s="165" t="e">
        <f>NA()</f>
        <v>#N/A</v>
      </c>
      <c r="Q48" s="11">
        <v>3</v>
      </c>
      <c r="R48" s="11" t="s">
        <v>109</v>
      </c>
      <c r="T48" s="202" t="str">
        <f>IF(F36&gt;Q48,R49)</f>
        <v>Acima do equilíbrio</v>
      </c>
      <c r="U48" s="18">
        <v>35</v>
      </c>
      <c r="V48" s="202" t="str">
        <f>IF($AG$56&lt;U48,W48,V49)</f>
        <v>Acima do equilíbrio</v>
      </c>
      <c r="W48" s="18" t="s">
        <v>109</v>
      </c>
      <c r="X48" s="18"/>
      <c r="Y48" s="18" t="s">
        <v>132</v>
      </c>
      <c r="Z48" s="18"/>
      <c r="AA48" s="18"/>
      <c r="AB48" s="237">
        <v>30.4</v>
      </c>
      <c r="AC48" s="237">
        <v>21.9</v>
      </c>
      <c r="AD48" s="18"/>
      <c r="AE48" s="18"/>
      <c r="AF48" s="18"/>
      <c r="AG48" s="18"/>
      <c r="AH48" s="37"/>
      <c r="AI48" s="37"/>
      <c r="AJ48" s="37"/>
      <c r="AK48" s="37"/>
      <c r="AL48" s="37"/>
      <c r="AM48" s="37"/>
      <c r="AN48" s="37"/>
      <c r="AO48" s="37"/>
      <c r="AP48" s="37"/>
      <c r="AQ48" s="38"/>
      <c r="AR48" s="38"/>
      <c r="AS48" s="38"/>
      <c r="AT48" s="38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1:122" ht="20.100000000000001" customHeight="1" x14ac:dyDescent="0.25">
      <c r="A49" s="156"/>
      <c r="B49" s="18"/>
      <c r="C49" s="238"/>
      <c r="D49" s="239" t="s">
        <v>121</v>
      </c>
      <c r="E49" s="240" t="str">
        <f>N54</f>
        <v>45 a 55</v>
      </c>
      <c r="F49" s="241" t="s">
        <v>105</v>
      </c>
      <c r="G49" s="18"/>
      <c r="H49" s="18"/>
      <c r="I49" s="18"/>
      <c r="J49" s="239" t="s">
        <v>121</v>
      </c>
      <c r="K49" s="240" t="str">
        <f>N55</f>
        <v>10 a 15</v>
      </c>
      <c r="L49" s="236" t="s">
        <v>105</v>
      </c>
      <c r="M49" s="51" t="e">
        <f>F36+E50</f>
        <v>#VALUE!</v>
      </c>
      <c r="N49" s="51" t="e">
        <f>SUM(N46:N48)</f>
        <v>#VALUE!</v>
      </c>
      <c r="O49" s="215" t="b">
        <f>IF(F34&gt;Q43,R43)</f>
        <v>0</v>
      </c>
      <c r="Q49" s="11">
        <v>3.1</v>
      </c>
      <c r="R49" s="11" t="s">
        <v>112</v>
      </c>
      <c r="T49" s="18"/>
      <c r="U49" s="18"/>
      <c r="V49" s="202" t="str">
        <f>IF($AG$56&gt;U48,W49)</f>
        <v>Acima do equilíbrio</v>
      </c>
      <c r="W49" s="18" t="s">
        <v>112</v>
      </c>
      <c r="X49" s="18"/>
      <c r="Y49" s="18">
        <f>SQRT(Y47)</f>
        <v>2.7184554438136375</v>
      </c>
      <c r="Z49" s="18"/>
      <c r="AA49" s="18"/>
      <c r="AB49" s="15"/>
      <c r="AC49" s="15"/>
      <c r="AD49" s="18"/>
      <c r="AE49" s="18"/>
      <c r="AF49" s="18"/>
      <c r="AG49" s="18"/>
      <c r="AH49" s="37"/>
      <c r="AI49" s="37"/>
      <c r="AJ49" s="37"/>
      <c r="AK49" s="37"/>
      <c r="AL49" s="37"/>
      <c r="AM49" s="37"/>
      <c r="AN49" s="37"/>
      <c r="AO49" s="37"/>
      <c r="AP49" s="37"/>
      <c r="AQ49" s="38"/>
      <c r="AR49" s="38"/>
      <c r="AS49" s="38"/>
      <c r="AT49" s="38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1:122" ht="20.100000000000001" customHeight="1" x14ac:dyDescent="0.25">
      <c r="A50" s="72"/>
      <c r="B50" s="639" t="s">
        <v>133</v>
      </c>
      <c r="C50" s="639"/>
      <c r="D50" s="639"/>
      <c r="E50" s="242" t="str">
        <f>V53</f>
        <v/>
      </c>
      <c r="F50" s="233" t="s">
        <v>105</v>
      </c>
      <c r="G50" s="18"/>
      <c r="H50" s="243" t="s">
        <v>133</v>
      </c>
      <c r="I50" s="18"/>
      <c r="J50" s="243"/>
      <c r="K50" s="244">
        <f>W53</f>
        <v>12.645461598138091</v>
      </c>
      <c r="L50" s="245" t="s">
        <v>105</v>
      </c>
      <c r="M50" s="51" t="str">
        <f>IF(Q22&gt;0.01,Q22,"0,00")</f>
        <v>0,00</v>
      </c>
      <c r="N50" s="11" t="e">
        <f>N49/2</f>
        <v>#VALUE!</v>
      </c>
      <c r="P50" s="29" t="e">
        <f>V65+Y65</f>
        <v>#VALUE!</v>
      </c>
      <c r="R50" s="246" t="str">
        <f>IF(C6=1,O51,IF(C6=2,O52,""))</f>
        <v>Tendendo ao equilíbrio</v>
      </c>
      <c r="T50" s="18"/>
      <c r="U50" s="18">
        <v>0.13</v>
      </c>
      <c r="V50" s="18"/>
      <c r="W50" s="18"/>
      <c r="X50" s="18"/>
      <c r="Y50" s="18" t="s">
        <v>134</v>
      </c>
      <c r="Z50" s="18"/>
      <c r="AA50" s="18"/>
      <c r="AB50" s="237">
        <v>56</v>
      </c>
      <c r="AC50" s="237">
        <v>0</v>
      </c>
      <c r="AD50" s="18"/>
      <c r="AE50" s="18"/>
      <c r="AF50" s="18"/>
      <c r="AG50" s="18"/>
      <c r="AH50" s="37"/>
      <c r="AI50" s="37"/>
      <c r="AJ50" s="37"/>
      <c r="AK50" s="37"/>
      <c r="AL50" s="37"/>
      <c r="AM50" s="37"/>
      <c r="AN50" s="37"/>
      <c r="AO50" s="37"/>
      <c r="AP50" s="37"/>
      <c r="AQ50" s="38"/>
      <c r="AR50" s="38"/>
      <c r="AS50" s="38"/>
      <c r="AT50" s="38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1:122" ht="20.100000000000001" customHeight="1" x14ac:dyDescent="0.25">
      <c r="A51" s="640" t="s">
        <v>135</v>
      </c>
      <c r="B51" s="640"/>
      <c r="C51" s="640"/>
      <c r="D51" s="640"/>
      <c r="E51" s="247"/>
      <c r="F51" s="248" t="s">
        <v>105</v>
      </c>
      <c r="G51" s="249"/>
      <c r="H51" s="250"/>
      <c r="I51" s="251"/>
      <c r="J51" s="251"/>
      <c r="K51" s="251"/>
      <c r="L51" s="252"/>
      <c r="M51" s="51" t="e">
        <f>IF(N43&lt;100,N43,100)</f>
        <v>#VALUE!</v>
      </c>
      <c r="O51" s="165" t="str">
        <f>IF(E48&lt;Q51,R51,O52)</f>
        <v>Tendendo ao equilíbrio</v>
      </c>
      <c r="P51" s="165" t="str">
        <f>IF(E48&lt;Q51,R51,R50)</f>
        <v>Tendendo ao equilíbrio</v>
      </c>
      <c r="Q51" s="11">
        <v>36</v>
      </c>
      <c r="R51" s="11" t="s">
        <v>103</v>
      </c>
      <c r="T51" s="202" t="str">
        <f>IF(E50&lt;X51,R51,T52)</f>
        <v>Acima do equilíbrio</v>
      </c>
      <c r="U51" s="18">
        <v>0.2</v>
      </c>
      <c r="V51" s="18"/>
      <c r="W51" s="18"/>
      <c r="X51" s="18">
        <v>30</v>
      </c>
      <c r="Y51" s="18">
        <f>D11/Y49</f>
        <v>5.5178391958328223E-2</v>
      </c>
      <c r="Z51" s="18"/>
      <c r="AA51" s="18"/>
      <c r="AB51" s="237">
        <v>54</v>
      </c>
      <c r="AC51" s="237">
        <v>0.32</v>
      </c>
      <c r="AD51" s="18"/>
      <c r="AE51" s="18"/>
      <c r="AF51" s="18"/>
      <c r="AG51" s="18"/>
      <c r="AH51" s="37"/>
      <c r="AI51" s="37"/>
      <c r="AJ51" s="37"/>
      <c r="AK51" s="37"/>
      <c r="AL51" s="37"/>
      <c r="AM51" s="37"/>
      <c r="AN51" s="37"/>
      <c r="AO51" s="37"/>
      <c r="AP51" s="37"/>
      <c r="AQ51" s="38"/>
      <c r="AR51" s="38"/>
      <c r="AS51" s="38"/>
      <c r="AT51" s="38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1:122" ht="24.75" customHeight="1" x14ac:dyDescent="0.25">
      <c r="A52" s="641" t="s">
        <v>136</v>
      </c>
      <c r="B52" s="641"/>
      <c r="C52" s="641"/>
      <c r="D52" s="253"/>
      <c r="E52" s="642" t="str">
        <f>O107</f>
        <v/>
      </c>
      <c r="F52" s="642"/>
      <c r="G52" s="642"/>
      <c r="H52" s="642"/>
      <c r="I52" s="643" t="s">
        <v>137</v>
      </c>
      <c r="J52" s="643"/>
      <c r="K52" s="643"/>
      <c r="L52" s="643"/>
      <c r="M52" s="51" t="e">
        <f>E50+F36</f>
        <v>#VALUE!</v>
      </c>
      <c r="N52" s="255" t="str">
        <f>IF(C6=1,"3,0%",IF(C6=2,"3,0%",""))</f>
        <v>3,0%</v>
      </c>
      <c r="O52" s="165" t="str">
        <f>IF(E48&lt;Q52,R52,O54)</f>
        <v>Tendendo ao equilíbrio</v>
      </c>
      <c r="P52" s="165" t="str">
        <f>IF(E48&lt;Q52,R52,R51)</f>
        <v>Tendendo ao equilíbrio</v>
      </c>
      <c r="Q52" s="174">
        <v>50</v>
      </c>
      <c r="R52" s="11" t="s">
        <v>106</v>
      </c>
      <c r="T52" s="202" t="str">
        <f>IF(E50&lt;X52,R52,T54)</f>
        <v>Acima do equilíbrio</v>
      </c>
      <c r="U52" s="202" t="str">
        <f>IF($Q$3&lt;U50,V57,U54)</f>
        <v>Boa resposta a adubação com Potássio</v>
      </c>
      <c r="V52" s="256">
        <f>IFERROR(P10,"")</f>
        <v>44.685802948021717</v>
      </c>
      <c r="W52" s="256">
        <f>IFERROR(Q10,"")</f>
        <v>12.645461598138091</v>
      </c>
      <c r="X52" s="18">
        <v>49.9</v>
      </c>
      <c r="Y52" s="18"/>
      <c r="Z52" s="18"/>
      <c r="AA52" s="18"/>
      <c r="AB52" s="237">
        <v>29</v>
      </c>
      <c r="AC52" s="237">
        <v>0</v>
      </c>
      <c r="AD52" s="18"/>
      <c r="AE52" s="18"/>
      <c r="AF52" s="18"/>
      <c r="AG52" s="18"/>
      <c r="AH52" s="37"/>
      <c r="AI52" s="37"/>
      <c r="AJ52" s="37"/>
      <c r="AK52" s="37"/>
      <c r="AL52" s="37"/>
      <c r="AM52" s="37"/>
      <c r="AN52" s="37"/>
      <c r="AO52" s="37"/>
      <c r="AP52" s="37"/>
      <c r="AQ52" s="38"/>
      <c r="AR52" s="38"/>
      <c r="AS52" s="38"/>
      <c r="AT52" s="3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1:122" ht="20.100000000000001" customHeight="1" x14ac:dyDescent="0.25">
      <c r="A53" s="72"/>
      <c r="B53" s="257" t="s">
        <v>138</v>
      </c>
      <c r="C53" s="253"/>
      <c r="D53" s="122" t="s">
        <v>105</v>
      </c>
      <c r="E53" s="258"/>
      <c r="F53" s="258"/>
      <c r="G53" s="258"/>
      <c r="H53" s="254"/>
      <c r="I53" s="644" t="s">
        <v>139</v>
      </c>
      <c r="J53" s="644"/>
      <c r="K53" s="645" t="s">
        <v>85</v>
      </c>
      <c r="L53" s="645"/>
      <c r="M53" s="51"/>
      <c r="N53" s="246"/>
      <c r="O53" s="259"/>
      <c r="P53" s="165"/>
      <c r="Q53" s="260"/>
      <c r="T53" s="202"/>
      <c r="U53" s="202"/>
      <c r="V53" s="256" t="str">
        <f>IFERROR(V68,"")</f>
        <v/>
      </c>
      <c r="W53" s="256">
        <f>IFERROR(M61,"")</f>
        <v>12.645461598138091</v>
      </c>
      <c r="X53" s="18"/>
      <c r="Y53" s="18"/>
      <c r="Z53" s="18"/>
      <c r="AA53" s="18"/>
      <c r="AB53" s="237"/>
      <c r="AC53" s="237"/>
      <c r="AD53" s="18"/>
      <c r="AE53" s="18"/>
      <c r="AF53" s="18"/>
      <c r="AG53" s="18"/>
      <c r="AH53" s="37"/>
      <c r="AI53" s="37"/>
      <c r="AJ53" s="37"/>
      <c r="AK53" s="37"/>
      <c r="AL53" s="37"/>
      <c r="AM53" s="37"/>
      <c r="AN53" s="37"/>
      <c r="AO53" s="37"/>
      <c r="AP53" s="37"/>
      <c r="AQ53" s="38"/>
      <c r="AR53" s="38"/>
      <c r="AS53" s="38"/>
      <c r="AT53" s="38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1:122" ht="20.100000000000001" customHeight="1" x14ac:dyDescent="0.25">
      <c r="A54" s="646" t="s">
        <v>140</v>
      </c>
      <c r="B54" s="646"/>
      <c r="C54" s="646"/>
      <c r="D54" s="261"/>
      <c r="E54" s="122" t="s">
        <v>105</v>
      </c>
      <c r="F54" s="18"/>
      <c r="G54" s="18"/>
      <c r="H54" s="262"/>
      <c r="I54" s="633" t="s">
        <v>141</v>
      </c>
      <c r="J54" s="633"/>
      <c r="K54" s="628"/>
      <c r="L54" s="628"/>
      <c r="M54" s="51" t="e">
        <f>100-M52</f>
        <v>#VALUE!</v>
      </c>
      <c r="N54" s="246" t="str">
        <f>IF(C6=1,"45 a 55",IF(C6=2,"35 a 40",""))</f>
        <v>45 a 55</v>
      </c>
      <c r="O54" s="165" t="str">
        <f>IF(E48&lt;Q54,R54,O55)</f>
        <v>Em equilíbrio</v>
      </c>
      <c r="P54" s="165" t="str">
        <f>IF(E48&lt;Q54,R54,R52)</f>
        <v>Em equilíbrio</v>
      </c>
      <c r="Q54" s="11">
        <v>70.010000000000005</v>
      </c>
      <c r="R54" s="11" t="s">
        <v>109</v>
      </c>
      <c r="T54" s="202" t="str">
        <f>IF(E50&lt;=X54,R54,T55)</f>
        <v>Acima do equilíbrio</v>
      </c>
      <c r="U54" s="202" t="str">
        <f>IF($Q$3&lt;U51,V58,U55)</f>
        <v>Média resposta a adubação com Potássio</v>
      </c>
      <c r="V54" s="256" t="str">
        <f>IFERROR(S66,"")</f>
        <v/>
      </c>
      <c r="W54" s="256" t="str">
        <f>IFERROR(U56,"")</f>
        <v/>
      </c>
      <c r="X54" s="18">
        <v>50</v>
      </c>
      <c r="Y54" s="27">
        <f>F11+H11</f>
        <v>7.39</v>
      </c>
      <c r="Z54" s="18"/>
      <c r="AA54" s="18"/>
      <c r="AB54" s="237">
        <v>75.7</v>
      </c>
      <c r="AC54" s="237">
        <v>0</v>
      </c>
      <c r="AD54" s="18"/>
      <c r="AE54" s="18"/>
      <c r="AF54" s="18"/>
      <c r="AG54" s="18"/>
      <c r="AH54" s="37"/>
      <c r="AI54" s="37"/>
      <c r="AJ54" s="37"/>
      <c r="AK54" s="37"/>
      <c r="AL54" s="37"/>
      <c r="AM54" s="37"/>
      <c r="AN54" s="37"/>
      <c r="AO54" s="37"/>
      <c r="AP54" s="37"/>
      <c r="AQ54" s="38"/>
      <c r="AR54" s="38"/>
      <c r="AS54" s="38"/>
      <c r="AT54" s="38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1:122" ht="20.100000000000001" customHeight="1" x14ac:dyDescent="0.25">
      <c r="A55" s="22" t="s">
        <v>77</v>
      </c>
      <c r="B55" s="18"/>
      <c r="C55" s="263" t="str">
        <f>V54</f>
        <v/>
      </c>
      <c r="D55" s="264" t="s">
        <v>142</v>
      </c>
      <c r="E55" s="124"/>
      <c r="F55" s="18"/>
      <c r="G55" s="18"/>
      <c r="H55" s="262"/>
      <c r="I55" s="633" t="s">
        <v>143</v>
      </c>
      <c r="J55" s="633"/>
      <c r="K55" s="628"/>
      <c r="L55" s="628"/>
      <c r="N55" s="246" t="str">
        <f>IF(C6=1,"10 a 15",IF(C6=2,"8 a 12",""))</f>
        <v>10 a 15</v>
      </c>
      <c r="O55" s="165" t="b">
        <f>IF(E48&gt;Q55,R55)</f>
        <v>0</v>
      </c>
      <c r="P55" s="165" t="b">
        <f>IF(E48&gt;Q55,R55)</f>
        <v>0</v>
      </c>
      <c r="Q55" s="11">
        <v>70.02</v>
      </c>
      <c r="R55" s="11" t="s">
        <v>112</v>
      </c>
      <c r="T55" s="202" t="str">
        <f>IF(E50&gt;=X55,R55)</f>
        <v>Acima do equilíbrio</v>
      </c>
      <c r="U55" s="202" t="b">
        <f>IF($Q$3&gt;U51,V59)</f>
        <v>0</v>
      </c>
      <c r="V55" s="256">
        <f>IFERROR(R7,"")</f>
        <v>58.494957331264544</v>
      </c>
      <c r="W55" s="256" t="str">
        <f>IFERROR(N43,"")</f>
        <v/>
      </c>
      <c r="X55" s="18">
        <v>50.1</v>
      </c>
      <c r="Y55" s="18">
        <f>Y54/D11</f>
        <v>49.266666666666666</v>
      </c>
      <c r="Z55" s="18"/>
      <c r="AA55" s="265" t="s">
        <v>144</v>
      </c>
      <c r="AB55" s="265"/>
      <c r="AC55" s="265"/>
      <c r="AD55" s="265"/>
      <c r="AE55" s="265"/>
      <c r="AF55" s="265"/>
      <c r="AG55" s="265"/>
      <c r="AH55" s="266"/>
      <c r="AI55" s="37"/>
      <c r="AJ55" s="37"/>
      <c r="AK55" s="37"/>
      <c r="AL55" s="37"/>
      <c r="AM55" s="37"/>
      <c r="AN55" s="37"/>
      <c r="AO55" s="37"/>
      <c r="AP55" s="37"/>
      <c r="AQ55" s="38"/>
      <c r="AR55" s="38"/>
      <c r="AS55" s="38"/>
      <c r="AT55" s="38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1:122" ht="20.100000000000001" customHeight="1" x14ac:dyDescent="0.25">
      <c r="A56" s="156" t="str">
        <f>Q66</f>
        <v/>
      </c>
      <c r="B56" s="18"/>
      <c r="C56" s="267" t="str">
        <f>N17</f>
        <v/>
      </c>
      <c r="D56" s="268" t="str">
        <f>'Memória de cálculo'!I1</f>
        <v/>
      </c>
      <c r="E56" s="269" t="str">
        <f>P29</f>
        <v/>
      </c>
      <c r="F56" s="269"/>
      <c r="G56" s="143"/>
      <c r="H56" s="270"/>
      <c r="I56" s="634" t="s">
        <v>145</v>
      </c>
      <c r="J56" s="634"/>
      <c r="K56" s="635"/>
      <c r="L56" s="635"/>
      <c r="M56" s="77" t="str">
        <f>'Memória de cálculo'!K28</f>
        <v/>
      </c>
      <c r="N56" s="271" t="str">
        <f>IF(C6=1,P57,IF(C6=2,N57,""))</f>
        <v>Tendendo ao equilibrio</v>
      </c>
      <c r="O56" s="174"/>
      <c r="T56" s="271" t="str">
        <f>IF(C6=1,T57,IF(C6=2,U59,""))</f>
        <v>Tendendo ao equilibrio</v>
      </c>
      <c r="U56" s="636" t="e">
        <f>'Memória de cálculo'!K118/2.42</f>
        <v>#VALUE!</v>
      </c>
      <c r="V56" s="636"/>
      <c r="W56" s="18"/>
      <c r="X56" s="18"/>
      <c r="Y56" s="18"/>
      <c r="Z56" s="18"/>
      <c r="AA56" s="272" t="s">
        <v>146</v>
      </c>
      <c r="AB56" s="273"/>
      <c r="AC56" s="274">
        <f>F11/H11</f>
        <v>3.5337423312883436</v>
      </c>
      <c r="AD56" s="275" t="s">
        <v>121</v>
      </c>
      <c r="AE56" s="272" t="s">
        <v>147</v>
      </c>
      <c r="AF56" s="273"/>
      <c r="AG56" s="274">
        <f>Y55</f>
        <v>49.266666666666666</v>
      </c>
      <c r="AH56" s="276" t="s">
        <v>121</v>
      </c>
      <c r="AI56" s="37"/>
      <c r="AJ56" s="37"/>
      <c r="AK56" s="37"/>
      <c r="AL56" s="37"/>
      <c r="AM56" s="37"/>
      <c r="AN56" s="37"/>
      <c r="AO56" s="37"/>
      <c r="AP56" s="37"/>
      <c r="AQ56" s="38"/>
      <c r="AR56" s="38"/>
      <c r="AS56" s="38"/>
      <c r="AT56" s="38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1:122" ht="20.100000000000001" customHeight="1" x14ac:dyDescent="0.25">
      <c r="A57" s="277" t="str">
        <f>T71</f>
        <v/>
      </c>
      <c r="B57" s="278"/>
      <c r="C57" s="278"/>
      <c r="D57" s="279" t="str">
        <f>U71</f>
        <v/>
      </c>
      <c r="E57" s="637" t="s">
        <v>79</v>
      </c>
      <c r="F57" s="637"/>
      <c r="G57" s="636" t="str">
        <f>M63</f>
        <v/>
      </c>
      <c r="H57" s="636"/>
      <c r="I57" s="634" t="s">
        <v>148</v>
      </c>
      <c r="J57" s="634"/>
      <c r="K57" s="628"/>
      <c r="L57" s="628"/>
      <c r="M57" s="11" t="e">
        <f>M56/2.42</f>
        <v>#VALUE!</v>
      </c>
      <c r="N57" s="165" t="str">
        <f>IF(K48&lt;O57,R57,N58)</f>
        <v>Acima do equilibrio</v>
      </c>
      <c r="O57" s="11">
        <v>5</v>
      </c>
      <c r="P57" s="165" t="str">
        <f>IF(K48&lt;Q57,R57,P58)</f>
        <v>Tendendo ao equilibrio</v>
      </c>
      <c r="Q57" s="11">
        <v>7</v>
      </c>
      <c r="R57" s="11" t="s">
        <v>103</v>
      </c>
      <c r="T57" s="202" t="str">
        <f>IF(K50&lt;Q57,R57,T58)</f>
        <v>Tendendo ao equilibrio</v>
      </c>
      <c r="U57" s="18"/>
      <c r="V57" s="18" t="s">
        <v>149</v>
      </c>
      <c r="W57" s="18"/>
      <c r="X57" s="18"/>
      <c r="Y57" s="18"/>
      <c r="Z57" s="18"/>
      <c r="AA57" s="273" t="s">
        <v>150</v>
      </c>
      <c r="AB57" s="273"/>
      <c r="AC57" s="274" t="e">
        <f>V65/Y65</f>
        <v>#VALUE!</v>
      </c>
      <c r="AD57" s="280" t="s">
        <v>151</v>
      </c>
      <c r="AE57" s="273" t="s">
        <v>150</v>
      </c>
      <c r="AF57" s="273"/>
      <c r="AG57" s="274" t="e">
        <f>P50/T65</f>
        <v>#VALUE!</v>
      </c>
      <c r="AH57" s="276" t="s">
        <v>152</v>
      </c>
      <c r="AI57" s="37"/>
      <c r="AJ57" s="37"/>
      <c r="AK57" s="37"/>
      <c r="AL57" s="37"/>
      <c r="AM57" s="37"/>
      <c r="AN57" s="37"/>
      <c r="AO57" s="37"/>
      <c r="AP57" s="37"/>
      <c r="AQ57" s="38"/>
      <c r="AR57" s="38"/>
      <c r="AS57" s="38"/>
      <c r="AT57" s="38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1:122" ht="21" customHeight="1" x14ac:dyDescent="0.25">
      <c r="A58" s="622" t="s">
        <v>153</v>
      </c>
      <c r="B58" s="623" t="s">
        <v>154</v>
      </c>
      <c r="C58" s="623"/>
      <c r="D58" s="624">
        <f>V55</f>
        <v>58.494957331264544</v>
      </c>
      <c r="E58" s="624"/>
      <c r="F58" s="625" t="s">
        <v>56</v>
      </c>
      <c r="G58" s="626" t="str">
        <f>M44</f>
        <v xml:space="preserve"> 60 a 70%</v>
      </c>
      <c r="H58" s="626"/>
      <c r="I58" s="627" t="s">
        <v>155</v>
      </c>
      <c r="J58" s="627"/>
      <c r="K58" s="628"/>
      <c r="L58" s="628"/>
      <c r="M58" s="29">
        <f>K48+M60</f>
        <v>12.645461598138091</v>
      </c>
      <c r="N58" s="165" t="str">
        <f>IF(K48&lt;O58,R58,N59)</f>
        <v>Acima do equilibrio</v>
      </c>
      <c r="O58" s="11">
        <v>7.5</v>
      </c>
      <c r="P58" s="165" t="str">
        <f>IF(K48&lt;Q58,R58,P59)</f>
        <v>Tendendo ao equilibrio</v>
      </c>
      <c r="Q58" s="11">
        <v>10</v>
      </c>
      <c r="R58" s="11" t="s">
        <v>103</v>
      </c>
      <c r="T58" s="202" t="str">
        <f>IF(K50&lt;Q58,R58,T59)</f>
        <v>Tendendo ao equilibrio</v>
      </c>
      <c r="U58" s="18"/>
      <c r="V58" s="18" t="s">
        <v>156</v>
      </c>
      <c r="W58" s="18"/>
      <c r="X58" s="18"/>
      <c r="Y58" s="18"/>
      <c r="Z58" s="18"/>
      <c r="AA58" s="273"/>
      <c r="AB58" s="281" t="str">
        <f>R45</f>
        <v>Em equilíbrio</v>
      </c>
      <c r="AC58" s="273"/>
      <c r="AD58" s="273"/>
      <c r="AE58" s="273"/>
      <c r="AF58" s="222" t="str">
        <f>V47</f>
        <v>Acima do equilíbrio</v>
      </c>
      <c r="AG58" s="275"/>
      <c r="AH58" s="282"/>
      <c r="AI58" s="37"/>
      <c r="AJ58" s="37"/>
      <c r="AK58" s="37"/>
      <c r="AL58" s="37"/>
      <c r="AM58" s="37"/>
      <c r="AN58" s="37"/>
      <c r="AO58" s="37"/>
      <c r="AP58" s="37"/>
      <c r="AQ58" s="38"/>
      <c r="AR58" s="38"/>
      <c r="AS58" s="38"/>
      <c r="AT58" s="38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1:122" ht="21.75" customHeight="1" x14ac:dyDescent="0.25">
      <c r="A59" s="622"/>
      <c r="B59" s="629" t="s">
        <v>133</v>
      </c>
      <c r="C59" s="629"/>
      <c r="D59" s="630" t="str">
        <f>W55</f>
        <v/>
      </c>
      <c r="E59" s="630"/>
      <c r="F59" s="625"/>
      <c r="G59" s="626"/>
      <c r="H59" s="626"/>
      <c r="I59" s="631" t="s">
        <v>157</v>
      </c>
      <c r="J59" s="631"/>
      <c r="K59" s="632"/>
      <c r="L59" s="632"/>
      <c r="N59" s="165" t="str">
        <f>IF(K48&lt;=O59,R59,N60)</f>
        <v>Acima do equilibrio</v>
      </c>
      <c r="O59" s="11">
        <v>10</v>
      </c>
      <c r="P59" s="165" t="str">
        <f>IF(K48&lt;=Q59,R59,P60)</f>
        <v>Tendendo ao equilibrio</v>
      </c>
      <c r="Q59" s="11">
        <v>15</v>
      </c>
      <c r="R59" s="11" t="s">
        <v>158</v>
      </c>
      <c r="T59" s="202" t="str">
        <f>IF(K50&lt;=Q59,R59,T60)</f>
        <v>Tendendo ao equilibrio</v>
      </c>
      <c r="U59" s="202" t="str">
        <f>IF(K50&lt;O57,R57,U60)</f>
        <v>Acima do equilibrio</v>
      </c>
      <c r="V59" s="18" t="s">
        <v>159</v>
      </c>
      <c r="W59" s="18"/>
      <c r="X59" s="18"/>
      <c r="Y59" s="18"/>
      <c r="Z59" s="18"/>
      <c r="AA59" s="272" t="s">
        <v>160</v>
      </c>
      <c r="AB59" s="273"/>
      <c r="AC59" s="274">
        <f>F11/D11</f>
        <v>38.4</v>
      </c>
      <c r="AD59" s="275" t="s">
        <v>121</v>
      </c>
      <c r="AE59" s="272" t="s">
        <v>161</v>
      </c>
      <c r="AF59" s="273"/>
      <c r="AG59" s="274">
        <f>O44</f>
        <v>10.866666666666667</v>
      </c>
      <c r="AH59" s="276" t="s">
        <v>121</v>
      </c>
      <c r="AI59" s="37"/>
      <c r="AJ59" s="37"/>
      <c r="AK59" s="37"/>
      <c r="AL59" s="37"/>
      <c r="AM59" s="37"/>
      <c r="AN59" s="37"/>
      <c r="AO59" s="37"/>
      <c r="AP59" s="37"/>
      <c r="AQ59" s="38"/>
      <c r="AR59" s="38"/>
      <c r="AS59" s="38"/>
      <c r="AT59" s="38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1:122" ht="18" x14ac:dyDescent="0.25">
      <c r="A60" s="283"/>
      <c r="B60" s="284"/>
      <c r="C60" s="285"/>
      <c r="D60" s="284"/>
      <c r="E60" s="286"/>
      <c r="F60" s="285"/>
      <c r="G60" s="285"/>
      <c r="H60" s="285"/>
      <c r="I60" s="287"/>
      <c r="J60" s="287"/>
      <c r="K60" s="285"/>
      <c r="L60" s="288"/>
      <c r="M60" s="289" t="str">
        <f>IF(D52=1,N61,IF(D52=6,N62,IF(D52=2,N63,"0")))</f>
        <v>0</v>
      </c>
      <c r="N60" s="165" t="str">
        <f>IF(K48&gt;O60,R60,"")</f>
        <v>Acima do equilibrio</v>
      </c>
      <c r="O60" s="11">
        <v>10.1</v>
      </c>
      <c r="P60" s="165" t="str">
        <f>IF(K48&gt;Q60,R60,"")</f>
        <v/>
      </c>
      <c r="Q60" s="11">
        <v>15.1</v>
      </c>
      <c r="R60" s="11" t="s">
        <v>162</v>
      </c>
      <c r="T60" s="202" t="b">
        <f>IF(K50&gt;Q60,R60)</f>
        <v>0</v>
      </c>
      <c r="U60" s="202" t="str">
        <f>IF(K50&lt;O58,R58,U61)</f>
        <v>Acima do equilibrio</v>
      </c>
      <c r="V60" s="18"/>
      <c r="W60" s="18"/>
      <c r="X60" s="18"/>
      <c r="Y60" s="18"/>
      <c r="Z60" s="18"/>
      <c r="AA60" s="273" t="s">
        <v>150</v>
      </c>
      <c r="AB60" s="273"/>
      <c r="AC60" s="274" t="e">
        <f>V65/T65</f>
        <v>#VALUE!</v>
      </c>
      <c r="AD60" s="275" t="s">
        <v>163</v>
      </c>
      <c r="AE60" s="273" t="s">
        <v>150</v>
      </c>
      <c r="AF60" s="273"/>
      <c r="AG60" s="274">
        <f>Y65/T65</f>
        <v>2.529092319627618</v>
      </c>
      <c r="AH60" s="276" t="s">
        <v>164</v>
      </c>
      <c r="AI60" s="37"/>
      <c r="AJ60" s="37"/>
      <c r="AK60" s="37"/>
      <c r="AL60" s="37"/>
      <c r="AM60" s="37"/>
      <c r="AN60" s="37"/>
      <c r="AO60" s="37"/>
      <c r="AP60" s="37"/>
      <c r="AQ60" s="38"/>
      <c r="AR60" s="38"/>
      <c r="AS60" s="38"/>
      <c r="AT60" s="38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1:122" ht="23.25" customHeight="1" x14ac:dyDescent="0.2">
      <c r="M61" s="11">
        <f>H13/R6*100</f>
        <v>12.645461598138091</v>
      </c>
      <c r="N61" s="11" t="e">
        <f>18*0.0248*T70</f>
        <v>#VALUE!</v>
      </c>
      <c r="O61" s="165">
        <f>IF(AE40&lt;Q61,R61,'Memória de cálculo'!L5)</f>
        <v>0</v>
      </c>
      <c r="Q61" s="11">
        <v>15</v>
      </c>
      <c r="R61" s="11" t="s">
        <v>103</v>
      </c>
      <c r="T61" s="18"/>
      <c r="U61" s="202" t="str">
        <f>IF(K50&lt;O59,R59,U62)</f>
        <v>Acima do equilibrio</v>
      </c>
      <c r="V61" s="18"/>
      <c r="W61" s="18"/>
      <c r="X61" s="18"/>
      <c r="Y61" s="18"/>
      <c r="Z61" s="18"/>
      <c r="AA61" s="273"/>
      <c r="AB61" s="222" t="str">
        <f>AQ33</f>
        <v>Resposta linear a Potássio</v>
      </c>
      <c r="AC61" s="273"/>
      <c r="AD61" s="273"/>
      <c r="AE61" s="273"/>
      <c r="AF61" s="222" t="str">
        <f>U45</f>
        <v>Não afeta a produção</v>
      </c>
      <c r="AG61" s="273"/>
      <c r="AH61" s="282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1:122" ht="25.5" customHeight="1" x14ac:dyDescent="0.2">
      <c r="M62" s="290" t="e">
        <f>P104/2.42</f>
        <v>#VALUE!</v>
      </c>
      <c r="N62" s="11" t="e">
        <f>10*0.0248*T70</f>
        <v>#VALUE!</v>
      </c>
      <c r="O62" s="165" t="str">
        <f>IF(AE40&lt;Q62,R61,O63)</f>
        <v>Acima do equilíbrio</v>
      </c>
      <c r="Q62" s="11">
        <v>15</v>
      </c>
      <c r="R62" s="11" t="s">
        <v>106</v>
      </c>
      <c r="U62" s="202" t="str">
        <f>IF(K50&gt;O60,R60)</f>
        <v>Acima do equilibrio</v>
      </c>
      <c r="AB62" s="606" t="s">
        <v>165</v>
      </c>
      <c r="AC62" s="606"/>
      <c r="AD62" s="18"/>
      <c r="AE62" s="18"/>
      <c r="AF62" s="18"/>
      <c r="AG62" s="18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1:122" ht="25.5" customHeight="1" x14ac:dyDescent="0.25">
      <c r="M63" s="63" t="str">
        <f>IFERROR(M62,"")</f>
        <v/>
      </c>
      <c r="N63" s="11" t="e">
        <f>5*0.0248*T70</f>
        <v>#VALUE!</v>
      </c>
      <c r="O63" s="165" t="str">
        <f>IF(AE40&lt;Q63,R62,O64)</f>
        <v>Acima do equilíbrio</v>
      </c>
      <c r="Q63" s="11">
        <v>20</v>
      </c>
      <c r="R63" s="11" t="s">
        <v>109</v>
      </c>
      <c r="T63" s="617" t="s">
        <v>166</v>
      </c>
      <c r="U63" s="617"/>
      <c r="V63" s="617"/>
      <c r="W63" s="617"/>
      <c r="X63" s="617"/>
      <c r="Y63" s="617"/>
      <c r="Z63" s="617"/>
      <c r="AA63" s="617"/>
      <c r="AB63" s="617" t="s">
        <v>167</v>
      </c>
      <c r="AC63" s="617"/>
      <c r="AD63" s="18"/>
      <c r="AE63" s="18"/>
      <c r="AF63" s="18"/>
      <c r="AG63" s="18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1:122" ht="25.5" customHeight="1" x14ac:dyDescent="0.25">
      <c r="M64" s="20"/>
      <c r="N64" s="11" t="e">
        <f>20*0.0248*T70</f>
        <v>#VALUE!</v>
      </c>
      <c r="O64" s="165" t="str">
        <f>IF(AE40&lt;=Q64,R63,O65)</f>
        <v>Acima do equilíbrio</v>
      </c>
      <c r="Q64" s="11">
        <v>25</v>
      </c>
      <c r="R64" s="11" t="s">
        <v>112</v>
      </c>
      <c r="T64" s="48" t="s">
        <v>49</v>
      </c>
      <c r="U64" s="48"/>
      <c r="V64" s="48" t="s">
        <v>50</v>
      </c>
      <c r="W64" s="48"/>
      <c r="X64" s="48"/>
      <c r="Y64" s="15" t="s">
        <v>51</v>
      </c>
      <c r="Z64" s="15"/>
      <c r="AA64" s="15"/>
      <c r="AB64" s="618">
        <f>'Memória de cálculo'!C12+B11</f>
        <v>8.59</v>
      </c>
      <c r="AC64" s="618"/>
      <c r="AD64" s="18"/>
      <c r="AE64" s="18"/>
      <c r="AF64" s="18"/>
      <c r="AG64" s="18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13:122" ht="25.5" customHeight="1" x14ac:dyDescent="0.25">
      <c r="M65" s="291"/>
      <c r="N65" s="11" t="e">
        <f>18*0.0248*C39/1000</f>
        <v>#VALUE!</v>
      </c>
      <c r="O65" s="165" t="str">
        <f>IF(AE40&gt;Q65,R64,"")</f>
        <v>Acima do equilíbrio</v>
      </c>
      <c r="Q65" s="11">
        <v>25.1</v>
      </c>
      <c r="T65" s="263">
        <f>AD29</f>
        <v>0.64450000000000007</v>
      </c>
      <c r="U65" s="263"/>
      <c r="V65" s="263" t="e">
        <f>AD26</f>
        <v>#VALUE!</v>
      </c>
      <c r="W65" s="263"/>
      <c r="X65" s="263"/>
      <c r="Y65" s="263">
        <f>M5</f>
        <v>1.63</v>
      </c>
      <c r="Z65" s="263"/>
      <c r="AA65" s="263"/>
      <c r="AB65" s="15"/>
      <c r="AC65" s="18"/>
      <c r="AD65" s="18"/>
      <c r="AE65" s="18"/>
      <c r="AF65" s="18"/>
      <c r="AG65" s="18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13:122" ht="30.2" customHeight="1" x14ac:dyDescent="0.3">
      <c r="M66" s="292"/>
      <c r="N66" s="11">
        <f>0.0248*H23</f>
        <v>0</v>
      </c>
      <c r="O66" s="11" t="str">
        <f>IF(D37=3,N69,"0,0")</f>
        <v>0,0</v>
      </c>
      <c r="Q66" s="293" t="str">
        <f>IF(D52=4,"Essa correção fornecerá:","")</f>
        <v/>
      </c>
      <c r="R66" s="287"/>
      <c r="S66" s="143" t="e">
        <f>T70*100/C53</f>
        <v>#VALUE!</v>
      </c>
      <c r="T66" s="234" t="s">
        <v>117</v>
      </c>
      <c r="U66" s="15"/>
      <c r="V66" s="15"/>
      <c r="W66" s="15"/>
      <c r="X66" s="15"/>
      <c r="Y66" s="15"/>
      <c r="Z66" s="15"/>
      <c r="AA66" s="15"/>
      <c r="AB66" s="15"/>
      <c r="AC66" s="18"/>
      <c r="AD66" s="18"/>
      <c r="AE66" s="18"/>
      <c r="AF66" s="18"/>
      <c r="AG66" s="18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13:122" ht="25.5" customHeight="1" x14ac:dyDescent="0.2">
      <c r="N67" s="11" t="str">
        <f>IF(D23=5,0.0248*15,"0")</f>
        <v>0</v>
      </c>
      <c r="O67" s="165" t="str">
        <f>IF(AE33&gt;Q67,R67,O68)</f>
        <v>Desequilibrado</v>
      </c>
      <c r="Q67" s="11">
        <v>5</v>
      </c>
      <c r="R67" s="11" t="s">
        <v>103</v>
      </c>
      <c r="T67" s="48" t="s">
        <v>49</v>
      </c>
      <c r="U67" s="48"/>
      <c r="V67" s="48" t="s">
        <v>50</v>
      </c>
      <c r="W67" s="48"/>
      <c r="X67" s="48"/>
      <c r="Y67" s="48"/>
      <c r="Z67" s="15" t="s">
        <v>51</v>
      </c>
      <c r="AA67" s="15"/>
      <c r="AB67" s="18"/>
      <c r="AC67" s="18"/>
      <c r="AD67" s="18"/>
      <c r="AE67" s="18"/>
      <c r="AF67" s="18"/>
      <c r="AG67" s="18"/>
      <c r="AH67" s="37"/>
      <c r="AI67" s="37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13:122" ht="25.5" customHeight="1" x14ac:dyDescent="0.25">
      <c r="N68" s="11" t="str">
        <f>IF(D37=3,N65,"0")</f>
        <v>0</v>
      </c>
      <c r="O68" s="165" t="str">
        <f>IF(AE33&gt;Q68,R68,O69)</f>
        <v>Tendendo ao equilíbrio</v>
      </c>
      <c r="Q68" s="11">
        <v>0.01</v>
      </c>
      <c r="R68" s="11" t="s">
        <v>106</v>
      </c>
      <c r="T68" s="294">
        <f>AL30</f>
        <v>1.1636927851047323</v>
      </c>
      <c r="U68" s="294"/>
      <c r="V68" s="294" t="e">
        <f>AE24</f>
        <v>#VALUE!</v>
      </c>
      <c r="W68" s="294"/>
      <c r="X68" s="294"/>
      <c r="Y68" s="294">
        <f>AE26</f>
        <v>12.645461598138091</v>
      </c>
      <c r="Z68" s="294"/>
      <c r="AA68" s="294"/>
      <c r="AB68" s="18"/>
      <c r="AC68" s="18"/>
      <c r="AD68" s="18"/>
      <c r="AE68" s="18"/>
      <c r="AF68" s="18"/>
      <c r="AG68" s="18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13:122" ht="25.5" customHeight="1" x14ac:dyDescent="0.2">
      <c r="M69" s="295"/>
      <c r="N69" s="11" t="e">
        <f>N65*0.6</f>
        <v>#VALUE!</v>
      </c>
      <c r="O69" s="165" t="b">
        <f>IF(AE33&lt;=Q69,R69,O70)</f>
        <v>0</v>
      </c>
      <c r="Q69" s="11">
        <v>1E-3</v>
      </c>
      <c r="R69" s="11" t="s">
        <v>109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7"/>
      <c r="AJ69" s="37"/>
      <c r="AK69" s="37"/>
      <c r="AL69" s="37"/>
      <c r="AM69" s="37"/>
      <c r="AN69" s="37"/>
      <c r="AO69" s="37"/>
      <c r="AP69" s="37"/>
      <c r="AQ69" s="38"/>
      <c r="AR69" s="38"/>
      <c r="AS69" s="38"/>
      <c r="AT69" s="38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13:122" ht="25.5" customHeight="1" x14ac:dyDescent="0.25">
      <c r="N70" s="11">
        <f>N67*0.6</f>
        <v>0</v>
      </c>
      <c r="O70" s="165" t="b">
        <f>IF(AE33&lt;Q70,R70)</f>
        <v>0</v>
      </c>
      <c r="Q70" s="11">
        <v>1E-4</v>
      </c>
      <c r="R70" s="11" t="s">
        <v>109</v>
      </c>
      <c r="T70" s="296" t="e">
        <f>'Memória de cálculo'!F113</f>
        <v>#VALUE!</v>
      </c>
      <c r="U70" s="25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7"/>
      <c r="AJ70" s="37"/>
      <c r="AK70" s="37"/>
      <c r="AL70" s="37"/>
      <c r="AM70" s="37"/>
      <c r="AN70" s="37"/>
      <c r="AO70" s="37"/>
      <c r="AP70" s="37"/>
      <c r="AQ70" s="38"/>
      <c r="AR70" s="38"/>
      <c r="AS70" s="38"/>
      <c r="AT70" s="38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13:122" ht="25.5" customHeight="1" x14ac:dyDescent="0.2">
      <c r="N71" s="11">
        <f>'Memória de cálculo'!H11*2</f>
        <v>0</v>
      </c>
      <c r="O71" s="297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06" t="str">
        <f>IF(D52=4,"Quantidade de Enxofre suficiente:","")</f>
        <v/>
      </c>
      <c r="U71" s="206" t="str">
        <f>IF(D52=4,"80 kg/ha","")</f>
        <v/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7"/>
      <c r="AJ71" s="37"/>
      <c r="AK71" s="37"/>
      <c r="AL71" s="37"/>
      <c r="AM71" s="37"/>
      <c r="AN71" s="37"/>
      <c r="AO71" s="37"/>
      <c r="AP71" s="37"/>
      <c r="AQ71" s="38"/>
      <c r="AR71" s="38"/>
      <c r="AS71" s="38"/>
      <c r="AT71" s="38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13:122" ht="23.25" customHeight="1" x14ac:dyDescent="0.2">
      <c r="N72" s="11">
        <f>N71</f>
        <v>0</v>
      </c>
      <c r="O72" s="297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11" t="str">
        <f>IF('Memória de cálculo'!E10&lt;0.01,"0,0",'Memória de cálculo'!E10)</f>
        <v>0,0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8"/>
      <c r="AS72" s="38"/>
      <c r="AT72" s="38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13:122" ht="25.5" customHeight="1" x14ac:dyDescent="0.2">
      <c r="O73" s="291" t="str">
        <f>IF(D37=1,"Cloreto de Potássio",IF(D37=2,"Sulfato de Potássio",IF(D37=3,"Sulfato de Potássio e Magnésio","")))</f>
        <v/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7"/>
      <c r="AJ73" s="37"/>
      <c r="AK73" s="37"/>
      <c r="AL73" s="37"/>
      <c r="AM73" s="37"/>
      <c r="AN73" s="37"/>
      <c r="AO73" s="37"/>
      <c r="AP73" s="37"/>
      <c r="AQ73" s="38"/>
      <c r="AR73" s="38"/>
      <c r="AS73" s="38"/>
      <c r="AT73" s="38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13:122" ht="23.25" customHeight="1" x14ac:dyDescent="0.2"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7"/>
      <c r="AJ74" s="37"/>
      <c r="AK74" s="37"/>
      <c r="AL74" s="37"/>
      <c r="AM74" s="37"/>
      <c r="AN74" s="37"/>
      <c r="AO74" s="37"/>
      <c r="AP74" s="37"/>
      <c r="AQ74" s="38"/>
      <c r="AR74" s="38"/>
      <c r="AS74" s="38"/>
      <c r="AT74" s="38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13:122" ht="25.5" customHeight="1" x14ac:dyDescent="0.2">
      <c r="O75" s="298" t="str">
        <f>IF(D37=1,"58",IF(D37=2,"52",IF(D37=3,"22",IF(D37=4,"44","0,0"))))</f>
        <v>0,0</v>
      </c>
      <c r="S75" s="11" t="s">
        <v>54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7"/>
      <c r="AJ75" s="37"/>
      <c r="AK75" s="37"/>
      <c r="AL75" s="37"/>
      <c r="AM75" s="37"/>
      <c r="AN75" s="37"/>
      <c r="AO75" s="37"/>
      <c r="AP75" s="37"/>
      <c r="AQ75" s="38"/>
      <c r="AR75" s="38"/>
      <c r="AS75" s="38"/>
      <c r="AT75" s="38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13:122" ht="25.5" customHeight="1" x14ac:dyDescent="0.2">
      <c r="O76" s="291" t="str">
        <f>IF(D37=1,"Cloreto de Potássio",IF(D37=2,"Sulfato de Potássio",IF(D37=3,"Sulfato de Potássio e Magnésio",IF(D37=4,"Nitrato de Potássio",""))))</f>
        <v/>
      </c>
      <c r="P76" s="18"/>
      <c r="Q76" s="18"/>
      <c r="S76" s="11" t="s">
        <v>168</v>
      </c>
      <c r="T76" s="18"/>
      <c r="U76" s="18"/>
      <c r="V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7"/>
      <c r="AJ76" s="37"/>
      <c r="AK76" s="37"/>
      <c r="AL76" s="37"/>
      <c r="AM76" s="37"/>
      <c r="AN76" s="37"/>
      <c r="AO76" s="37"/>
      <c r="AP76" s="37"/>
      <c r="AQ76" s="38"/>
      <c r="AR76" s="38"/>
      <c r="AS76" s="38"/>
      <c r="AT76" s="38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13:122" ht="23.25" customHeight="1" x14ac:dyDescent="0.2">
      <c r="O77" s="18"/>
      <c r="P77" s="25"/>
      <c r="Q77" s="18"/>
      <c r="S77" s="11" t="s">
        <v>169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7"/>
      <c r="AJ77" s="37"/>
      <c r="AK77" s="37"/>
      <c r="AL77" s="37"/>
      <c r="AM77" s="37"/>
      <c r="AN77" s="37"/>
      <c r="AO77" s="37"/>
      <c r="AP77" s="37"/>
      <c r="AQ77" s="38"/>
      <c r="AR77" s="38"/>
      <c r="AS77" s="38"/>
      <c r="AT77" s="38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13:122" ht="25.5" customHeight="1" x14ac:dyDescent="0.2">
      <c r="N78" s="20" t="s">
        <v>170</v>
      </c>
      <c r="O78" s="11">
        <f>IF('Memória de cálculo'!F51&lt;0.01,"0,0",'Memória de cálculo'!F51)</f>
        <v>0.49450000000000005</v>
      </c>
      <c r="P78" s="299" t="str">
        <f>IF(D37=1,(C42*'Memória de cálculo'!C68/1000),IF(D37=2,(G42*'Memória de cálculo'!C68/1000),IF(D37=3,(K42*'Memória de cálculo'!C68/1000),IF(D37=4,(M44*'Memória de cálculo'!C68/1000),""))))</f>
        <v/>
      </c>
      <c r="Q78" s="18"/>
      <c r="R78" s="11" t="str">
        <f>IF(D37=2,"Com essa correção de Potássio, forneceremos também ENXOFRE, na quantidade de:",IF(D37=3,"Com essa correção, forneceremos também ENXOFRE, na quantidade de:",""))</f>
        <v/>
      </c>
      <c r="S78" s="11" t="s">
        <v>171</v>
      </c>
      <c r="T78" s="18"/>
      <c r="U78" s="18"/>
      <c r="V78" s="18"/>
      <c r="W78" s="25" t="s">
        <v>172</v>
      </c>
      <c r="X78" s="25" t="s">
        <v>173</v>
      </c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7"/>
      <c r="AJ78" s="37"/>
      <c r="AK78" s="37"/>
      <c r="AL78" s="37"/>
      <c r="AM78" s="37"/>
      <c r="AN78" s="37"/>
      <c r="AO78" s="37"/>
      <c r="AP78" s="37"/>
      <c r="AQ78" s="38"/>
      <c r="AR78" s="38"/>
      <c r="AS78" s="38"/>
      <c r="AT78" s="38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13:122" ht="23.25" customHeight="1" x14ac:dyDescent="0.2">
      <c r="P79" s="25"/>
      <c r="Q79" s="18"/>
      <c r="S79" s="11" t="s">
        <v>174</v>
      </c>
      <c r="T79" s="18"/>
      <c r="U79" s="18"/>
      <c r="V79" s="18"/>
      <c r="X79" s="18" t="s">
        <v>175</v>
      </c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7"/>
      <c r="AJ79" s="37"/>
      <c r="AK79" s="37"/>
      <c r="AL79" s="37"/>
      <c r="AM79" s="37"/>
      <c r="AN79" s="37"/>
      <c r="AO79" s="37"/>
      <c r="AP79" s="37"/>
      <c r="AQ79" s="38"/>
      <c r="AR79" s="38"/>
      <c r="AS79" s="38"/>
      <c r="AT79" s="38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13:122" ht="23.25" customHeight="1" x14ac:dyDescent="0.2">
      <c r="O80" s="18"/>
      <c r="P80" s="25"/>
      <c r="Q80" s="18"/>
      <c r="R80" s="11" t="str">
        <f>IF(D37=2,"kg/Alqueire",IF(D37=3,"kg/Alqueire",""))</f>
        <v/>
      </c>
      <c r="S80" s="11" t="s">
        <v>176</v>
      </c>
      <c r="T80" s="18"/>
      <c r="U80" s="18"/>
      <c r="V80" s="18"/>
      <c r="X80" s="18">
        <v>47.1</v>
      </c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8"/>
      <c r="AS80" s="38"/>
      <c r="AT80" s="38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13:122" ht="23.25" customHeight="1" x14ac:dyDescent="0.2">
      <c r="O81" s="300" t="e">
        <f>'Memória de cálculo'!C66*2.42</f>
        <v>#DIV/0!</v>
      </c>
      <c r="S81" s="11" t="s">
        <v>177</v>
      </c>
      <c r="T81" s="18"/>
      <c r="U81" s="18"/>
      <c r="V81" s="18"/>
      <c r="X81" s="18">
        <v>4.5</v>
      </c>
      <c r="Y81" s="18"/>
      <c r="Z81" s="18"/>
      <c r="AA81" s="18"/>
      <c r="AB81" s="18"/>
      <c r="AC81" s="18"/>
      <c r="AD81" s="18"/>
      <c r="AE81" s="18"/>
      <c r="AF81" s="18"/>
      <c r="AG81" s="18"/>
      <c r="AH81" s="37"/>
      <c r="AI81" s="37"/>
      <c r="AJ81" s="37"/>
      <c r="AK81" s="37"/>
      <c r="AL81" s="37"/>
      <c r="AM81" s="37"/>
      <c r="AN81" s="37"/>
      <c r="AO81" s="37"/>
      <c r="AP81" s="37"/>
      <c r="AQ81" s="38"/>
      <c r="AR81" s="38"/>
      <c r="AS81" s="38"/>
      <c r="AT81" s="38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13:122" ht="23.25" customHeight="1" x14ac:dyDescent="0.2">
      <c r="Q82" s="11" t="str">
        <f>IF(D37=2,'Memória de cálculo'!C68*0.16,IF(D37=3,'Memória de cálculo'!C68*0.22,""))</f>
        <v/>
      </c>
      <c r="S82" s="11" t="s">
        <v>178</v>
      </c>
      <c r="T82" s="18"/>
      <c r="U82" s="18"/>
      <c r="V82" s="18"/>
      <c r="X82" s="18">
        <v>14.2</v>
      </c>
      <c r="Y82" s="18"/>
      <c r="Z82" s="18"/>
      <c r="AA82" s="18"/>
      <c r="AB82" s="18"/>
      <c r="AC82" s="18"/>
      <c r="AD82" s="18"/>
      <c r="AE82" s="18"/>
      <c r="AF82" s="18"/>
      <c r="AG82" s="18"/>
      <c r="AH82" s="37"/>
      <c r="AI82" s="37"/>
      <c r="AJ82" s="37"/>
      <c r="AK82" s="37"/>
      <c r="AL82" s="37"/>
      <c r="AM82" s="37"/>
      <c r="AN82" s="37"/>
      <c r="AO82" s="37"/>
      <c r="AP82" s="37"/>
      <c r="AQ82" s="38"/>
      <c r="AR82" s="38"/>
      <c r="AS82" s="38"/>
      <c r="AT82" s="38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13:122" ht="23.25" customHeight="1" x14ac:dyDescent="0.2">
      <c r="S83" s="11" t="s">
        <v>32</v>
      </c>
      <c r="T83" s="18"/>
      <c r="U83" s="18"/>
      <c r="V83" s="18"/>
      <c r="X83" s="18">
        <v>4.7</v>
      </c>
      <c r="Y83" s="18"/>
      <c r="Z83" s="18"/>
      <c r="AA83" s="18"/>
      <c r="AB83" s="18"/>
      <c r="AC83" s="18"/>
      <c r="AD83" s="18"/>
      <c r="AE83" s="18"/>
      <c r="AF83" s="18"/>
      <c r="AG83" s="18"/>
      <c r="AH83" s="37"/>
      <c r="AI83" s="37"/>
      <c r="AJ83" s="37"/>
      <c r="AK83" s="37"/>
      <c r="AL83" s="37"/>
      <c r="AM83" s="37"/>
      <c r="AN83" s="37"/>
      <c r="AO83" s="37"/>
      <c r="AP83" s="37"/>
      <c r="AQ83" s="38"/>
      <c r="AR83" s="38"/>
      <c r="AS83" s="38"/>
      <c r="AT83" s="38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13:122" ht="23.25" customHeight="1" x14ac:dyDescent="0.2"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37"/>
      <c r="AI84" s="37"/>
      <c r="AJ84" s="37"/>
      <c r="AK84" s="37"/>
      <c r="AL84" s="37"/>
      <c r="AM84" s="37"/>
      <c r="AN84" s="37"/>
      <c r="AO84" s="37"/>
      <c r="AP84" s="37"/>
      <c r="AQ84" s="38"/>
      <c r="AR84" s="38"/>
      <c r="AS84" s="38"/>
      <c r="AT84" s="38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  <row r="85" spans="13:122" ht="23.25" customHeight="1" x14ac:dyDescent="0.2">
      <c r="T85" s="18"/>
      <c r="U85" s="18"/>
      <c r="V85" s="18"/>
      <c r="W85" s="25" t="s">
        <v>172</v>
      </c>
      <c r="X85" s="25" t="s">
        <v>173</v>
      </c>
      <c r="Y85" s="18"/>
      <c r="Z85" s="18"/>
      <c r="AA85" s="18"/>
      <c r="AB85" s="18"/>
      <c r="AC85" s="18"/>
      <c r="AD85" s="18"/>
      <c r="AE85" s="18"/>
      <c r="AF85" s="18"/>
      <c r="AG85" s="18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8"/>
      <c r="AS85" s="38"/>
      <c r="AT85" s="38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</row>
    <row r="86" spans="13:122" ht="23.25" customHeight="1" x14ac:dyDescent="0.2">
      <c r="T86" s="18"/>
      <c r="U86" s="18"/>
      <c r="V86" s="18"/>
      <c r="X86" s="18" t="s">
        <v>175</v>
      </c>
      <c r="Y86" s="18"/>
      <c r="Z86" s="18"/>
      <c r="AA86" s="18"/>
      <c r="AB86" s="18"/>
      <c r="AC86" s="18"/>
      <c r="AD86" s="18"/>
      <c r="AE86" s="18"/>
      <c r="AF86" s="18"/>
      <c r="AG86" s="18"/>
      <c r="AH86" s="37"/>
      <c r="AI86" s="37"/>
      <c r="AJ86" s="37"/>
      <c r="AK86" s="37"/>
      <c r="AL86" s="37"/>
      <c r="AM86" s="37"/>
      <c r="AN86" s="37"/>
      <c r="AO86" s="37"/>
      <c r="AP86" s="37"/>
      <c r="AQ86" s="38"/>
      <c r="AR86" s="38"/>
      <c r="AS86" s="38"/>
      <c r="AT86" s="38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</row>
    <row r="87" spans="13:122" ht="23.25" customHeight="1" x14ac:dyDescent="0.2">
      <c r="T87" s="18"/>
      <c r="U87" s="18"/>
      <c r="V87" s="11" t="s">
        <v>176</v>
      </c>
      <c r="X87" s="18">
        <v>14.4</v>
      </c>
      <c r="Y87" s="18"/>
      <c r="Z87" s="18"/>
      <c r="AA87" s="18"/>
      <c r="AB87" s="18"/>
      <c r="AC87" s="18"/>
      <c r="AD87" s="18"/>
      <c r="AE87" s="18"/>
      <c r="AF87" s="18"/>
      <c r="AG87" s="18"/>
      <c r="AH87" s="37"/>
      <c r="AI87" s="37"/>
      <c r="AJ87" s="37"/>
      <c r="AK87" s="37"/>
      <c r="AL87" s="37"/>
      <c r="AM87" s="37"/>
      <c r="AN87" s="37"/>
      <c r="AO87" s="37"/>
      <c r="AP87" s="37"/>
      <c r="AQ87" s="38"/>
      <c r="AR87" s="38"/>
      <c r="AS87" s="38"/>
      <c r="AT87" s="38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</row>
    <row r="88" spans="13:122" ht="23.25" customHeight="1" x14ac:dyDescent="0.2">
      <c r="O88" s="11" t="e">
        <f>IF(O91&gt;0.01,O91,IF(O91&lt;=0.01,"0,00"))</f>
        <v>#REF!</v>
      </c>
      <c r="P88" s="11" t="e">
        <f>IF(P91&gt;0.001,P91,IF(P91&lt;=13,"0,0"))</f>
        <v>#VALUE!</v>
      </c>
      <c r="Q88" s="11" t="e">
        <f>IF(Q91&gt;0.01,Q91,IF(Q91&lt;=0.01,"0,00"))</f>
        <v>#REF!</v>
      </c>
      <c r="T88" s="18"/>
      <c r="U88" s="18"/>
      <c r="V88" s="11" t="s">
        <v>177</v>
      </c>
      <c r="X88" s="18">
        <v>3.4</v>
      </c>
      <c r="Y88" s="18"/>
      <c r="Z88" s="18"/>
      <c r="AA88" s="18"/>
      <c r="AB88" s="18"/>
      <c r="AC88" s="18"/>
      <c r="AD88" s="18"/>
      <c r="AE88" s="18"/>
      <c r="AF88" s="18"/>
      <c r="AG88" s="18"/>
      <c r="AH88" s="37"/>
      <c r="AI88" s="37"/>
      <c r="AJ88" s="37"/>
      <c r="AK88" s="37"/>
      <c r="AL88" s="37"/>
      <c r="AM88" s="37"/>
      <c r="AN88" s="37"/>
      <c r="AO88" s="37"/>
      <c r="AP88" s="37"/>
      <c r="AQ88" s="38"/>
      <c r="AR88" s="38"/>
      <c r="AS88" s="38"/>
      <c r="AT88" s="38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</row>
    <row r="89" spans="13:122" ht="23.25" customHeight="1" x14ac:dyDescent="0.2">
      <c r="O89" s="11" t="e">
        <f>IF(O92&gt;0.01,O92,IF(O92&lt;=0.01,"0,00"))</f>
        <v>#REF!</v>
      </c>
      <c r="P89" s="77" t="e">
        <f>IF(P92&gt;0.1,P92,IF(P92&lt;=0.1,"0,00"))</f>
        <v>#VALUE!</v>
      </c>
      <c r="Q89" s="11" t="e">
        <f>IF(Q92&gt;0.01,Q92,IF(Q92&lt;=0.01,"0,00"))</f>
        <v>#REF!</v>
      </c>
      <c r="T89" s="18"/>
      <c r="U89" s="18"/>
      <c r="V89" s="11" t="s">
        <v>178</v>
      </c>
      <c r="X89" s="18">
        <v>5.4</v>
      </c>
      <c r="Y89" s="18"/>
      <c r="Z89" s="18"/>
      <c r="AA89" s="18"/>
      <c r="AB89" s="18"/>
      <c r="AC89" s="18"/>
      <c r="AD89" s="18"/>
      <c r="AE89" s="18"/>
      <c r="AF89" s="18"/>
      <c r="AG89" s="18"/>
      <c r="AH89" s="37"/>
      <c r="AI89" s="37"/>
      <c r="AJ89" s="37"/>
      <c r="AK89" s="37"/>
      <c r="AL89" s="37"/>
      <c r="AM89" s="37"/>
      <c r="AN89" s="37"/>
      <c r="AO89" s="37"/>
      <c r="AP89" s="37"/>
      <c r="AQ89" s="38"/>
      <c r="AR89" s="38"/>
      <c r="AS89" s="38"/>
      <c r="AT89" s="38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</row>
    <row r="90" spans="13:122" ht="25.5" customHeight="1" x14ac:dyDescent="0.2">
      <c r="N90" s="20"/>
      <c r="T90" s="18"/>
      <c r="U90" s="18"/>
      <c r="V90" s="11" t="s">
        <v>32</v>
      </c>
      <c r="X90" s="18">
        <v>1.1000000000000001</v>
      </c>
      <c r="Y90" s="18"/>
      <c r="Z90" s="18"/>
      <c r="AA90" s="18"/>
      <c r="AB90" s="18"/>
      <c r="AC90" s="18"/>
      <c r="AD90" s="18"/>
      <c r="AE90" s="18"/>
      <c r="AF90" s="18"/>
      <c r="AG90" s="18"/>
      <c r="AH90" s="37"/>
      <c r="AI90" s="37"/>
      <c r="AJ90" s="37"/>
      <c r="AK90" s="37"/>
      <c r="AL90" s="37"/>
      <c r="AM90" s="37"/>
      <c r="AN90" s="37"/>
      <c r="AO90" s="37"/>
      <c r="AP90" s="37"/>
      <c r="AQ90" s="38"/>
      <c r="AR90" s="38"/>
      <c r="AS90" s="38"/>
      <c r="AT90" s="38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</row>
    <row r="91" spans="13:122" ht="23.25" customHeight="1" x14ac:dyDescent="0.2">
      <c r="O91" s="297" t="e">
        <f>#REF!/'Memória de cálculo'!I107</f>
        <v>#REF!</v>
      </c>
      <c r="P91" s="297" t="e">
        <f>'Memória de cálculo'!F96/'Memória de cálculo'!G109</f>
        <v>#VALUE!</v>
      </c>
      <c r="Q91" s="297" t="e">
        <f>#REF!/'Memória de cálculo'!I107</f>
        <v>#REF!</v>
      </c>
      <c r="S91" s="43" t="e">
        <f>'Memória de cálculo'!F96+O206</f>
        <v>#VALUE!</v>
      </c>
      <c r="T91" s="301" t="e">
        <f>'Memória de cálculo'!G109+E229</f>
        <v>#VALUE!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37"/>
      <c r="AI91" s="37"/>
      <c r="AJ91" s="37"/>
      <c r="AK91" s="37"/>
      <c r="AL91" s="37"/>
      <c r="AM91" s="37"/>
      <c r="AN91" s="37"/>
      <c r="AO91" s="37"/>
      <c r="AP91" s="37"/>
      <c r="AQ91" s="38"/>
      <c r="AR91" s="38"/>
      <c r="AS91" s="38"/>
      <c r="AT91" s="38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</row>
    <row r="92" spans="13:122" ht="23.25" customHeight="1" x14ac:dyDescent="0.2">
      <c r="O92" s="297" t="e">
        <f>O91*2.42</f>
        <v>#REF!</v>
      </c>
      <c r="P92" s="297" t="e">
        <f>P91*2.42</f>
        <v>#VALUE!</v>
      </c>
      <c r="Q92" s="297" t="e">
        <f>Q91*2.42</f>
        <v>#REF!</v>
      </c>
      <c r="S92" s="29" t="e">
        <f>S91/T91</f>
        <v>#VALUE!</v>
      </c>
      <c r="T92" s="301">
        <f>E229</f>
        <v>0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37"/>
      <c r="AI92" s="37"/>
      <c r="AJ92" s="37"/>
      <c r="AK92" s="37"/>
      <c r="AL92" s="37"/>
      <c r="AM92" s="37"/>
      <c r="AN92" s="37"/>
      <c r="AO92" s="37"/>
      <c r="AP92" s="37"/>
      <c r="AQ92" s="38"/>
      <c r="AR92" s="38"/>
      <c r="AS92" s="38"/>
      <c r="AT92" s="38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</row>
    <row r="93" spans="13:122" ht="23.25" customHeight="1" x14ac:dyDescent="0.2"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37"/>
      <c r="AI93" s="37"/>
      <c r="AJ93" s="37"/>
      <c r="AK93" s="37"/>
      <c r="AL93" s="37"/>
      <c r="AM93" s="37"/>
      <c r="AN93" s="37"/>
      <c r="AO93" s="37"/>
      <c r="AP93" s="37"/>
      <c r="AQ93" s="38"/>
      <c r="AR93" s="38"/>
      <c r="AS93" s="38"/>
      <c r="AT93" s="38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</row>
    <row r="94" spans="13:122" ht="23.25" customHeight="1" x14ac:dyDescent="0.2">
      <c r="P94" s="29" t="e">
        <f>S91/T92</f>
        <v>#VALUE!</v>
      </c>
      <c r="Q94" s="11" t="e">
        <f>'Memória de cálculo'!F96/'Memória de cálculo'!G109</f>
        <v>#VALUE!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37"/>
      <c r="AI94" s="37"/>
      <c r="AJ94" s="37"/>
      <c r="AK94" s="37"/>
      <c r="AL94" s="37"/>
      <c r="AM94" s="37"/>
      <c r="AN94" s="37"/>
      <c r="AO94" s="37"/>
      <c r="AP94" s="37"/>
      <c r="AQ94" s="38"/>
      <c r="AR94" s="38"/>
      <c r="AS94" s="38"/>
      <c r="AT94" s="38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</row>
    <row r="95" spans="13:122" ht="25.5" customHeight="1" x14ac:dyDescent="0.2">
      <c r="M95" s="20"/>
      <c r="N95" s="2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37"/>
      <c r="AI95" s="37"/>
      <c r="AJ95" s="37"/>
      <c r="AK95" s="37"/>
      <c r="AL95" s="37"/>
      <c r="AM95" s="37"/>
      <c r="AN95" s="37"/>
      <c r="AO95" s="37"/>
      <c r="AP95" s="37"/>
      <c r="AQ95" s="38"/>
      <c r="AR95" s="38"/>
      <c r="AS95" s="38"/>
      <c r="AT95" s="38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</row>
    <row r="96" spans="13:122" ht="25.5" customHeight="1" x14ac:dyDescent="0.2">
      <c r="M96" s="20"/>
      <c r="N96" s="2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37"/>
      <c r="AI96" s="37"/>
      <c r="AJ96" s="37"/>
      <c r="AK96" s="37"/>
      <c r="AL96" s="37"/>
      <c r="AM96" s="37"/>
      <c r="AN96" s="37"/>
      <c r="AO96" s="37"/>
      <c r="AP96" s="37"/>
      <c r="AQ96" s="38"/>
      <c r="AR96" s="38"/>
      <c r="AS96" s="38"/>
      <c r="AT96" s="38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</row>
    <row r="97" spans="13:122" ht="25.5" customHeight="1" x14ac:dyDescent="0.2">
      <c r="M97" s="20"/>
      <c r="N97" s="20"/>
      <c r="P97" s="11" t="e">
        <f>'Memória de cálculo'!F96*'Memória de cálculo'!J102</f>
        <v>#VALUE!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37"/>
      <c r="AI97" s="37"/>
      <c r="AJ97" s="37"/>
      <c r="AK97" s="37"/>
      <c r="AL97" s="37"/>
      <c r="AM97" s="37"/>
      <c r="AN97" s="37"/>
      <c r="AO97" s="37"/>
      <c r="AP97" s="37"/>
      <c r="AQ97" s="38"/>
      <c r="AR97" s="38"/>
      <c r="AS97" s="38"/>
      <c r="AT97" s="38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</row>
    <row r="98" spans="13:122" ht="23.25" customHeight="1" x14ac:dyDescent="0.2"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37"/>
      <c r="AI98" s="37"/>
      <c r="AJ98" s="37"/>
      <c r="AK98" s="37"/>
      <c r="AL98" s="37"/>
      <c r="AM98" s="37"/>
      <c r="AN98" s="37"/>
      <c r="AO98" s="37"/>
      <c r="AP98" s="37"/>
      <c r="AQ98" s="38"/>
      <c r="AR98" s="38"/>
      <c r="AS98" s="38"/>
      <c r="AT98" s="38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</row>
    <row r="99" spans="13:122" ht="23.25" customHeight="1" x14ac:dyDescent="0.2">
      <c r="P99" s="11" t="e">
        <f>'Memória de cálculo'!F96/'Memória de cálculo'!J102</f>
        <v>#VALUE!</v>
      </c>
      <c r="R99" s="43" t="e">
        <f>'Memória de cálculo'!I107+'Memória de cálculo'!A105</f>
        <v>#VALUE!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37"/>
      <c r="AI99" s="37"/>
      <c r="AJ99" s="37"/>
      <c r="AK99" s="37"/>
      <c r="AL99" s="37"/>
      <c r="AM99" s="37"/>
      <c r="AN99" s="37"/>
      <c r="AO99" s="37"/>
      <c r="AP99" s="37"/>
      <c r="AQ99" s="38"/>
      <c r="AR99" s="38"/>
      <c r="AS99" s="38"/>
      <c r="AT99" s="38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</row>
    <row r="100" spans="13:122" ht="25.5" customHeight="1" x14ac:dyDescent="0.2">
      <c r="O100" s="29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37"/>
      <c r="AI100" s="37"/>
      <c r="AJ100" s="37"/>
      <c r="AK100" s="37"/>
      <c r="AL100" s="37"/>
      <c r="AM100" s="37"/>
      <c r="AN100" s="37"/>
      <c r="AO100" s="37"/>
      <c r="AP100" s="37"/>
      <c r="AQ100" s="38"/>
      <c r="AR100" s="38"/>
      <c r="AS100" s="38"/>
      <c r="AT100" s="38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</row>
    <row r="101" spans="13:122" ht="23.25" customHeight="1" x14ac:dyDescent="0.2"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37"/>
      <c r="AI101" s="37"/>
      <c r="AJ101" s="37"/>
      <c r="AK101" s="37"/>
      <c r="AL101" s="37"/>
      <c r="AM101" s="37"/>
      <c r="AN101" s="37"/>
      <c r="AO101" s="37"/>
      <c r="AP101" s="37"/>
      <c r="AQ101" s="38"/>
      <c r="AR101" s="38"/>
      <c r="AS101" s="38"/>
      <c r="AT101" s="38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</row>
    <row r="102" spans="13:122" ht="25.5" customHeight="1" x14ac:dyDescent="0.2">
      <c r="O102" s="298" t="str">
        <f>IF(D52=1,"30,4",IF(D52=2,"56",IF(D52=3,"54",IF(D52=4,"29",IF(D52=5,"75,7",IF(D52=6,"35",""))))))</f>
        <v/>
      </c>
      <c r="P102" s="11">
        <f>IF(O109&gt;0.01,O109,IF(O109&lt;=0.01,"0,00"))</f>
        <v>0.3035000000000001</v>
      </c>
      <c r="Q102" s="11" t="str">
        <f>IF(O206&gt;0.1,O206,IF(O206&lt;=0,"0,00"))</f>
        <v>0,00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8"/>
      <c r="AR102" s="38"/>
      <c r="AS102" s="38"/>
      <c r="AT102" s="38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</row>
    <row r="103" spans="13:122" ht="25.5" customHeight="1" x14ac:dyDescent="0.2">
      <c r="O103" s="298" t="str">
        <f>IF(D52=1,"18",IF(D52=6,"10","0"))</f>
        <v>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37"/>
      <c r="AI103" s="37"/>
      <c r="AJ103" s="37"/>
      <c r="AK103" s="37"/>
      <c r="AL103" s="37"/>
      <c r="AM103" s="37"/>
      <c r="AN103" s="37"/>
      <c r="AO103" s="37"/>
      <c r="AP103" s="37"/>
      <c r="AQ103" s="38"/>
      <c r="AR103" s="38"/>
      <c r="AS103" s="38"/>
      <c r="AT103" s="38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</row>
    <row r="104" spans="13:122" ht="25.5" customHeight="1" x14ac:dyDescent="0.2">
      <c r="O104" s="298" t="str">
        <f>IF(D52=1,"Teor de MgO do corretivo em %","")</f>
        <v/>
      </c>
      <c r="P104" s="297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37"/>
      <c r="AI104" s="37"/>
      <c r="AJ104" s="37"/>
      <c r="AK104" s="37"/>
      <c r="AL104" s="37"/>
      <c r="AM104" s="37"/>
      <c r="AN104" s="37"/>
      <c r="AO104" s="37"/>
      <c r="AP104" s="37"/>
      <c r="AQ104" s="38"/>
      <c r="AR104" s="38"/>
      <c r="AS104" s="38"/>
      <c r="AT104" s="38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</row>
    <row r="105" spans="13:122" ht="23.25" customHeight="1" x14ac:dyDescent="0.2">
      <c r="P105" s="297"/>
      <c r="Q105" s="297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37"/>
      <c r="AI105" s="37"/>
      <c r="AJ105" s="37"/>
      <c r="AK105" s="37"/>
      <c r="AL105" s="37"/>
      <c r="AM105" s="37"/>
      <c r="AN105" s="37"/>
      <c r="AO105" s="37"/>
      <c r="AP105" s="37"/>
      <c r="AQ105" s="38"/>
      <c r="AR105" s="38"/>
      <c r="AS105" s="38"/>
      <c r="AT105" s="38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</row>
    <row r="106" spans="13:122" ht="23.25" customHeight="1" x14ac:dyDescent="0.2">
      <c r="S106" s="29" t="e">
        <f>O113+P91</f>
        <v>#VALUE!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37"/>
      <c r="AI106" s="37"/>
      <c r="AJ106" s="37"/>
      <c r="AK106" s="37"/>
      <c r="AL106" s="37"/>
      <c r="AM106" s="37"/>
      <c r="AN106" s="37"/>
      <c r="AO106" s="37"/>
      <c r="AP106" s="37"/>
      <c r="AQ106" s="38"/>
      <c r="AR106" s="38"/>
      <c r="AS106" s="38"/>
      <c r="AT106" s="38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</row>
    <row r="107" spans="13:122" ht="25.5" customHeight="1" x14ac:dyDescent="0.2">
      <c r="O107" s="291" t="str">
        <f>IF(D52=1,"Calcário Dolomítico",IF(D52=2,"Calcário Calcítico",IF(D52=3,"Calcário de Concha",IF(D52=4,"Gesso Agrícola",IF(D52=5,"Hidróxido de Cálcio",IF(D52=6,"Calcário Magnesiano",""))))))</f>
        <v/>
      </c>
      <c r="R107" s="299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8"/>
      <c r="AS107" s="38"/>
      <c r="AT107" s="38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</row>
    <row r="108" spans="13:122" ht="23.25" customHeight="1" x14ac:dyDescent="0.2"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37"/>
      <c r="AI108" s="37"/>
      <c r="AJ108" s="37"/>
      <c r="AK108" s="37"/>
      <c r="AL108" s="37"/>
      <c r="AM108" s="37"/>
      <c r="AN108" s="37"/>
      <c r="AO108" s="37"/>
      <c r="AP108" s="37"/>
      <c r="AQ108" s="38"/>
      <c r="AR108" s="38"/>
      <c r="AS108" s="38"/>
      <c r="AT108" s="38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</row>
    <row r="109" spans="13:122" ht="23.25" customHeight="1" x14ac:dyDescent="0.2">
      <c r="O109" s="11">
        <f>H11*15/K48-H11</f>
        <v>0.3035000000000001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37"/>
      <c r="AI109" s="37"/>
      <c r="AJ109" s="37"/>
      <c r="AK109" s="37"/>
      <c r="AL109" s="37"/>
      <c r="AM109" s="37"/>
      <c r="AN109" s="37"/>
      <c r="AO109" s="37"/>
      <c r="AP109" s="37"/>
      <c r="AQ109" s="38"/>
      <c r="AR109" s="38"/>
      <c r="AS109" s="38"/>
      <c r="AT109" s="38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</row>
    <row r="110" spans="13:122" ht="23.25" customHeight="1" x14ac:dyDescent="0.2">
      <c r="O110" s="297" t="str">
        <f>IF(D37=1,(C42*'Memória de cálculo'!E73/1000),IF(D37=2,(G42*'Memória de cálculo'!E73/1000),IF(D37=3,(K42*'Memória de cálculo'!E73/1000),IF(D37=4,(M44*'Memória de cálculo'!E73/1000),""))))</f>
        <v/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37"/>
      <c r="AI110" s="37"/>
      <c r="AJ110" s="37"/>
      <c r="AK110" s="37"/>
      <c r="AL110" s="37"/>
      <c r="AM110" s="37"/>
      <c r="AN110" s="37"/>
      <c r="AO110" s="37"/>
      <c r="AP110" s="37"/>
      <c r="AQ110" s="38"/>
      <c r="AR110" s="38"/>
      <c r="AS110" s="38"/>
      <c r="AT110" s="38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</row>
    <row r="111" spans="13:122" ht="23.25" customHeight="1" x14ac:dyDescent="0.2">
      <c r="P111" s="29" t="e">
        <f>O109/H227</f>
        <v>#DIV/0!</v>
      </c>
      <c r="Q111" s="11" t="e">
        <f>IF(P111&gt;0.01,P111,IF(P111&lt;=0.01,"0,00"))</f>
        <v>#DIV/0!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37"/>
      <c r="AI111" s="37"/>
      <c r="AJ111" s="37"/>
      <c r="AK111" s="37"/>
      <c r="AL111" s="37"/>
      <c r="AM111" s="37"/>
      <c r="AN111" s="37"/>
      <c r="AO111" s="37"/>
      <c r="AP111" s="37"/>
      <c r="AQ111" s="38"/>
      <c r="AR111" s="38"/>
      <c r="AS111" s="38"/>
      <c r="AT111" s="38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</row>
    <row r="112" spans="13:122" ht="23.25" customHeight="1" x14ac:dyDescent="0.2">
      <c r="P112" s="29" t="e">
        <f>P111*2.42</f>
        <v>#DIV/0!</v>
      </c>
      <c r="Q112" s="11" t="e">
        <f>IF(P112&gt;0.01,P112,IF(P112&lt;=0.01,"0,00"))</f>
        <v>#DIV/0!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37"/>
      <c r="AI112" s="37"/>
      <c r="AJ112" s="37"/>
      <c r="AK112" s="37"/>
      <c r="AL112" s="37"/>
      <c r="AM112" s="37"/>
      <c r="AN112" s="37"/>
      <c r="AO112" s="37"/>
      <c r="AP112" s="37"/>
      <c r="AQ112" s="38"/>
      <c r="AR112" s="38"/>
      <c r="AS112" s="38"/>
      <c r="AT112" s="38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</row>
    <row r="113" spans="13:122" ht="30.2" customHeight="1" x14ac:dyDescent="0.3">
      <c r="M113" s="292"/>
      <c r="N113" s="292"/>
      <c r="O113" s="29" t="e">
        <f>O206/O223</f>
        <v>#VALUE!</v>
      </c>
      <c r="P113" s="11" t="e">
        <f>IF(O113&gt;0.01,O113,IF(O113&lt;=0.01,"00"))</f>
        <v>#VALUE!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37"/>
      <c r="AI113" s="37"/>
      <c r="AJ113" s="37"/>
      <c r="AK113" s="37"/>
      <c r="AL113" s="37"/>
      <c r="AM113" s="37"/>
      <c r="AN113" s="37"/>
      <c r="AO113" s="37"/>
      <c r="AP113" s="37"/>
      <c r="AQ113" s="38"/>
      <c r="AR113" s="38"/>
      <c r="AS113" s="38"/>
      <c r="AT113" s="38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</row>
    <row r="114" spans="13:122" ht="23.25" customHeight="1" x14ac:dyDescent="0.2">
      <c r="O114" s="29" t="e">
        <f>O113*2.42</f>
        <v>#VALUE!</v>
      </c>
      <c r="P114" s="11" t="e">
        <f>IF(O114&gt;0.01,O114,IF(O114&lt;=0.01,"0,00"))</f>
        <v>#VALUE!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37"/>
      <c r="AI114" s="37"/>
      <c r="AJ114" s="37"/>
      <c r="AK114" s="37"/>
      <c r="AL114" s="37"/>
      <c r="AM114" s="37"/>
      <c r="AN114" s="37"/>
      <c r="AO114" s="37"/>
      <c r="AP114" s="37"/>
      <c r="AQ114" s="38"/>
      <c r="AR114" s="38"/>
      <c r="AS114" s="38"/>
      <c r="AT114" s="38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</row>
    <row r="115" spans="13:122" ht="23.25" customHeight="1" x14ac:dyDescent="0.2"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37"/>
      <c r="AI115" s="37"/>
      <c r="AJ115" s="37"/>
      <c r="AK115" s="37"/>
      <c r="AL115" s="37"/>
      <c r="AM115" s="37"/>
      <c r="AN115" s="37"/>
      <c r="AO115" s="37"/>
      <c r="AP115" s="37"/>
      <c r="AQ115" s="38"/>
      <c r="AR115" s="38"/>
      <c r="AS115" s="38"/>
      <c r="AT115" s="38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</row>
    <row r="116" spans="13:122" ht="23.25" customHeight="1" x14ac:dyDescent="0.2">
      <c r="O116" s="302" t="e">
        <f>IF(P88&gt;0.01,P88,"0,0")</f>
        <v>#VALUE!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37"/>
      <c r="AI116" s="37"/>
      <c r="AJ116" s="37"/>
      <c r="AK116" s="37"/>
      <c r="AL116" s="37"/>
      <c r="AM116" s="37"/>
      <c r="AN116" s="37"/>
      <c r="AO116" s="37"/>
      <c r="AP116" s="37"/>
      <c r="AQ116" s="38"/>
      <c r="AR116" s="38"/>
      <c r="AS116" s="38"/>
      <c r="AT116" s="38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</row>
    <row r="117" spans="13:122" ht="25.5" customHeight="1" x14ac:dyDescent="0.2">
      <c r="O117" s="302" t="e">
        <f>IF(P88&gt;0.0001,P88,"0,0")</f>
        <v>#VALUE!</v>
      </c>
      <c r="Q117" s="298" t="str">
        <f>IF(D23=1,"28",IF(D23=2,"19",IF(D23=3,"0,0",IF(D23=4,"0,0",IF(D23=5,"28",IF(D23=6,"52",IF(D23&gt;=7,Q118,"")))))))</f>
        <v/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37"/>
      <c r="AI117" s="37"/>
      <c r="AJ117" s="37"/>
      <c r="AK117" s="37"/>
      <c r="AL117" s="37"/>
      <c r="AM117" s="37"/>
      <c r="AN117" s="37"/>
      <c r="AO117" s="37"/>
      <c r="AP117" s="37"/>
      <c r="AQ117" s="38"/>
      <c r="AR117" s="38"/>
      <c r="AS117" s="38"/>
      <c r="AT117" s="38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</row>
    <row r="118" spans="13:122" ht="25.5" customHeight="1" x14ac:dyDescent="0.2">
      <c r="M118" s="20"/>
      <c r="N118" s="20"/>
      <c r="O118" s="29" t="e">
        <f>IF(P89&gt;0.01,P89,"0,0")</f>
        <v>#VALUE!</v>
      </c>
      <c r="Q118" s="298" t="str">
        <f>IF(D23=7,"52",IF(D23=8,"45",IF(D23=9,"28",IF(D23=10,"44,6",IF(D23=11,"0,0",IF(D23=12,"0,0",""))))))</f>
        <v/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8"/>
      <c r="AS118" s="38"/>
      <c r="AT118" s="38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</row>
    <row r="119" spans="13:122" ht="23.25" customHeight="1" x14ac:dyDescent="0.2">
      <c r="O119" s="77" t="e">
        <f>Q117*'Memória de cálculo'!A105</f>
        <v>#VALUE!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8"/>
      <c r="AR119" s="38"/>
      <c r="AS119" s="38"/>
      <c r="AT119" s="38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</row>
    <row r="120" spans="13:122" ht="23.25" customHeight="1" x14ac:dyDescent="0.2">
      <c r="P120" s="11" t="str">
        <f>IF(D52=1,"Com essa correção de CÁLCIO, forneceremos também MAGNÉSIO, na quantidade de:","")</f>
        <v/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37"/>
      <c r="AI120" s="37"/>
      <c r="AJ120" s="37"/>
      <c r="AK120" s="37"/>
      <c r="AL120" s="37"/>
      <c r="AM120" s="37"/>
      <c r="AN120" s="37"/>
      <c r="AO120" s="37"/>
      <c r="AP120" s="37"/>
      <c r="AQ120" s="38"/>
      <c r="AR120" s="38"/>
      <c r="AS120" s="38"/>
      <c r="AT120" s="38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</row>
    <row r="121" spans="13:122" ht="23.25" customHeight="1" x14ac:dyDescent="0.2">
      <c r="P121" s="11" t="str">
        <f>IF(D52=1,'Memória de cálculo'!K107,"")</f>
        <v/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37"/>
      <c r="AI121" s="37"/>
      <c r="AJ121" s="37"/>
      <c r="AK121" s="37"/>
      <c r="AL121" s="37"/>
      <c r="AM121" s="37"/>
      <c r="AN121" s="37"/>
      <c r="AO121" s="37"/>
      <c r="AP121" s="37"/>
      <c r="AQ121" s="38"/>
      <c r="AR121" s="38"/>
      <c r="AS121" s="38"/>
      <c r="AT121" s="38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</row>
    <row r="122" spans="13:122" ht="23.25" customHeight="1" x14ac:dyDescent="0.2">
      <c r="P122" s="11" t="str">
        <f>IF(D52=1,"Verificar se há necessidade de correção de Magnésio. Se não houver, substituir a fonte de Cálcio","")</f>
        <v/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37"/>
      <c r="AI122" s="37"/>
      <c r="AJ122" s="37"/>
      <c r="AK122" s="37"/>
      <c r="AL122" s="37"/>
      <c r="AM122" s="37"/>
      <c r="AN122" s="37"/>
      <c r="AO122" s="37"/>
      <c r="AP122" s="37"/>
      <c r="AQ122" s="38"/>
      <c r="AR122" s="38"/>
      <c r="AS122" s="38"/>
      <c r="AT122" s="38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</row>
    <row r="123" spans="13:122" ht="23.25" customHeight="1" x14ac:dyDescent="0.2">
      <c r="Q123" s="297" t="b">
        <f>IF(D52=1,(K55*'Memória de cálculo'!A116/1000),IF(D52=2,(D219*H330/1000),IF(AC48=3,(D220*H330/1000),IF(AC48=4,(#REF!*H330/1000)))))</f>
        <v>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37"/>
      <c r="AI123" s="37"/>
      <c r="AJ123" s="37"/>
      <c r="AK123" s="37"/>
      <c r="AL123" s="37"/>
      <c r="AM123" s="37"/>
      <c r="AN123" s="37"/>
      <c r="AO123" s="37"/>
      <c r="AP123" s="37"/>
      <c r="AQ123" s="38"/>
      <c r="AR123" s="38"/>
      <c r="AS123" s="38"/>
      <c r="AT123" s="38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</row>
    <row r="124" spans="13:122" ht="23.25" customHeight="1" x14ac:dyDescent="0.2"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37"/>
      <c r="AI124" s="37"/>
      <c r="AJ124" s="37"/>
      <c r="AK124" s="37"/>
      <c r="AL124" s="37"/>
      <c r="AM124" s="37"/>
      <c r="AN124" s="37"/>
      <c r="AO124" s="37"/>
      <c r="AP124" s="37"/>
      <c r="AQ124" s="38"/>
      <c r="AR124" s="38"/>
      <c r="AS124" s="38"/>
      <c r="AT124" s="38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</row>
    <row r="125" spans="13:122" ht="23.25" customHeight="1" x14ac:dyDescent="0.2">
      <c r="O125" s="165" t="e">
        <f>IF(O206&lt;0.01,P114,"")</f>
        <v>#VALUE!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37"/>
      <c r="AI125" s="37"/>
      <c r="AJ125" s="37"/>
      <c r="AK125" s="37"/>
      <c r="AL125" s="37"/>
      <c r="AM125" s="37"/>
      <c r="AN125" s="37"/>
      <c r="AO125" s="37"/>
      <c r="AP125" s="37"/>
      <c r="AQ125" s="38"/>
      <c r="AR125" s="38"/>
      <c r="AS125" s="38"/>
      <c r="AT125" s="38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</row>
    <row r="126" spans="13:122" ht="23.25" customHeight="1" x14ac:dyDescent="0.2"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37"/>
      <c r="AI126" s="37"/>
      <c r="AJ126" s="37"/>
      <c r="AK126" s="37"/>
      <c r="AL126" s="37"/>
      <c r="AM126" s="37"/>
      <c r="AN126" s="37"/>
      <c r="AO126" s="37"/>
      <c r="AP126" s="37"/>
      <c r="AQ126" s="38"/>
      <c r="AR126" s="38"/>
      <c r="AS126" s="38"/>
      <c r="AT126" s="38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</row>
    <row r="127" spans="13:122" ht="25.5" customHeight="1" x14ac:dyDescent="0.2">
      <c r="O127" s="29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37"/>
      <c r="AI127" s="37"/>
      <c r="AJ127" s="37"/>
      <c r="AK127" s="37"/>
      <c r="AL127" s="37"/>
      <c r="AM127" s="37"/>
      <c r="AN127" s="37"/>
      <c r="AO127" s="37"/>
      <c r="AP127" s="37"/>
      <c r="AQ127" s="38"/>
      <c r="AR127" s="38"/>
      <c r="AS127" s="38"/>
      <c r="AT127" s="38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</row>
    <row r="128" spans="13:122" ht="23.25" customHeight="1" x14ac:dyDescent="0.2">
      <c r="Q128" s="11" t="str">
        <f>IF(D52=4,"Com essa correção de CÁLCIO, forneceremos também ENXOFRE, na quantidade de:","")</f>
        <v/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7"/>
      <c r="AI128" s="37"/>
      <c r="AJ128" s="37"/>
      <c r="AK128" s="37"/>
      <c r="AL128" s="37"/>
      <c r="AM128" s="37"/>
      <c r="AN128" s="37"/>
      <c r="AO128" s="37"/>
      <c r="AP128" s="37"/>
      <c r="AQ128" s="38"/>
      <c r="AR128" s="38"/>
      <c r="AS128" s="38"/>
      <c r="AT128" s="38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</row>
    <row r="129" spans="15:122" ht="23.25" customHeight="1" x14ac:dyDescent="0.2">
      <c r="P129" s="303" t="e">
        <f>M22/2.42</f>
        <v>#VALUE!</v>
      </c>
      <c r="Q129" s="11" t="str">
        <f>IF(D52=4,'Memória de cálculo'!A116*150,"")</f>
        <v/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37"/>
      <c r="AI129" s="37"/>
      <c r="AJ129" s="37"/>
      <c r="AK129" s="37"/>
      <c r="AL129" s="37"/>
      <c r="AM129" s="37"/>
      <c r="AN129" s="37"/>
      <c r="AO129" s="37"/>
      <c r="AP129" s="37"/>
      <c r="AQ129" s="38"/>
      <c r="AR129" s="38"/>
      <c r="AS129" s="38"/>
      <c r="AT129" s="38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</row>
    <row r="130" spans="15:122" ht="25.5" customHeight="1" x14ac:dyDescent="0.2">
      <c r="O130" s="298" t="str">
        <f>IF(D52=1,"56,0",IF(D52=2,"30,4",IF(D52=4,"54,0",IF(D52=5,"29,0",IF(D52=6,"75,7","")))))</f>
        <v/>
      </c>
      <c r="Q130" s="11" t="str">
        <f>IF(D52=4,"kg/Alqueire","")</f>
        <v/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37"/>
      <c r="AI130" s="37"/>
      <c r="AJ130" s="37"/>
      <c r="AK130" s="37"/>
      <c r="AL130" s="37"/>
      <c r="AM130" s="37"/>
      <c r="AN130" s="37"/>
      <c r="AO130" s="37"/>
      <c r="AP130" s="37"/>
      <c r="AQ130" s="38"/>
      <c r="AR130" s="38"/>
      <c r="AS130" s="38"/>
      <c r="AT130" s="38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</row>
    <row r="131" spans="15:122" ht="23.25" customHeight="1" x14ac:dyDescent="0.2"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37"/>
      <c r="AI131" s="37"/>
      <c r="AJ131" s="37"/>
      <c r="AK131" s="37"/>
      <c r="AL131" s="37"/>
      <c r="AM131" s="37"/>
      <c r="AN131" s="37"/>
      <c r="AO131" s="37"/>
      <c r="AP131" s="37"/>
      <c r="AQ131" s="38"/>
      <c r="AR131" s="38"/>
      <c r="AS131" s="38"/>
      <c r="AT131" s="38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</row>
    <row r="132" spans="15:122" ht="23.25" customHeight="1" x14ac:dyDescent="0.2"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37"/>
      <c r="AI132" s="37"/>
      <c r="AJ132" s="37"/>
      <c r="AK132" s="37"/>
      <c r="AL132" s="37"/>
      <c r="AM132" s="37"/>
      <c r="AN132" s="37"/>
      <c r="AO132" s="37"/>
      <c r="AP132" s="37"/>
      <c r="AQ132" s="38"/>
      <c r="AR132" s="38"/>
      <c r="AS132" s="38"/>
      <c r="AT132" s="38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</row>
    <row r="133" spans="15:122" ht="23.25" customHeight="1" x14ac:dyDescent="0.2"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37"/>
      <c r="AI133" s="37"/>
      <c r="AJ133" s="37"/>
      <c r="AK133" s="37"/>
      <c r="AL133" s="37"/>
      <c r="AM133" s="37"/>
      <c r="AN133" s="37"/>
      <c r="AO133" s="37"/>
      <c r="AP133" s="37"/>
      <c r="AQ133" s="38"/>
      <c r="AR133" s="38"/>
      <c r="AS133" s="38"/>
      <c r="AT133" s="38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</row>
    <row r="134" spans="15:122" ht="23.25" customHeight="1" x14ac:dyDescent="0.2"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37"/>
      <c r="AI134" s="37"/>
      <c r="AJ134" s="37"/>
      <c r="AK134" s="37"/>
      <c r="AL134" s="37"/>
      <c r="AM134" s="37"/>
      <c r="AN134" s="37"/>
      <c r="AO134" s="37"/>
      <c r="AP134" s="37"/>
      <c r="AQ134" s="38"/>
      <c r="AR134" s="38"/>
      <c r="AS134" s="38"/>
      <c r="AT134" s="38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</row>
    <row r="135" spans="15:122" ht="23.25" customHeight="1" x14ac:dyDescent="0.2">
      <c r="O135" s="11" t="e">
        <f>IF(P114&gt;0.01,P114,"0")</f>
        <v>#VALUE!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37"/>
      <c r="AI135" s="37"/>
      <c r="AJ135" s="37"/>
      <c r="AK135" s="37"/>
      <c r="AL135" s="37"/>
      <c r="AM135" s="37"/>
      <c r="AN135" s="37"/>
      <c r="AO135" s="37"/>
      <c r="AP135" s="37"/>
      <c r="AQ135" s="38"/>
      <c r="AR135" s="38"/>
      <c r="AS135" s="38"/>
      <c r="AT135" s="38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</row>
    <row r="136" spans="15:122" ht="23.25" customHeight="1" x14ac:dyDescent="0.2"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8"/>
      <c r="AR136" s="38"/>
      <c r="AS136" s="38"/>
      <c r="AT136" s="38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</row>
    <row r="137" spans="15:122" ht="23.25" customHeight="1" x14ac:dyDescent="0.2">
      <c r="O137" s="297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37"/>
      <c r="AI137" s="37"/>
      <c r="AJ137" s="37"/>
      <c r="AK137" s="37"/>
      <c r="AL137" s="37"/>
      <c r="AM137" s="37"/>
      <c r="AN137" s="37"/>
      <c r="AO137" s="37"/>
      <c r="AP137" s="37"/>
      <c r="AQ137" s="38"/>
      <c r="AR137" s="38"/>
      <c r="AS137" s="38"/>
      <c r="AT137" s="38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</row>
    <row r="138" spans="15:122" ht="23.25" customHeight="1" x14ac:dyDescent="0.2"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37"/>
      <c r="AI138" s="37"/>
      <c r="AJ138" s="37"/>
      <c r="AK138" s="37"/>
      <c r="AL138" s="37"/>
      <c r="AM138" s="37"/>
      <c r="AN138" s="37"/>
      <c r="AO138" s="37"/>
      <c r="AP138" s="37"/>
      <c r="AQ138" s="38"/>
      <c r="AR138" s="38"/>
      <c r="AS138" s="38"/>
      <c r="AT138" s="38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</row>
    <row r="139" spans="15:122" ht="23.25" customHeight="1" x14ac:dyDescent="0.2">
      <c r="O139" s="11" t="e">
        <f>Q111</f>
        <v>#DIV/0!</v>
      </c>
      <c r="P139" s="11" t="s">
        <v>179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37"/>
      <c r="AI139" s="37"/>
      <c r="AJ139" s="37"/>
      <c r="AK139" s="37"/>
      <c r="AL139" s="37"/>
      <c r="AM139" s="37"/>
      <c r="AN139" s="37"/>
      <c r="AO139" s="37"/>
      <c r="AP139" s="37"/>
      <c r="AQ139" s="38"/>
      <c r="AR139" s="38"/>
      <c r="AS139" s="38"/>
      <c r="AT139" s="38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</row>
    <row r="140" spans="15:122" ht="23.25" customHeight="1" x14ac:dyDescent="0.2">
      <c r="O140" s="11" t="e">
        <f>Q112</f>
        <v>#DIV/0!</v>
      </c>
      <c r="P140" s="11" t="s">
        <v>180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8"/>
      <c r="AS140" s="38"/>
      <c r="AT140" s="38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</row>
    <row r="141" spans="15:122" ht="23.25" customHeight="1" x14ac:dyDescent="0.2"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37"/>
      <c r="AI141" s="37"/>
      <c r="AJ141" s="37"/>
      <c r="AK141" s="37"/>
      <c r="AL141" s="37"/>
      <c r="AM141" s="37"/>
      <c r="AN141" s="37"/>
      <c r="AO141" s="37"/>
      <c r="AP141" s="37"/>
      <c r="AQ141" s="38"/>
      <c r="AR141" s="38"/>
      <c r="AS141" s="38"/>
      <c r="AT141" s="38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</row>
    <row r="142" spans="15:122" ht="23.25" customHeight="1" x14ac:dyDescent="0.2">
      <c r="O142" s="99" t="b">
        <f>IF(D52=3,"")</f>
        <v>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37"/>
      <c r="AI142" s="37"/>
      <c r="AJ142" s="37"/>
      <c r="AK142" s="37"/>
      <c r="AL142" s="37"/>
      <c r="AM142" s="37"/>
      <c r="AN142" s="37"/>
      <c r="AO142" s="37"/>
      <c r="AP142" s="37"/>
      <c r="AQ142" s="38"/>
      <c r="AR142" s="38"/>
      <c r="AS142" s="38"/>
      <c r="AT142" s="38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</row>
    <row r="143" spans="15:122" ht="23.25" customHeight="1" x14ac:dyDescent="0.2"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37"/>
      <c r="AI143" s="37"/>
      <c r="AJ143" s="37"/>
      <c r="AK143" s="37"/>
      <c r="AL143" s="37"/>
      <c r="AM143" s="37"/>
      <c r="AN143" s="37"/>
      <c r="AO143" s="37"/>
      <c r="AP143" s="37"/>
      <c r="AQ143" s="38"/>
      <c r="AR143" s="38"/>
      <c r="AS143" s="38"/>
      <c r="AT143" s="38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</row>
    <row r="144" spans="15:122" ht="23.25" customHeight="1" x14ac:dyDescent="0.2"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37"/>
      <c r="AI144" s="37"/>
      <c r="AJ144" s="37"/>
      <c r="AK144" s="37"/>
      <c r="AL144" s="37"/>
      <c r="AM144" s="37"/>
      <c r="AN144" s="37"/>
      <c r="AO144" s="37"/>
      <c r="AP144" s="37"/>
      <c r="AQ144" s="38"/>
      <c r="AR144" s="38"/>
      <c r="AS144" s="38"/>
      <c r="AT144" s="38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</row>
    <row r="145" spans="13:122" ht="25.5" customHeight="1" x14ac:dyDescent="0.2">
      <c r="M145" s="20" t="str">
        <f>IF(D37=3,"Cmolc/Dm3","")</f>
        <v/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37"/>
      <c r="AI145" s="37"/>
      <c r="AJ145" s="37"/>
      <c r="AK145" s="37"/>
      <c r="AL145" s="37"/>
      <c r="AM145" s="37"/>
      <c r="AN145" s="37"/>
      <c r="AO145" s="37"/>
      <c r="AP145" s="37"/>
      <c r="AQ145" s="38"/>
      <c r="AR145" s="38"/>
      <c r="AS145" s="38"/>
      <c r="AT145" s="38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</row>
    <row r="146" spans="13:122" ht="25.5" customHeight="1" x14ac:dyDescent="0.2">
      <c r="M146" s="20" t="str">
        <f>IF(D37=3,"Com essa correção forneceremos Magnésio na quantiddade de:","")</f>
        <v/>
      </c>
      <c r="N146" s="2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37"/>
      <c r="AI146" s="37"/>
      <c r="AJ146" s="37"/>
      <c r="AK146" s="37"/>
      <c r="AL146" s="37"/>
      <c r="AM146" s="37"/>
      <c r="AN146" s="37"/>
      <c r="AO146" s="37"/>
      <c r="AP146" s="37"/>
      <c r="AQ146" s="38"/>
      <c r="AR146" s="38"/>
      <c r="AS146" s="38"/>
      <c r="AT146" s="38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</row>
    <row r="147" spans="13:122" ht="23.25" customHeight="1" x14ac:dyDescent="0.2">
      <c r="O147" s="11" t="e">
        <f>'Memória de cálculo'!K118/2.42</f>
        <v>#VALUE!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37"/>
      <c r="AI147" s="37"/>
      <c r="AJ147" s="37"/>
      <c r="AK147" s="37"/>
      <c r="AL147" s="37"/>
      <c r="AM147" s="37"/>
      <c r="AN147" s="37"/>
      <c r="AO147" s="37"/>
      <c r="AP147" s="37"/>
      <c r="AQ147" s="38"/>
      <c r="AR147" s="38"/>
      <c r="AS147" s="38"/>
      <c r="AT147" s="38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</row>
    <row r="148" spans="13:122" ht="23.25" customHeight="1" x14ac:dyDescent="0.2">
      <c r="O148" s="11" t="e">
        <f>O147*H5</f>
        <v>#VALUE!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37"/>
      <c r="AI148" s="37"/>
      <c r="AJ148" s="37"/>
      <c r="AK148" s="37"/>
      <c r="AL148" s="37"/>
      <c r="AM148" s="37"/>
      <c r="AN148" s="37"/>
      <c r="AO148" s="37"/>
      <c r="AP148" s="37"/>
      <c r="AQ148" s="38"/>
      <c r="AR148" s="38"/>
      <c r="AS148" s="38"/>
      <c r="AT148" s="38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</row>
    <row r="149" spans="13:122" ht="23.25" customHeight="1" x14ac:dyDescent="0.2">
      <c r="M149" s="11" t="e">
        <f>M151*'Memória de cálculo'!C66/1000</f>
        <v>#DIV/0!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37"/>
      <c r="AI149" s="37"/>
      <c r="AJ149" s="37"/>
      <c r="AK149" s="37"/>
      <c r="AL149" s="37"/>
      <c r="AM149" s="37"/>
      <c r="AN149" s="37"/>
      <c r="AO149" s="37"/>
      <c r="AP149" s="37"/>
      <c r="AQ149" s="38"/>
      <c r="AR149" s="38"/>
      <c r="AS149" s="38"/>
      <c r="AT149" s="38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</row>
    <row r="150" spans="13:122" ht="23.25" customHeight="1" x14ac:dyDescent="0.2">
      <c r="M150" s="11" t="str">
        <f>IF(D37=3,"18","0")</f>
        <v>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37"/>
      <c r="AI150" s="37"/>
      <c r="AJ150" s="37"/>
      <c r="AK150" s="37"/>
      <c r="AL150" s="37"/>
      <c r="AM150" s="37"/>
      <c r="AN150" s="37"/>
      <c r="AO150" s="37"/>
      <c r="AP150" s="37"/>
      <c r="AQ150" s="38"/>
      <c r="AR150" s="38"/>
      <c r="AS150" s="38"/>
      <c r="AT150" s="38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</row>
    <row r="151" spans="13:122" ht="23.25" customHeight="1" x14ac:dyDescent="0.2">
      <c r="M151" s="11">
        <f>M150*0.0248</f>
        <v>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37"/>
      <c r="AI151" s="37"/>
      <c r="AJ151" s="37"/>
      <c r="AK151" s="37"/>
      <c r="AL151" s="37"/>
      <c r="AM151" s="37"/>
      <c r="AN151" s="37"/>
      <c r="AO151" s="37"/>
      <c r="AP151" s="37"/>
      <c r="AQ151" s="38"/>
      <c r="AR151" s="38"/>
      <c r="AS151" s="38"/>
      <c r="AT151" s="38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</row>
    <row r="152" spans="13:122" ht="23.25" customHeight="1" x14ac:dyDescent="0.2"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7"/>
      <c r="AI152" s="37"/>
      <c r="AJ152" s="37"/>
      <c r="AK152" s="37"/>
      <c r="AL152" s="37"/>
      <c r="AM152" s="37"/>
      <c r="AN152" s="37"/>
      <c r="AO152" s="37"/>
      <c r="AP152" s="37"/>
      <c r="AQ152" s="38"/>
      <c r="AR152" s="38"/>
      <c r="AS152" s="38"/>
      <c r="AT152" s="38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</row>
    <row r="153" spans="13:122" ht="23.25" customHeight="1" x14ac:dyDescent="0.2"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8"/>
      <c r="AR153" s="38"/>
      <c r="AS153" s="38"/>
      <c r="AT153" s="38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</row>
    <row r="154" spans="13:122" ht="23.25" customHeight="1" x14ac:dyDescent="0.2"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37"/>
      <c r="AI154" s="37"/>
      <c r="AJ154" s="37"/>
      <c r="AK154" s="37"/>
      <c r="AL154" s="37"/>
      <c r="AM154" s="37"/>
      <c r="AN154" s="37"/>
      <c r="AO154" s="37"/>
      <c r="AP154" s="37"/>
      <c r="AQ154" s="38"/>
      <c r="AR154" s="38"/>
      <c r="AS154" s="38"/>
      <c r="AT154" s="38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</row>
    <row r="155" spans="13:122" ht="23.25" customHeight="1" x14ac:dyDescent="0.2"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37"/>
      <c r="AI155" s="37"/>
      <c r="AJ155" s="37"/>
      <c r="AK155" s="37"/>
      <c r="AL155" s="37"/>
      <c r="AM155" s="37"/>
      <c r="AN155" s="37"/>
      <c r="AO155" s="37"/>
      <c r="AP155" s="37"/>
      <c r="AQ155" s="38"/>
      <c r="AR155" s="38"/>
      <c r="AS155" s="38"/>
      <c r="AT155" s="38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</row>
    <row r="156" spans="13:122" ht="23.25" customHeight="1" x14ac:dyDescent="0.2"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37"/>
      <c r="AI156" s="37"/>
      <c r="AJ156" s="37"/>
      <c r="AK156" s="37"/>
      <c r="AL156" s="37"/>
      <c r="AM156" s="37"/>
      <c r="AN156" s="37"/>
      <c r="AO156" s="37"/>
      <c r="AP156" s="37"/>
      <c r="AQ156" s="38"/>
      <c r="AR156" s="38"/>
      <c r="AS156" s="38"/>
      <c r="AT156" s="38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</row>
    <row r="157" spans="13:122" ht="23.25" customHeight="1" x14ac:dyDescent="0.2"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37"/>
      <c r="AI157" s="37"/>
      <c r="AJ157" s="37"/>
      <c r="AK157" s="37"/>
      <c r="AL157" s="37"/>
      <c r="AM157" s="37"/>
      <c r="AN157" s="37"/>
      <c r="AO157" s="37"/>
      <c r="AP157" s="37"/>
      <c r="AQ157" s="38"/>
      <c r="AR157" s="38"/>
      <c r="AS157" s="38"/>
      <c r="AT157" s="38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</row>
    <row r="158" spans="13:122" ht="23.25" customHeight="1" x14ac:dyDescent="0.2"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37"/>
      <c r="AI158" s="37"/>
      <c r="AJ158" s="37"/>
      <c r="AK158" s="37"/>
      <c r="AL158" s="37"/>
      <c r="AM158" s="37"/>
      <c r="AN158" s="37"/>
      <c r="AO158" s="37"/>
      <c r="AP158" s="37"/>
      <c r="AQ158" s="38"/>
      <c r="AR158" s="38"/>
      <c r="AS158" s="38"/>
      <c r="AT158" s="38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</row>
    <row r="159" spans="13:122" ht="23.25" customHeight="1" x14ac:dyDescent="0.2"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37"/>
      <c r="AI159" s="37"/>
      <c r="AJ159" s="37"/>
      <c r="AK159" s="37"/>
      <c r="AL159" s="37"/>
      <c r="AM159" s="37"/>
      <c r="AN159" s="37"/>
      <c r="AO159" s="37"/>
      <c r="AP159" s="37"/>
      <c r="AQ159" s="38"/>
      <c r="AR159" s="38"/>
      <c r="AS159" s="38"/>
      <c r="AT159" s="38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</row>
    <row r="160" spans="13:122" ht="30.2" customHeight="1" x14ac:dyDescent="0.3">
      <c r="M160" s="292"/>
      <c r="N160" s="292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37"/>
      <c r="AI160" s="37"/>
      <c r="AJ160" s="37"/>
      <c r="AK160" s="37"/>
      <c r="AL160" s="37"/>
      <c r="AM160" s="37"/>
      <c r="AN160" s="37"/>
      <c r="AO160" s="37"/>
      <c r="AP160" s="37"/>
      <c r="AQ160" s="38"/>
      <c r="AR160" s="38"/>
      <c r="AS160" s="38"/>
      <c r="AT160" s="38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</row>
    <row r="161" spans="13:122" ht="23.25" customHeight="1" x14ac:dyDescent="0.2">
      <c r="M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7"/>
      <c r="AI161" s="37"/>
      <c r="AJ161" s="37"/>
      <c r="AK161" s="37"/>
      <c r="AL161" s="37"/>
      <c r="AM161" s="37"/>
      <c r="AN161" s="37"/>
      <c r="AO161" s="37"/>
      <c r="AP161" s="37"/>
      <c r="AQ161" s="38"/>
      <c r="AR161" s="38"/>
      <c r="AS161" s="38"/>
      <c r="AT161" s="38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</row>
    <row r="162" spans="13:122" ht="25.5" customHeight="1" x14ac:dyDescent="0.2">
      <c r="M162" s="35"/>
      <c r="N162" s="2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37"/>
      <c r="AI162" s="37"/>
      <c r="AJ162" s="37"/>
      <c r="AK162" s="37"/>
      <c r="AL162" s="37"/>
      <c r="AM162" s="37"/>
      <c r="AN162" s="37"/>
      <c r="AO162" s="37"/>
      <c r="AP162" s="37"/>
      <c r="AQ162" s="38"/>
      <c r="AR162" s="38"/>
      <c r="AS162" s="38"/>
      <c r="AT162" s="38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</row>
    <row r="163" spans="13:122" ht="25.5" customHeight="1" x14ac:dyDescent="0.2">
      <c r="M163" s="35"/>
      <c r="N163" s="2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37"/>
      <c r="AI163" s="37"/>
      <c r="AJ163" s="37"/>
      <c r="AK163" s="37"/>
      <c r="AL163" s="37"/>
      <c r="AM163" s="37"/>
      <c r="AN163" s="37"/>
      <c r="AO163" s="37"/>
      <c r="AP163" s="37"/>
      <c r="AQ163" s="38"/>
      <c r="AR163" s="38"/>
      <c r="AS163" s="38"/>
      <c r="AT163" s="38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</row>
    <row r="164" spans="13:122" ht="25.5" customHeight="1" x14ac:dyDescent="0.2">
      <c r="P164" s="29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37"/>
      <c r="AI164" s="37"/>
      <c r="AJ164" s="37"/>
      <c r="AK164" s="37"/>
      <c r="AL164" s="37"/>
      <c r="AM164" s="37"/>
      <c r="AN164" s="37"/>
      <c r="AO164" s="37"/>
      <c r="AP164" s="37"/>
      <c r="AQ164" s="38"/>
      <c r="AR164" s="38"/>
      <c r="AS164" s="38"/>
      <c r="AT164" s="38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</row>
    <row r="165" spans="13:122" ht="23.25" customHeight="1" x14ac:dyDescent="0.2"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37"/>
      <c r="AI165" s="37"/>
      <c r="AJ165" s="37"/>
      <c r="AK165" s="37"/>
      <c r="AL165" s="37"/>
      <c r="AM165" s="37"/>
      <c r="AN165" s="37"/>
      <c r="AO165" s="37"/>
      <c r="AP165" s="37"/>
      <c r="AQ165" s="38"/>
      <c r="AR165" s="38"/>
      <c r="AS165" s="38"/>
      <c r="AT165" s="38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</row>
    <row r="166" spans="13:122" ht="23.25" customHeight="1" x14ac:dyDescent="0.2"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37"/>
      <c r="AI166" s="37"/>
      <c r="AJ166" s="37"/>
      <c r="AK166" s="37"/>
      <c r="AL166" s="37"/>
      <c r="AM166" s="37"/>
      <c r="AN166" s="37"/>
      <c r="AO166" s="37"/>
      <c r="AP166" s="37"/>
      <c r="AQ166" s="38"/>
      <c r="AR166" s="38"/>
      <c r="AS166" s="38"/>
      <c r="AT166" s="38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</row>
    <row r="167" spans="13:122" ht="25.5" customHeight="1" x14ac:dyDescent="0.2">
      <c r="O167" s="29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37"/>
      <c r="AI167" s="37"/>
      <c r="AJ167" s="37"/>
      <c r="AK167" s="37"/>
      <c r="AL167" s="37"/>
      <c r="AM167" s="37"/>
      <c r="AN167" s="37"/>
      <c r="AO167" s="37"/>
      <c r="AP167" s="37"/>
      <c r="AQ167" s="38"/>
      <c r="AR167" s="38"/>
      <c r="AS167" s="38"/>
      <c r="AT167" s="38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</row>
    <row r="168" spans="13:122" ht="25.5" customHeight="1" x14ac:dyDescent="0.2">
      <c r="O168" s="298"/>
      <c r="P168" s="291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37"/>
      <c r="AI168" s="37"/>
      <c r="AJ168" s="37"/>
      <c r="AK168" s="37"/>
      <c r="AL168" s="37"/>
      <c r="AM168" s="37"/>
      <c r="AN168" s="37"/>
      <c r="AO168" s="37"/>
      <c r="AP168" s="37"/>
      <c r="AQ168" s="38"/>
      <c r="AR168" s="38"/>
      <c r="AS168" s="38"/>
      <c r="AT168" s="38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</row>
    <row r="169" spans="13:122" ht="23.25" customHeight="1" x14ac:dyDescent="0.2">
      <c r="P169" s="304" t="str">
        <f>IF(C346=7,"Sulfato de Cobre",IF(C346=8,"Sulfato Ferroso",IF(C346=9,"Sulfato de Manganês",IF(C346=10,"Sulfato de Zinco",IF(C346=11,"Ácido Sulfúrico","")))))</f>
        <v/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8"/>
      <c r="AS169" s="38"/>
      <c r="AT169" s="38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</row>
    <row r="170" spans="13:122" ht="25.5" customHeight="1" x14ac:dyDescent="0.2">
      <c r="P170" s="298" t="str">
        <f>IF(C346=1,"16",IF(C346=2,"24",IF(C346=3,"12",IF(C346=4,"17",IF(C346=5,"22",IF(C346=6,"14",IF(C346&gt;=7,P171,"")))))))</f>
        <v/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8"/>
      <c r="AR170" s="38"/>
      <c r="AS170" s="38"/>
      <c r="AT170" s="38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</row>
    <row r="171" spans="13:122" ht="25.5" customHeight="1" x14ac:dyDescent="0.2">
      <c r="P171" s="298" t="str">
        <f>IF(C346=7,"18",IF(C346=8,"11",IF(C346=9,"15",IF(C346=10,"18",IF(C346=11,"31","")))))</f>
        <v/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8"/>
      <c r="AS171" s="38"/>
      <c r="AT171" s="38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</row>
    <row r="172" spans="13:122" ht="23.25" customHeight="1" x14ac:dyDescent="0.2"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37"/>
      <c r="AI172" s="37"/>
      <c r="AJ172" s="37"/>
      <c r="AK172" s="37"/>
      <c r="AL172" s="37"/>
      <c r="AM172" s="37"/>
      <c r="AN172" s="37"/>
      <c r="AO172" s="37"/>
      <c r="AP172" s="37"/>
      <c r="AQ172" s="38"/>
      <c r="AR172" s="38"/>
      <c r="AS172" s="38"/>
      <c r="AT172" s="38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</row>
    <row r="173" spans="13:122" ht="25.5" customHeight="1" x14ac:dyDescent="0.2">
      <c r="M173" s="15"/>
      <c r="N173" s="15"/>
      <c r="P173" s="11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37"/>
      <c r="AI173" s="37"/>
      <c r="AJ173" s="37"/>
      <c r="AK173" s="37"/>
      <c r="AL173" s="37"/>
      <c r="AM173" s="37"/>
      <c r="AN173" s="37"/>
      <c r="AO173" s="37"/>
      <c r="AP173" s="37"/>
      <c r="AQ173" s="38"/>
      <c r="AR173" s="38"/>
      <c r="AS173" s="38"/>
      <c r="AT173" s="38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</row>
    <row r="174" spans="13:122" ht="25.5" customHeight="1" x14ac:dyDescent="0.2">
      <c r="M174" s="237">
        <v>47.8</v>
      </c>
      <c r="N174" s="305">
        <v>44</v>
      </c>
      <c r="P174" s="29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37"/>
      <c r="AI174" s="37"/>
      <c r="AJ174" s="37"/>
      <c r="AK174" s="37"/>
      <c r="AL174" s="37"/>
      <c r="AM174" s="37"/>
      <c r="AN174" s="37"/>
      <c r="AO174" s="37"/>
      <c r="AP174" s="37"/>
      <c r="AQ174" s="38"/>
      <c r="AR174" s="38"/>
      <c r="AS174" s="38"/>
      <c r="AT174" s="38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</row>
    <row r="175" spans="13:122" ht="25.5" customHeight="1" x14ac:dyDescent="0.2">
      <c r="M175" s="237">
        <v>69.099999999999994</v>
      </c>
      <c r="N175" s="305">
        <v>44</v>
      </c>
      <c r="P175" s="299" t="str">
        <f>IF(C346=1,(L340*C357/1000),IF(C346=2,(L341*C357/1000),IF(C346=3,(L342*C357/1000),IF(C346=4,(L343*C357/1000),IF(C346=5,(L344*C357/1000),IF(C346=6,(L345*C357/1000),IF(C346&gt;=7,P176,"")))))))</f>
        <v/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37"/>
      <c r="AI175" s="37"/>
      <c r="AJ175" s="37"/>
      <c r="AK175" s="37"/>
      <c r="AL175" s="37"/>
      <c r="AM175" s="37"/>
      <c r="AN175" s="37"/>
      <c r="AO175" s="37"/>
      <c r="AP175" s="37"/>
      <c r="AQ175" s="38"/>
      <c r="AR175" s="38"/>
      <c r="AS175" s="38"/>
      <c r="AT175" s="38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</row>
    <row r="176" spans="13:122" ht="25.5" customHeight="1" x14ac:dyDescent="0.2">
      <c r="M176" s="20"/>
      <c r="N176" s="20"/>
      <c r="P176" s="299" t="str">
        <f>IF(C346=7,(L346*C357/1000),IF(C346=8,(L347*C357/1000),IF(C346=9,(L348*C357/1000),IF(C346=10,(L349*C357/1000),IF(C346=11,(L350*C357/1000),"")))))</f>
        <v/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37"/>
      <c r="AI176" s="37"/>
      <c r="AJ176" s="37"/>
      <c r="AK176" s="37"/>
      <c r="AL176" s="37"/>
      <c r="AM176" s="37"/>
      <c r="AN176" s="37"/>
      <c r="AO176" s="37"/>
      <c r="AP176" s="37"/>
      <c r="AQ176" s="38"/>
      <c r="AR176" s="38"/>
      <c r="AS176" s="38"/>
      <c r="AT176" s="38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</row>
    <row r="177" spans="13:122" ht="25.5" customHeight="1" x14ac:dyDescent="0.2">
      <c r="M177" s="20"/>
      <c r="N177" s="2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37"/>
      <c r="AI177" s="37"/>
      <c r="AJ177" s="37"/>
      <c r="AK177" s="37"/>
      <c r="AL177" s="37"/>
      <c r="AM177" s="37"/>
      <c r="AN177" s="37"/>
      <c r="AO177" s="37"/>
      <c r="AP177" s="37"/>
      <c r="AQ177" s="38"/>
      <c r="AR177" s="38"/>
      <c r="AS177" s="38"/>
      <c r="AT177" s="38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</row>
    <row r="178" spans="13:122" ht="25.5" customHeight="1" x14ac:dyDescent="0.2">
      <c r="M178" s="306">
        <f>'Memória de cálculo'!E102*0.0248</f>
        <v>0</v>
      </c>
      <c r="N178" s="2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37"/>
      <c r="AI178" s="37"/>
      <c r="AJ178" s="37"/>
      <c r="AK178" s="37"/>
      <c r="AL178" s="37"/>
      <c r="AM178" s="37"/>
      <c r="AN178" s="37"/>
      <c r="AO178" s="37"/>
      <c r="AP178" s="37"/>
      <c r="AQ178" s="38"/>
      <c r="AR178" s="38"/>
      <c r="AS178" s="38"/>
      <c r="AT178" s="38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</row>
    <row r="179" spans="13:122" ht="25.5" customHeight="1" x14ac:dyDescent="0.2">
      <c r="M179" s="20"/>
      <c r="N179" s="20"/>
      <c r="O179" s="43" t="e">
        <f>'Memória de cálculo'!G111+'Memória de cálculo'!I105</f>
        <v>#VALUE!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37"/>
      <c r="AI179" s="37"/>
      <c r="AJ179" s="37"/>
      <c r="AK179" s="37"/>
      <c r="AL179" s="37"/>
      <c r="AM179" s="37"/>
      <c r="AN179" s="37"/>
      <c r="AO179" s="37"/>
      <c r="AP179" s="37"/>
      <c r="AQ179" s="38"/>
      <c r="AR179" s="38"/>
      <c r="AS179" s="38"/>
      <c r="AT179" s="38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</row>
    <row r="180" spans="13:122" ht="25.5" customHeight="1" x14ac:dyDescent="0.2">
      <c r="M180" s="306">
        <f>M178</f>
        <v>0</v>
      </c>
      <c r="N180" s="2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38"/>
      <c r="AS180" s="38"/>
      <c r="AT180" s="38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</row>
    <row r="181" spans="13:122" ht="25.5" customHeight="1" x14ac:dyDescent="0.2">
      <c r="M181" s="20"/>
      <c r="N181" s="2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37"/>
      <c r="AI181" s="37"/>
      <c r="AJ181" s="37"/>
      <c r="AK181" s="37"/>
      <c r="AL181" s="37"/>
      <c r="AM181" s="37"/>
      <c r="AN181" s="37"/>
      <c r="AO181" s="37"/>
      <c r="AP181" s="37"/>
      <c r="AQ181" s="38"/>
      <c r="AR181" s="38"/>
      <c r="AS181" s="38"/>
      <c r="AT181" s="38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</row>
    <row r="182" spans="13:122" ht="25.5" customHeight="1" x14ac:dyDescent="0.2">
      <c r="M182" s="306" t="e">
        <f>M180*'Memória de cálculo'!F113</f>
        <v>#VALUE!</v>
      </c>
      <c r="N182" s="2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37"/>
      <c r="AI182" s="37"/>
      <c r="AJ182" s="37"/>
      <c r="AK182" s="37"/>
      <c r="AL182" s="37"/>
      <c r="AM182" s="37"/>
      <c r="AN182" s="37"/>
      <c r="AO182" s="37"/>
      <c r="AP182" s="37"/>
      <c r="AQ182" s="38"/>
      <c r="AR182" s="38"/>
      <c r="AS182" s="38"/>
      <c r="AT182" s="38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</row>
    <row r="183" spans="13:122" ht="25.5" customHeight="1" x14ac:dyDescent="0.2">
      <c r="M183" s="20"/>
      <c r="N183" s="2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37"/>
      <c r="AI183" s="37"/>
      <c r="AJ183" s="37"/>
      <c r="AK183" s="37"/>
      <c r="AL183" s="37"/>
      <c r="AM183" s="37"/>
      <c r="AN183" s="37"/>
      <c r="AO183" s="37"/>
      <c r="AP183" s="37"/>
      <c r="AQ183" s="38"/>
      <c r="AR183" s="38"/>
      <c r="AS183" s="38"/>
      <c r="AT183" s="38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</row>
    <row r="184" spans="13:122" ht="25.5" customHeight="1" x14ac:dyDescent="0.25">
      <c r="N184" s="20"/>
      <c r="O184" s="264" t="s">
        <v>181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37"/>
      <c r="AI184" s="37"/>
      <c r="AJ184" s="37"/>
      <c r="AK184" s="37"/>
      <c r="AL184" s="37"/>
      <c r="AM184" s="37"/>
      <c r="AN184" s="37"/>
      <c r="AO184" s="37"/>
      <c r="AP184" s="37"/>
      <c r="AQ184" s="38"/>
      <c r="AR184" s="38"/>
      <c r="AS184" s="38"/>
      <c r="AT184" s="38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</row>
    <row r="185" spans="13:122" ht="25.5" customHeight="1" x14ac:dyDescent="0.2">
      <c r="N185" s="2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37"/>
      <c r="AI185" s="37"/>
      <c r="AJ185" s="37"/>
      <c r="AK185" s="37"/>
      <c r="AL185" s="37"/>
      <c r="AM185" s="37"/>
      <c r="AN185" s="37"/>
      <c r="AO185" s="37"/>
      <c r="AP185" s="37"/>
      <c r="AQ185" s="38"/>
      <c r="AR185" s="38"/>
      <c r="AS185" s="38"/>
      <c r="AT185" s="38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</row>
    <row r="186" spans="13:122" ht="25.5" customHeight="1" x14ac:dyDescent="0.2">
      <c r="M186" s="20"/>
      <c r="N186" s="2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37"/>
      <c r="AI186" s="37"/>
      <c r="AJ186" s="37"/>
      <c r="AK186" s="37"/>
      <c r="AL186" s="37"/>
      <c r="AM186" s="37"/>
      <c r="AN186" s="37"/>
      <c r="AO186" s="37"/>
      <c r="AP186" s="37"/>
      <c r="AQ186" s="38"/>
      <c r="AR186" s="38"/>
      <c r="AS186" s="38"/>
      <c r="AT186" s="38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</row>
    <row r="187" spans="13:122" ht="23.25" customHeight="1" x14ac:dyDescent="0.2"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8"/>
      <c r="AR187" s="38"/>
      <c r="AS187" s="38"/>
      <c r="AT187" s="38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</row>
    <row r="188" spans="13:122" ht="25.5" customHeight="1" x14ac:dyDescent="0.2">
      <c r="M188" s="20"/>
      <c r="N188" s="2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37"/>
      <c r="AI188" s="37"/>
      <c r="AJ188" s="37"/>
      <c r="AK188" s="37"/>
      <c r="AL188" s="37"/>
      <c r="AM188" s="37"/>
      <c r="AN188" s="37"/>
      <c r="AO188" s="37"/>
      <c r="AP188" s="37"/>
      <c r="AQ188" s="38"/>
      <c r="AR188" s="38"/>
      <c r="AS188" s="38"/>
      <c r="AT188" s="38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</row>
    <row r="189" spans="13:122" ht="23.25" customHeight="1" x14ac:dyDescent="0.2">
      <c r="M189" s="11" t="e">
        <f>'Memória de cálculo'!K118/2.42</f>
        <v>#VALUE!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37"/>
      <c r="AI189" s="37"/>
      <c r="AJ189" s="37"/>
      <c r="AK189" s="37"/>
      <c r="AL189" s="37"/>
      <c r="AM189" s="37"/>
      <c r="AN189" s="37"/>
      <c r="AO189" s="37"/>
      <c r="AP189" s="37"/>
      <c r="AQ189" s="38"/>
      <c r="AR189" s="38"/>
      <c r="AS189" s="38"/>
      <c r="AT189" s="38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</row>
    <row r="190" spans="13:122" ht="23.25" customHeight="1" x14ac:dyDescent="0.2"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38"/>
      <c r="AS190" s="38"/>
      <c r="AT190" s="38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</row>
    <row r="191" spans="13:122" ht="23.25" customHeight="1" x14ac:dyDescent="0.2"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37"/>
      <c r="AI191" s="37"/>
      <c r="AJ191" s="37"/>
      <c r="AK191" s="37"/>
      <c r="AL191" s="37"/>
      <c r="AM191" s="37"/>
      <c r="AN191" s="37"/>
      <c r="AO191" s="37"/>
      <c r="AP191" s="37"/>
      <c r="AQ191" s="38"/>
      <c r="AR191" s="38"/>
      <c r="AS191" s="38"/>
      <c r="AT191" s="38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</row>
    <row r="192" spans="13:122" ht="25.5" customHeight="1" x14ac:dyDescent="0.2">
      <c r="M192" s="20"/>
      <c r="N192" s="2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37"/>
      <c r="AI192" s="37"/>
      <c r="AJ192" s="37"/>
      <c r="AK192" s="37"/>
      <c r="AL192" s="37"/>
      <c r="AM192" s="37"/>
      <c r="AN192" s="37"/>
      <c r="AO192" s="37"/>
      <c r="AP192" s="37"/>
      <c r="AQ192" s="38"/>
      <c r="AR192" s="38"/>
      <c r="AS192" s="38"/>
      <c r="AT192" s="38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</row>
    <row r="193" spans="1:122" ht="25.5" customHeight="1" x14ac:dyDescent="0.2">
      <c r="M193" s="20"/>
      <c r="N193" s="2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37"/>
      <c r="AI193" s="37"/>
      <c r="AJ193" s="37"/>
      <c r="AK193" s="37"/>
      <c r="AL193" s="37"/>
      <c r="AM193" s="37"/>
      <c r="AN193" s="37"/>
      <c r="AO193" s="37"/>
      <c r="AP193" s="37"/>
      <c r="AQ193" s="38"/>
      <c r="AR193" s="38"/>
      <c r="AS193" s="38"/>
      <c r="AT193" s="38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</row>
    <row r="194" spans="1:122" ht="25.5" customHeight="1" x14ac:dyDescent="0.2">
      <c r="M194" s="20"/>
      <c r="N194" s="2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37"/>
      <c r="AI194" s="37"/>
      <c r="AJ194" s="37"/>
      <c r="AK194" s="37"/>
      <c r="AL194" s="37"/>
      <c r="AM194" s="37"/>
      <c r="AN194" s="37"/>
      <c r="AO194" s="37"/>
      <c r="AP194" s="37"/>
      <c r="AQ194" s="38"/>
      <c r="AR194" s="38"/>
      <c r="AS194" s="38"/>
      <c r="AT194" s="38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</row>
    <row r="195" spans="1:122" ht="25.5" customHeight="1" x14ac:dyDescent="0.2">
      <c r="M195" s="20"/>
      <c r="N195" s="2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37"/>
      <c r="AI195" s="37"/>
      <c r="AJ195" s="37"/>
      <c r="AK195" s="37"/>
      <c r="AL195" s="37"/>
      <c r="AM195" s="37"/>
      <c r="AN195" s="37"/>
      <c r="AO195" s="37"/>
      <c r="AP195" s="37"/>
      <c r="AQ195" s="38"/>
      <c r="AR195" s="38"/>
      <c r="AS195" s="38"/>
      <c r="AT195" s="38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</row>
    <row r="196" spans="1:122" ht="25.5" customHeight="1" x14ac:dyDescent="0.2">
      <c r="M196" s="20"/>
      <c r="N196" s="2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37"/>
      <c r="AI196" s="37"/>
      <c r="AJ196" s="37"/>
      <c r="AK196" s="37"/>
      <c r="AL196" s="37"/>
      <c r="AM196" s="37"/>
      <c r="AN196" s="37"/>
      <c r="AO196" s="37"/>
      <c r="AP196" s="37"/>
      <c r="AQ196" s="38"/>
      <c r="AR196" s="38"/>
      <c r="AS196" s="38"/>
      <c r="AT196" s="38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</row>
    <row r="197" spans="1:122" ht="25.5" customHeight="1" x14ac:dyDescent="0.2">
      <c r="M197" s="20"/>
      <c r="N197" s="2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37"/>
      <c r="AI197" s="37"/>
      <c r="AJ197" s="37"/>
      <c r="AK197" s="37"/>
      <c r="AL197" s="37"/>
      <c r="AM197" s="37"/>
      <c r="AN197" s="37"/>
      <c r="AO197" s="37"/>
      <c r="AP197" s="37"/>
      <c r="AQ197" s="38"/>
      <c r="AR197" s="38"/>
      <c r="AS197" s="38"/>
      <c r="AT197" s="38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</row>
    <row r="198" spans="1:122" ht="25.5" customHeight="1" x14ac:dyDescent="0.2">
      <c r="M198" s="20"/>
      <c r="N198" s="2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37"/>
      <c r="AI198" s="37"/>
      <c r="AJ198" s="37"/>
      <c r="AK198" s="37"/>
      <c r="AL198" s="37"/>
      <c r="AM198" s="37"/>
      <c r="AN198" s="37"/>
      <c r="AO198" s="37"/>
      <c r="AP198" s="37"/>
      <c r="AQ198" s="38"/>
      <c r="AR198" s="38"/>
      <c r="AS198" s="38"/>
      <c r="AT198" s="38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</row>
    <row r="199" spans="1:122" ht="25.5" customHeight="1" x14ac:dyDescent="0.2">
      <c r="A199" s="307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5"/>
      <c r="N199" s="3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37"/>
      <c r="AI199" s="37"/>
      <c r="AJ199" s="37"/>
      <c r="AK199" s="37"/>
      <c r="AL199" s="37"/>
      <c r="AM199" s="37"/>
      <c r="AN199" s="37"/>
      <c r="AO199" s="37"/>
      <c r="AP199" s="37"/>
      <c r="AQ199" s="38"/>
      <c r="AR199" s="38"/>
      <c r="AS199" s="38"/>
      <c r="AT199" s="38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</row>
    <row r="200" spans="1:122" ht="25.5" customHeight="1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5"/>
      <c r="N200" s="3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37"/>
      <c r="AI200" s="37"/>
      <c r="AJ200" s="37"/>
      <c r="AK200" s="37"/>
      <c r="AL200" s="37"/>
      <c r="AM200" s="37"/>
      <c r="AN200" s="37"/>
      <c r="AO200" s="37"/>
      <c r="AP200" s="37"/>
      <c r="AQ200" s="38"/>
      <c r="AR200" s="38"/>
      <c r="AS200" s="38"/>
      <c r="AT200" s="38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</row>
    <row r="201" spans="1:122" ht="25.5" customHeight="1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5"/>
      <c r="N201" s="3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37"/>
      <c r="AI201" s="37"/>
      <c r="AJ201" s="37"/>
      <c r="AK201" s="37"/>
      <c r="AL201" s="37"/>
      <c r="AM201" s="37"/>
      <c r="AN201" s="37"/>
      <c r="AO201" s="37"/>
      <c r="AP201" s="37"/>
      <c r="AQ201" s="38"/>
      <c r="AR201" s="38"/>
      <c r="AS201" s="38"/>
      <c r="AT201" s="38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</row>
    <row r="202" spans="1:122" ht="25.5" customHeight="1" x14ac:dyDescent="0.2">
      <c r="A202" s="619"/>
      <c r="B202" s="619"/>
      <c r="C202" s="307"/>
      <c r="D202" s="310"/>
      <c r="E202" s="310"/>
      <c r="F202" s="310"/>
      <c r="G202" s="308"/>
      <c r="H202" s="308"/>
      <c r="I202" s="310"/>
      <c r="J202" s="310"/>
      <c r="K202" s="307"/>
      <c r="L202" s="310"/>
      <c r="M202" s="15"/>
      <c r="N202" s="1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37"/>
      <c r="AI202" s="37"/>
      <c r="AJ202" s="37"/>
      <c r="AK202" s="37"/>
      <c r="AL202" s="37"/>
      <c r="AM202" s="37"/>
      <c r="AN202" s="37"/>
      <c r="AO202" s="37"/>
      <c r="AP202" s="37"/>
      <c r="AQ202" s="38"/>
      <c r="AR202" s="38"/>
      <c r="AS202" s="38"/>
      <c r="AT202" s="38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</row>
    <row r="203" spans="1:122" ht="25.5" customHeight="1" x14ac:dyDescent="0.2">
      <c r="A203" s="619"/>
      <c r="B203" s="619"/>
      <c r="C203" s="310"/>
      <c r="D203" s="310"/>
      <c r="E203" s="310"/>
      <c r="F203" s="310"/>
      <c r="G203" s="308"/>
      <c r="H203" s="308"/>
      <c r="I203" s="308"/>
      <c r="J203" s="310"/>
      <c r="K203" s="310"/>
      <c r="L203" s="307"/>
      <c r="M203" s="15"/>
      <c r="N203" s="1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37"/>
      <c r="AI203" s="37"/>
      <c r="AJ203" s="37"/>
      <c r="AK203" s="37"/>
      <c r="AL203" s="37"/>
      <c r="AM203" s="37"/>
      <c r="AN203" s="37"/>
      <c r="AO203" s="37"/>
      <c r="AP203" s="37"/>
      <c r="AQ203" s="38"/>
      <c r="AR203" s="38"/>
      <c r="AS203" s="38"/>
      <c r="AT203" s="38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</row>
    <row r="204" spans="1:122" ht="25.5" customHeight="1" x14ac:dyDescent="0.2">
      <c r="A204" s="308"/>
      <c r="B204" s="310"/>
      <c r="C204" s="310"/>
      <c r="D204" s="310"/>
      <c r="E204" s="310"/>
      <c r="F204" s="310"/>
      <c r="G204" s="309"/>
      <c r="H204" s="308"/>
      <c r="I204" s="308"/>
      <c r="J204" s="307"/>
      <c r="K204" s="310"/>
      <c r="L204" s="310"/>
      <c r="M204" s="15"/>
      <c r="N204" s="1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8"/>
      <c r="AR204" s="38"/>
      <c r="AS204" s="38"/>
      <c r="AT204" s="38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</row>
    <row r="205" spans="1:122" ht="23.25" customHeight="1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18"/>
      <c r="N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37"/>
      <c r="AI205" s="37"/>
      <c r="AJ205" s="37"/>
      <c r="AK205" s="37"/>
      <c r="AL205" s="37"/>
      <c r="AM205" s="37"/>
      <c r="AN205" s="37"/>
      <c r="AO205" s="37"/>
      <c r="AP205" s="37"/>
      <c r="AQ205" s="38"/>
      <c r="AR205" s="38"/>
      <c r="AS205" s="38"/>
      <c r="AT205" s="38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</row>
    <row r="206" spans="1:122" ht="30.2" customHeight="1" x14ac:dyDescent="0.3">
      <c r="A206" s="620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292"/>
      <c r="N206" s="292"/>
      <c r="O206" s="15"/>
      <c r="P206" s="292"/>
      <c r="Q206" s="292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37"/>
      <c r="AI206" s="37"/>
      <c r="AJ206" s="37"/>
      <c r="AK206" s="37"/>
      <c r="AL206" s="37"/>
      <c r="AM206" s="37"/>
      <c r="AN206" s="37"/>
      <c r="AO206" s="37"/>
      <c r="AP206" s="37"/>
      <c r="AQ206" s="38"/>
      <c r="AR206" s="38"/>
      <c r="AS206" s="38"/>
      <c r="AT206" s="38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</row>
    <row r="207" spans="1:122" ht="25.5" customHeight="1" x14ac:dyDescent="0.25">
      <c r="A207" s="308"/>
      <c r="B207" s="308"/>
      <c r="C207" s="308"/>
      <c r="D207" s="308"/>
      <c r="E207" s="308"/>
      <c r="F207" s="307"/>
      <c r="G207" s="311"/>
      <c r="H207" s="308"/>
      <c r="I207" s="307"/>
      <c r="J207" s="307"/>
      <c r="K207" s="308"/>
      <c r="L207" s="308"/>
      <c r="M207" s="35"/>
      <c r="N207" s="3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37"/>
      <c r="AI207" s="37"/>
      <c r="AJ207" s="37"/>
      <c r="AK207" s="37"/>
      <c r="AL207" s="37"/>
      <c r="AM207" s="37"/>
      <c r="AN207" s="37"/>
      <c r="AO207" s="37"/>
      <c r="AP207" s="37"/>
      <c r="AQ207" s="38"/>
      <c r="AR207" s="38"/>
      <c r="AS207" s="38"/>
      <c r="AT207" s="38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</row>
    <row r="208" spans="1:122" ht="25.5" customHeight="1" x14ac:dyDescent="0.2">
      <c r="A208" s="308"/>
      <c r="B208" s="308"/>
      <c r="C208" s="308"/>
      <c r="D208" s="308"/>
      <c r="E208" s="312"/>
      <c r="F208" s="308"/>
      <c r="G208" s="308"/>
      <c r="H208" s="307"/>
      <c r="I208" s="307"/>
      <c r="J208" s="307"/>
      <c r="K208" s="307"/>
      <c r="L208" s="307"/>
      <c r="M208" s="18"/>
      <c r="N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37"/>
      <c r="AI208" s="37"/>
      <c r="AJ208" s="37"/>
      <c r="AK208" s="37"/>
      <c r="AL208" s="37"/>
      <c r="AM208" s="37"/>
      <c r="AN208" s="37"/>
      <c r="AO208" s="37"/>
      <c r="AP208" s="37"/>
      <c r="AQ208" s="38"/>
      <c r="AR208" s="38"/>
      <c r="AS208" s="38"/>
      <c r="AT208" s="38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</row>
    <row r="209" spans="1:122" ht="25.5" customHeight="1" x14ac:dyDescent="0.2">
      <c r="A209" s="307"/>
      <c r="B209" s="307"/>
      <c r="C209" s="307"/>
      <c r="D209" s="307"/>
      <c r="E209" s="307"/>
      <c r="F209" s="307"/>
      <c r="G209" s="308"/>
      <c r="H209" s="307"/>
      <c r="I209" s="308"/>
      <c r="J209" s="307"/>
      <c r="K209" s="307"/>
      <c r="L209" s="307"/>
      <c r="M209" s="18"/>
      <c r="N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37"/>
      <c r="AI209" s="37"/>
      <c r="AJ209" s="37"/>
      <c r="AK209" s="37"/>
      <c r="AL209" s="37"/>
      <c r="AM209" s="37"/>
      <c r="AN209" s="37"/>
      <c r="AO209" s="37"/>
      <c r="AP209" s="37"/>
      <c r="AQ209" s="38"/>
      <c r="AR209" s="38"/>
      <c r="AS209" s="38"/>
      <c r="AT209" s="38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</row>
    <row r="210" spans="1:122" ht="25.5" customHeight="1" x14ac:dyDescent="0.3">
      <c r="A210" s="308"/>
      <c r="B210" s="308"/>
      <c r="C210" s="308"/>
      <c r="D210" s="307"/>
      <c r="E210" s="603"/>
      <c r="F210" s="603"/>
      <c r="G210" s="603"/>
      <c r="H210" s="308"/>
      <c r="I210" s="308"/>
      <c r="J210" s="308"/>
      <c r="K210" s="307"/>
      <c r="L210" s="313"/>
      <c r="M210" s="18" t="s">
        <v>182</v>
      </c>
      <c r="N210" s="3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37"/>
      <c r="AI210" s="37"/>
      <c r="AJ210" s="37"/>
      <c r="AK210" s="37"/>
      <c r="AL210" s="37"/>
      <c r="AM210" s="37"/>
      <c r="AN210" s="37"/>
      <c r="AO210" s="37"/>
      <c r="AP210" s="37"/>
      <c r="AQ210" s="38"/>
      <c r="AR210" s="38"/>
      <c r="AS210" s="38"/>
      <c r="AT210" s="38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</row>
    <row r="211" spans="1:122" ht="25.5" customHeight="1" x14ac:dyDescent="0.2">
      <c r="A211" s="308"/>
      <c r="B211" s="308"/>
      <c r="C211" s="308"/>
      <c r="D211" s="308"/>
      <c r="E211" s="308"/>
      <c r="F211" s="308"/>
      <c r="G211" s="308"/>
      <c r="H211" s="307"/>
      <c r="I211" s="307"/>
      <c r="J211" s="307"/>
      <c r="K211" s="307"/>
      <c r="L211" s="307"/>
      <c r="M211" s="18"/>
      <c r="N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37"/>
      <c r="AI211" s="37"/>
      <c r="AJ211" s="37"/>
      <c r="AK211" s="37"/>
      <c r="AL211" s="37"/>
      <c r="AM211" s="37"/>
      <c r="AN211" s="37"/>
      <c r="AO211" s="37"/>
      <c r="AP211" s="37"/>
      <c r="AQ211" s="38"/>
      <c r="AR211" s="38"/>
      <c r="AS211" s="38"/>
      <c r="AT211" s="38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</row>
    <row r="212" spans="1:122" ht="25.5" customHeight="1" x14ac:dyDescent="0.2">
      <c r="A212" s="308"/>
      <c r="B212" s="308"/>
      <c r="C212" s="308"/>
      <c r="D212" s="308"/>
      <c r="E212" s="307"/>
      <c r="F212" s="307"/>
      <c r="G212" s="308"/>
      <c r="H212" s="307"/>
      <c r="I212" s="307"/>
      <c r="J212" s="307"/>
      <c r="K212" s="307"/>
      <c r="L212" s="307"/>
      <c r="M212" s="18"/>
      <c r="N212" s="18"/>
      <c r="O212" s="15">
        <f>(H11*G207/K48)-H11</f>
        <v>-1.63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37"/>
      <c r="AI212" s="37"/>
      <c r="AJ212" s="37"/>
      <c r="AK212" s="37"/>
      <c r="AL212" s="37"/>
      <c r="AM212" s="37"/>
      <c r="AN212" s="37"/>
      <c r="AO212" s="37"/>
      <c r="AP212" s="37"/>
      <c r="AQ212" s="38"/>
      <c r="AR212" s="38"/>
      <c r="AS212" s="38"/>
      <c r="AT212" s="38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</row>
    <row r="213" spans="1:122" ht="25.5" customHeight="1" x14ac:dyDescent="0.25">
      <c r="A213" s="308"/>
      <c r="B213" s="308"/>
      <c r="C213" s="308"/>
      <c r="D213" s="314"/>
      <c r="E213" s="308"/>
      <c r="F213" s="308"/>
      <c r="G213" s="308"/>
      <c r="H213" s="307"/>
      <c r="I213" s="307"/>
      <c r="J213" s="307"/>
      <c r="K213" s="307"/>
      <c r="L213" s="307"/>
      <c r="M213" s="18"/>
      <c r="N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37"/>
      <c r="AI213" s="37"/>
      <c r="AJ213" s="37"/>
      <c r="AK213" s="37"/>
      <c r="AL213" s="37"/>
      <c r="AM213" s="37"/>
      <c r="AN213" s="37"/>
      <c r="AO213" s="37"/>
      <c r="AP213" s="37"/>
      <c r="AQ213" s="38"/>
      <c r="AR213" s="38"/>
      <c r="AS213" s="38"/>
      <c r="AT213" s="38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</row>
    <row r="214" spans="1:122" ht="25.5" customHeight="1" x14ac:dyDescent="0.2">
      <c r="A214" s="308"/>
      <c r="B214" s="308"/>
      <c r="C214" s="308"/>
      <c r="D214" s="308"/>
      <c r="E214" s="308"/>
      <c r="F214" s="308"/>
      <c r="G214" s="308"/>
      <c r="H214" s="307"/>
      <c r="I214" s="307"/>
      <c r="J214" s="307"/>
      <c r="K214" s="307"/>
      <c r="L214" s="307"/>
      <c r="M214" s="18"/>
      <c r="N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37"/>
      <c r="AI214" s="37"/>
      <c r="AJ214" s="37"/>
      <c r="AK214" s="37"/>
      <c r="AL214" s="37"/>
      <c r="AM214" s="37"/>
      <c r="AN214" s="37"/>
      <c r="AO214" s="37"/>
      <c r="AP214" s="37"/>
      <c r="AQ214" s="38"/>
      <c r="AR214" s="38"/>
      <c r="AS214" s="38"/>
      <c r="AT214" s="38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</row>
    <row r="215" spans="1:122" ht="25.5" customHeight="1" x14ac:dyDescent="0.25">
      <c r="A215" s="308"/>
      <c r="B215" s="308"/>
      <c r="C215" s="308"/>
      <c r="D215" s="307"/>
      <c r="E215" s="311"/>
      <c r="F215" s="314"/>
      <c r="G215" s="308"/>
      <c r="H215" s="307"/>
      <c r="I215" s="307"/>
      <c r="J215" s="307"/>
      <c r="K215" s="315"/>
      <c r="L215" s="307"/>
      <c r="M215" s="18"/>
      <c r="N215" s="18"/>
      <c r="O215" s="11" t="str">
        <f>IF(E215=2,47.8,"0,00")</f>
        <v>0,00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37"/>
      <c r="AI215" s="37"/>
      <c r="AJ215" s="37"/>
      <c r="AK215" s="37"/>
      <c r="AL215" s="37"/>
      <c r="AM215" s="37"/>
      <c r="AN215" s="37"/>
      <c r="AO215" s="37"/>
      <c r="AP215" s="37"/>
      <c r="AQ215" s="38"/>
      <c r="AR215" s="38"/>
      <c r="AS215" s="38"/>
      <c r="AT215" s="38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</row>
    <row r="216" spans="1:122" ht="25.5" customHeight="1" x14ac:dyDescent="0.25">
      <c r="A216" s="308"/>
      <c r="B216" s="308"/>
      <c r="C216" s="308"/>
      <c r="D216" s="308"/>
      <c r="E216" s="308"/>
      <c r="F216" s="308"/>
      <c r="G216" s="308"/>
      <c r="H216" s="307"/>
      <c r="I216" s="307"/>
      <c r="J216" s="307"/>
      <c r="K216" s="307"/>
      <c r="L216" s="307"/>
      <c r="M216" s="18"/>
      <c r="N216" s="18"/>
      <c r="O216" s="621">
        <f>O215*0.0248</f>
        <v>0</v>
      </c>
      <c r="P216" s="621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37"/>
      <c r="AI216" s="37"/>
      <c r="AJ216" s="37"/>
      <c r="AK216" s="37"/>
      <c r="AL216" s="37"/>
      <c r="AM216" s="37"/>
      <c r="AN216" s="37"/>
      <c r="AO216" s="37"/>
      <c r="AP216" s="37"/>
      <c r="AQ216" s="38"/>
      <c r="AR216" s="38"/>
      <c r="AS216" s="38"/>
      <c r="AT216" s="38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</row>
    <row r="217" spans="1:122" ht="25.5" customHeight="1" x14ac:dyDescent="0.2">
      <c r="A217" s="616"/>
      <c r="B217" s="616"/>
      <c r="C217" s="616"/>
      <c r="D217" s="616"/>
      <c r="E217" s="616"/>
      <c r="F217" s="616"/>
      <c r="G217" s="616"/>
      <c r="H217" s="616"/>
      <c r="I217" s="616"/>
      <c r="J217" s="616"/>
      <c r="K217" s="616"/>
      <c r="L217" s="307"/>
      <c r="M217" s="18"/>
      <c r="N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37"/>
      <c r="AI217" s="37"/>
      <c r="AJ217" s="37"/>
      <c r="AK217" s="37"/>
      <c r="AL217" s="37"/>
      <c r="AM217" s="37"/>
      <c r="AN217" s="37"/>
      <c r="AO217" s="37"/>
      <c r="AP217" s="37"/>
      <c r="AQ217" s="38"/>
      <c r="AR217" s="38"/>
      <c r="AS217" s="38"/>
      <c r="AT217" s="38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</row>
    <row r="218" spans="1:122" ht="25.5" customHeight="1" x14ac:dyDescent="0.2">
      <c r="A218" s="616"/>
      <c r="B218" s="616"/>
      <c r="C218" s="616"/>
      <c r="D218" s="616"/>
      <c r="E218" s="616"/>
      <c r="F218" s="616"/>
      <c r="G218" s="616"/>
      <c r="H218" s="616"/>
      <c r="I218" s="616"/>
      <c r="J218" s="616"/>
      <c r="K218" s="616"/>
      <c r="L218" s="307"/>
      <c r="M218" s="18"/>
      <c r="N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37"/>
      <c r="AI218" s="37"/>
      <c r="AJ218" s="37"/>
      <c r="AK218" s="37"/>
      <c r="AL218" s="37"/>
      <c r="AM218" s="37"/>
      <c r="AN218" s="37"/>
      <c r="AO218" s="37"/>
      <c r="AP218" s="37"/>
      <c r="AQ218" s="38"/>
      <c r="AR218" s="38"/>
      <c r="AS218" s="38"/>
      <c r="AT218" s="38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</row>
    <row r="219" spans="1:122" ht="25.5" customHeight="1" x14ac:dyDescent="0.2">
      <c r="A219" s="616"/>
      <c r="B219" s="616"/>
      <c r="C219" s="616"/>
      <c r="D219" s="616"/>
      <c r="E219" s="616"/>
      <c r="F219" s="616"/>
      <c r="G219" s="616"/>
      <c r="H219" s="616"/>
      <c r="I219" s="616"/>
      <c r="J219" s="616"/>
      <c r="K219" s="616"/>
      <c r="L219" s="307"/>
      <c r="M219" s="18"/>
      <c r="N219" s="18"/>
      <c r="O219" s="11" t="e">
        <f>O206/E229</f>
        <v>#DIV/0!</v>
      </c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37"/>
      <c r="AI219" s="37"/>
      <c r="AJ219" s="37"/>
      <c r="AK219" s="37"/>
      <c r="AL219" s="37"/>
      <c r="AM219" s="37"/>
      <c r="AN219" s="37"/>
      <c r="AO219" s="37"/>
      <c r="AP219" s="37"/>
      <c r="AQ219" s="38"/>
      <c r="AR219" s="38"/>
      <c r="AS219" s="38"/>
      <c r="AT219" s="38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</row>
    <row r="220" spans="1:122" ht="25.5" customHeight="1" x14ac:dyDescent="0.25">
      <c r="A220" s="607"/>
      <c r="B220" s="607"/>
      <c r="C220" s="614"/>
      <c r="D220" s="614"/>
      <c r="E220" s="614"/>
      <c r="F220" s="609"/>
      <c r="G220" s="609"/>
      <c r="H220" s="609"/>
      <c r="I220" s="609"/>
      <c r="J220" s="610"/>
      <c r="K220" s="610"/>
      <c r="L220" s="307"/>
      <c r="M220" s="18"/>
      <c r="N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37"/>
      <c r="AI220" s="37"/>
      <c r="AJ220" s="37"/>
      <c r="AK220" s="37"/>
      <c r="AL220" s="37"/>
      <c r="AM220" s="37"/>
      <c r="AN220" s="37"/>
      <c r="AO220" s="37"/>
      <c r="AP220" s="37"/>
      <c r="AQ220" s="38"/>
      <c r="AR220" s="38"/>
      <c r="AS220" s="38"/>
      <c r="AT220" s="38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</row>
    <row r="221" spans="1:122" ht="25.5" customHeight="1" x14ac:dyDescent="0.2">
      <c r="A221" s="615"/>
      <c r="B221" s="615"/>
      <c r="C221" s="615"/>
      <c r="D221" s="615"/>
      <c r="E221" s="615"/>
      <c r="F221" s="615"/>
      <c r="G221" s="615"/>
      <c r="H221" s="615"/>
      <c r="I221" s="615"/>
      <c r="J221" s="615"/>
      <c r="K221" s="615"/>
      <c r="L221" s="307"/>
      <c r="M221" s="18"/>
      <c r="N221" s="18"/>
      <c r="O221" s="11">
        <f>E229*F233</f>
        <v>0</v>
      </c>
      <c r="P221" s="291" t="str">
        <f>IF(D52=6,"Calcário Magnesiano","")</f>
        <v/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8"/>
      <c r="AR221" s="38"/>
      <c r="AS221" s="38"/>
      <c r="AT221" s="38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</row>
    <row r="222" spans="1:122" ht="25.5" customHeight="1" x14ac:dyDescent="0.25">
      <c r="A222" s="607"/>
      <c r="B222" s="607"/>
      <c r="C222" s="316"/>
      <c r="D222" s="316"/>
      <c r="E222" s="316"/>
      <c r="F222" s="609"/>
      <c r="G222" s="609"/>
      <c r="H222" s="609"/>
      <c r="I222" s="609"/>
      <c r="J222" s="316"/>
      <c r="K222" s="316"/>
      <c r="L222" s="307"/>
      <c r="M222" s="18"/>
      <c r="N222" s="18"/>
      <c r="O222" s="306">
        <f>H227</f>
        <v>0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37"/>
      <c r="AI222" s="37"/>
      <c r="AJ222" s="37"/>
      <c r="AK222" s="37"/>
      <c r="AL222" s="37"/>
      <c r="AM222" s="37"/>
      <c r="AN222" s="37"/>
      <c r="AO222" s="37"/>
      <c r="AP222" s="37"/>
      <c r="AQ222" s="38"/>
      <c r="AR222" s="38"/>
      <c r="AS222" s="38"/>
      <c r="AT222" s="38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</row>
    <row r="223" spans="1:122" ht="25.5" customHeight="1" x14ac:dyDescent="0.25">
      <c r="A223" s="607"/>
      <c r="B223" s="607"/>
      <c r="C223" s="608"/>
      <c r="D223" s="608"/>
      <c r="E223" s="608"/>
      <c r="F223" s="609"/>
      <c r="G223" s="609"/>
      <c r="H223" s="609"/>
      <c r="I223" s="609"/>
      <c r="J223" s="610"/>
      <c r="K223" s="610"/>
      <c r="L223" s="307"/>
      <c r="M223" s="18"/>
      <c r="N223" s="18"/>
      <c r="O223" s="306" t="e">
        <f>E229*'Memória de cálculo'!F113+'Memória de cálculo'!D122+'Memória de cálculo'!G80</f>
        <v>#VALUE!</v>
      </c>
      <c r="P223" s="298" t="str">
        <f>IF(D52=6,"47,8","00")</f>
        <v>00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37"/>
      <c r="AI223" s="37"/>
      <c r="AJ223" s="37"/>
      <c r="AK223" s="37"/>
      <c r="AL223" s="37"/>
      <c r="AM223" s="37"/>
      <c r="AN223" s="37"/>
      <c r="AO223" s="37"/>
      <c r="AP223" s="37"/>
      <c r="AQ223" s="38"/>
      <c r="AR223" s="38"/>
      <c r="AS223" s="38"/>
      <c r="AT223" s="38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</row>
    <row r="224" spans="1:122" ht="25.5" customHeight="1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18"/>
      <c r="N224" s="18"/>
      <c r="O224" s="20">
        <f>E229*F233</f>
        <v>0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37"/>
      <c r="AI224" s="37"/>
      <c r="AJ224" s="37"/>
      <c r="AK224" s="37"/>
      <c r="AL224" s="37"/>
      <c r="AM224" s="37"/>
      <c r="AN224" s="37"/>
      <c r="AO224" s="37"/>
      <c r="AP224" s="37"/>
      <c r="AQ224" s="38"/>
      <c r="AR224" s="38"/>
      <c r="AS224" s="38"/>
      <c r="AT224" s="38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</row>
    <row r="225" spans="1:122" ht="25.5" customHeight="1" x14ac:dyDescent="0.2">
      <c r="A225" s="308"/>
      <c r="B225" s="308"/>
      <c r="C225" s="308"/>
      <c r="D225" s="308"/>
      <c r="E225" s="307"/>
      <c r="F225" s="317"/>
      <c r="G225" s="308"/>
      <c r="H225" s="307"/>
      <c r="I225" s="307"/>
      <c r="J225" s="307"/>
      <c r="K225" s="307"/>
      <c r="L225" s="307"/>
      <c r="M225" s="18"/>
      <c r="N225" s="18"/>
      <c r="O225" s="298" t="b">
        <f>IF(E215=1,"0,0",IF(E215=2,"21,9",IF(E215=3,"47,8",IF(E215=4,"0,0",IF(E215=5,"0,0",IF(E215=6,"0,0",IF(E215=7,"69,1")))))))</f>
        <v>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37"/>
      <c r="AI225" s="37"/>
      <c r="AJ225" s="37"/>
      <c r="AK225" s="37"/>
      <c r="AL225" s="37"/>
      <c r="AM225" s="37"/>
      <c r="AN225" s="37"/>
      <c r="AO225" s="37"/>
      <c r="AP225" s="37"/>
      <c r="AQ225" s="38"/>
      <c r="AR225" s="38"/>
      <c r="AS225" s="38"/>
      <c r="AT225" s="38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</row>
    <row r="226" spans="1:122" ht="25.5" customHeight="1" x14ac:dyDescent="0.2">
      <c r="A226" s="318"/>
      <c r="B226" s="308"/>
      <c r="C226" s="308"/>
      <c r="D226" s="308"/>
      <c r="E226" s="308"/>
      <c r="F226" s="308"/>
      <c r="G226" s="308"/>
      <c r="H226" s="308"/>
      <c r="I226" s="611"/>
      <c r="J226" s="611"/>
      <c r="K226" s="308"/>
      <c r="L226" s="308"/>
      <c r="M226" s="305"/>
      <c r="N226" s="35"/>
      <c r="P226" s="43">
        <f>O224+O231</f>
        <v>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8"/>
      <c r="AR226" s="38"/>
      <c r="AS226" s="38"/>
      <c r="AT226" s="38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</row>
    <row r="227" spans="1:122" ht="25.5" customHeight="1" x14ac:dyDescent="0.25">
      <c r="A227" s="308"/>
      <c r="B227" s="308"/>
      <c r="C227" s="308"/>
      <c r="D227" s="308"/>
      <c r="E227" s="308"/>
      <c r="F227" s="308"/>
      <c r="G227" s="307"/>
      <c r="H227" s="612"/>
      <c r="I227" s="612"/>
      <c r="J227" s="308"/>
      <c r="K227" s="307"/>
      <c r="L227" s="308"/>
      <c r="M227" s="35"/>
      <c r="N227" s="35"/>
      <c r="O227" s="29" t="e">
        <f>O206/E229</f>
        <v>#DIV/0!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37"/>
      <c r="AI227" s="37"/>
      <c r="AJ227" s="37"/>
      <c r="AK227" s="37"/>
      <c r="AL227" s="37"/>
      <c r="AM227" s="37"/>
      <c r="AN227" s="37"/>
      <c r="AO227" s="37"/>
      <c r="AP227" s="37"/>
      <c r="AQ227" s="38"/>
      <c r="AR227" s="38"/>
      <c r="AS227" s="38"/>
      <c r="AT227" s="38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</row>
    <row r="228" spans="1:122" ht="25.5" customHeight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18"/>
      <c r="N228" s="35"/>
      <c r="O228" s="319">
        <f>O222/2</f>
        <v>0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37"/>
      <c r="AI228" s="37"/>
      <c r="AJ228" s="37"/>
      <c r="AK228" s="37"/>
      <c r="AL228" s="37"/>
      <c r="AM228" s="37"/>
      <c r="AN228" s="37"/>
      <c r="AO228" s="37"/>
      <c r="AP228" s="37"/>
      <c r="AQ228" s="38"/>
      <c r="AR228" s="38"/>
      <c r="AS228" s="38"/>
      <c r="AT228" s="38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</row>
    <row r="229" spans="1:122" ht="25.5" customHeight="1" x14ac:dyDescent="0.2">
      <c r="A229" s="307"/>
      <c r="B229" s="307"/>
      <c r="C229" s="307"/>
      <c r="D229" s="307"/>
      <c r="E229" s="320"/>
      <c r="F229" s="307"/>
      <c r="G229" s="307"/>
      <c r="H229" s="307"/>
      <c r="I229" s="307"/>
      <c r="J229" s="320"/>
      <c r="K229" s="307"/>
      <c r="L229" s="307"/>
      <c r="M229" s="18"/>
      <c r="N229" s="3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37"/>
      <c r="AI229" s="37"/>
      <c r="AJ229" s="37"/>
      <c r="AK229" s="37"/>
      <c r="AL229" s="37"/>
      <c r="AM229" s="37"/>
      <c r="AN229" s="37"/>
      <c r="AO229" s="37"/>
      <c r="AP229" s="37"/>
      <c r="AQ229" s="38"/>
      <c r="AR229" s="38"/>
      <c r="AS229" s="38"/>
      <c r="AT229" s="38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</row>
    <row r="230" spans="1:122" ht="25.5" customHeight="1" x14ac:dyDescent="0.2">
      <c r="A230" s="308"/>
      <c r="B230" s="308"/>
      <c r="C230" s="308"/>
      <c r="D230" s="308"/>
      <c r="E230" s="308"/>
      <c r="F230" s="308"/>
      <c r="G230" s="307"/>
      <c r="H230" s="613"/>
      <c r="I230" s="613"/>
      <c r="J230" s="307"/>
      <c r="K230" s="308"/>
      <c r="L230" s="320"/>
      <c r="M230" s="301">
        <f>H230+L230</f>
        <v>0</v>
      </c>
      <c r="N230" s="35"/>
      <c r="O230" s="606">
        <f>H227*F233</f>
        <v>0</v>
      </c>
      <c r="P230" s="606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37"/>
      <c r="AI230" s="37"/>
      <c r="AJ230" s="37"/>
      <c r="AK230" s="37"/>
      <c r="AL230" s="37"/>
      <c r="AM230" s="37"/>
      <c r="AN230" s="37"/>
      <c r="AO230" s="37"/>
      <c r="AP230" s="37"/>
      <c r="AQ230" s="38"/>
      <c r="AR230" s="38"/>
      <c r="AS230" s="38"/>
      <c r="AT230" s="38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</row>
    <row r="231" spans="1:122" ht="25.5" customHeight="1" x14ac:dyDescent="0.2">
      <c r="A231" s="308"/>
      <c r="B231" s="307"/>
      <c r="C231" s="307"/>
      <c r="D231" s="307"/>
      <c r="E231" s="307"/>
      <c r="F231" s="307"/>
      <c r="G231" s="307"/>
      <c r="H231" s="308"/>
      <c r="I231" s="308"/>
      <c r="J231" s="308"/>
      <c r="K231" s="321"/>
      <c r="L231" s="307"/>
      <c r="M231" s="301">
        <f>K231</f>
        <v>0</v>
      </c>
      <c r="N231" s="35"/>
      <c r="O231" s="43">
        <f>K231</f>
        <v>0</v>
      </c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37"/>
      <c r="AI231" s="37"/>
      <c r="AJ231" s="37"/>
      <c r="AK231" s="37"/>
      <c r="AL231" s="37"/>
      <c r="AM231" s="37"/>
      <c r="AN231" s="37"/>
      <c r="AO231" s="37"/>
      <c r="AP231" s="37"/>
      <c r="AQ231" s="38"/>
      <c r="AR231" s="38"/>
      <c r="AS231" s="38"/>
      <c r="AT231" s="38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</row>
    <row r="232" spans="1:122" ht="25.5" customHeight="1" x14ac:dyDescent="0.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18"/>
      <c r="N232" s="3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37"/>
      <c r="AI232" s="37"/>
      <c r="AJ232" s="37"/>
      <c r="AK232" s="37"/>
      <c r="AL232" s="37"/>
      <c r="AM232" s="37"/>
      <c r="AN232" s="37"/>
      <c r="AO232" s="37"/>
      <c r="AP232" s="37"/>
      <c r="AQ232" s="38"/>
      <c r="AR232" s="38"/>
      <c r="AS232" s="38"/>
      <c r="AT232" s="38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</row>
    <row r="233" spans="1:122" ht="25.5" customHeight="1" x14ac:dyDescent="0.25">
      <c r="A233" s="308"/>
      <c r="B233" s="308"/>
      <c r="C233" s="322"/>
      <c r="D233" s="308"/>
      <c r="E233" s="307"/>
      <c r="F233" s="603"/>
      <c r="G233" s="603"/>
      <c r="H233" s="323"/>
      <c r="I233" s="314"/>
      <c r="J233" s="314"/>
      <c r="K233" s="307"/>
      <c r="L233" s="307"/>
      <c r="M233" s="18"/>
      <c r="N233" s="3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37"/>
      <c r="AI233" s="37"/>
      <c r="AJ233" s="37"/>
      <c r="AK233" s="37"/>
      <c r="AL233" s="37"/>
      <c r="AM233" s="37"/>
      <c r="AN233" s="37"/>
      <c r="AO233" s="37"/>
      <c r="AP233" s="37"/>
      <c r="AQ233" s="38"/>
      <c r="AR233" s="38"/>
      <c r="AS233" s="38"/>
      <c r="AT233" s="38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</row>
    <row r="234" spans="1:122" ht="23.25" customHeight="1" x14ac:dyDescent="0.2">
      <c r="A234" s="307"/>
      <c r="B234" s="307"/>
      <c r="C234" s="307"/>
      <c r="D234" s="307"/>
      <c r="E234" s="307"/>
      <c r="F234" s="312"/>
      <c r="G234" s="312"/>
      <c r="H234" s="312"/>
      <c r="I234" s="312"/>
      <c r="J234" s="312"/>
      <c r="K234" s="307"/>
      <c r="L234" s="307"/>
      <c r="M234" s="18"/>
      <c r="N234" s="18"/>
      <c r="P234" s="297" t="str">
        <f>IF(E215=1,(H238*J220),IF(E215=2,(H238*K59),IF(E215=3,(H238*J223),"")))</f>
        <v/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37"/>
      <c r="AI234" s="37"/>
      <c r="AJ234" s="37"/>
      <c r="AK234" s="37"/>
      <c r="AL234" s="37"/>
      <c r="AM234" s="37"/>
      <c r="AN234" s="37"/>
      <c r="AO234" s="37"/>
      <c r="AP234" s="37"/>
      <c r="AQ234" s="38"/>
      <c r="AR234" s="38"/>
      <c r="AS234" s="38"/>
      <c r="AT234" s="38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</row>
    <row r="235" spans="1:122" ht="25.5" customHeight="1" x14ac:dyDescent="0.25">
      <c r="A235" s="307"/>
      <c r="B235" s="307"/>
      <c r="C235" s="307"/>
      <c r="D235" s="307"/>
      <c r="E235" s="307"/>
      <c r="F235" s="603"/>
      <c r="G235" s="603"/>
      <c r="H235" s="323"/>
      <c r="I235" s="312"/>
      <c r="J235" s="314"/>
      <c r="K235" s="307"/>
      <c r="L235" s="307"/>
      <c r="M235" s="35"/>
      <c r="N235" s="3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37"/>
      <c r="AI235" s="37"/>
      <c r="AJ235" s="37"/>
      <c r="AK235" s="37"/>
      <c r="AL235" s="37"/>
      <c r="AM235" s="37"/>
      <c r="AN235" s="37"/>
      <c r="AO235" s="37"/>
      <c r="AP235" s="37"/>
      <c r="AQ235" s="38"/>
      <c r="AR235" s="38"/>
      <c r="AS235" s="38"/>
      <c r="AT235" s="38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</row>
    <row r="236" spans="1:122" ht="25.5" customHeight="1" x14ac:dyDescent="0.25">
      <c r="A236" s="307"/>
      <c r="B236" s="307"/>
      <c r="C236" s="307"/>
      <c r="D236" s="307"/>
      <c r="E236" s="307"/>
      <c r="F236" s="307"/>
      <c r="G236" s="307"/>
      <c r="H236" s="307"/>
      <c r="I236" s="604"/>
      <c r="J236" s="604"/>
      <c r="K236" s="604"/>
      <c r="L236" s="604"/>
      <c r="M236" s="605" t="e">
        <f>Q237</f>
        <v>#VALUE!</v>
      </c>
      <c r="N236" s="605"/>
      <c r="Q236" s="297" t="str">
        <f>IF(E215=1,(F233*J220),IF(E215=2,(F233*K59),IF(E215=3,(F233*J223),"")))</f>
        <v/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37"/>
      <c r="AI236" s="37"/>
      <c r="AJ236" s="37"/>
      <c r="AK236" s="37"/>
      <c r="AL236" s="37"/>
      <c r="AM236" s="37"/>
      <c r="AN236" s="37"/>
      <c r="AO236" s="37"/>
      <c r="AP236" s="37"/>
      <c r="AQ236" s="38"/>
      <c r="AR236" s="38"/>
      <c r="AS236" s="38"/>
      <c r="AT236" s="38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</row>
    <row r="237" spans="1:122" ht="23.25" customHeight="1" x14ac:dyDescent="0.2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18"/>
      <c r="N237" s="18"/>
      <c r="Q237" s="11" t="e">
        <f>Q236*2.42</f>
        <v>#VALUE!</v>
      </c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37"/>
      <c r="AI237" s="37"/>
      <c r="AJ237" s="37"/>
      <c r="AK237" s="37"/>
      <c r="AL237" s="37"/>
      <c r="AM237" s="37"/>
      <c r="AN237" s="37"/>
      <c r="AO237" s="37"/>
      <c r="AP237" s="37"/>
      <c r="AQ237" s="38"/>
      <c r="AR237" s="38"/>
      <c r="AS237" s="38"/>
      <c r="AT237" s="38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</row>
    <row r="238" spans="1:122" ht="25.5" customHeight="1" x14ac:dyDescent="0.25">
      <c r="A238" s="314"/>
      <c r="B238" s="307"/>
      <c r="C238" s="307"/>
      <c r="D238" s="307"/>
      <c r="E238" s="307"/>
      <c r="F238" s="307"/>
      <c r="G238" s="308"/>
      <c r="H238" s="603"/>
      <c r="I238" s="603"/>
      <c r="J238" s="323"/>
      <c r="K238" s="314"/>
      <c r="L238" s="314"/>
      <c r="M238" s="114"/>
      <c r="N238" s="35"/>
      <c r="O238" s="11">
        <f>H5/2.42</f>
        <v>2</v>
      </c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37"/>
      <c r="AI238" s="37"/>
      <c r="AJ238" s="37"/>
      <c r="AK238" s="37"/>
      <c r="AL238" s="37"/>
      <c r="AM238" s="37"/>
      <c r="AN238" s="37"/>
      <c r="AO238" s="37"/>
      <c r="AP238" s="37"/>
      <c r="AQ238" s="38"/>
      <c r="AR238" s="38"/>
      <c r="AS238" s="38"/>
      <c r="AT238" s="38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</row>
    <row r="239" spans="1:122" ht="23.25" customHeight="1" x14ac:dyDescent="0.2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18"/>
      <c r="N239" s="18"/>
      <c r="O239" s="606" t="e">
        <f>M236*O238</f>
        <v>#VALUE!</v>
      </c>
      <c r="P239" s="606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37"/>
      <c r="AI239" s="37"/>
      <c r="AJ239" s="37"/>
      <c r="AK239" s="37"/>
      <c r="AL239" s="37"/>
      <c r="AM239" s="37"/>
      <c r="AN239" s="37"/>
      <c r="AO239" s="37"/>
      <c r="AP239" s="37"/>
      <c r="AQ239" s="38"/>
      <c r="AR239" s="38"/>
      <c r="AS239" s="38"/>
      <c r="AT239" s="38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</row>
    <row r="240" spans="1:122" ht="25.5" customHeight="1" x14ac:dyDescent="0.25">
      <c r="A240" s="307"/>
      <c r="B240" s="307"/>
      <c r="C240" s="307"/>
      <c r="D240" s="307"/>
      <c r="E240" s="307"/>
      <c r="F240" s="307"/>
      <c r="G240" s="307"/>
      <c r="H240" s="307"/>
      <c r="I240" s="604"/>
      <c r="J240" s="604"/>
      <c r="K240" s="604"/>
      <c r="L240" s="604"/>
      <c r="M240" s="605" t="str">
        <f>P234</f>
        <v/>
      </c>
      <c r="N240" s="605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37"/>
      <c r="AI240" s="37"/>
      <c r="AJ240" s="37"/>
      <c r="AK240" s="37"/>
      <c r="AL240" s="37"/>
      <c r="AM240" s="37"/>
      <c r="AN240" s="37"/>
      <c r="AO240" s="37"/>
      <c r="AP240" s="37"/>
      <c r="AQ240" s="38"/>
      <c r="AR240" s="38"/>
      <c r="AS240" s="38"/>
      <c r="AT240" s="38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</row>
    <row r="1048576" ht="6.75" customHeight="1" x14ac:dyDescent="0.2"/>
  </sheetData>
  <mergeCells count="213"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2"/>
  <sheetViews>
    <sheetView showGridLines="0" zoomScale="110" zoomScaleNormal="110" zoomScalePageLayoutView="110" workbookViewId="0">
      <selection activeCell="A67" sqref="A67"/>
    </sheetView>
  </sheetViews>
  <sheetFormatPr defaultColWidth="8.85546875" defaultRowHeight="12.75" x14ac:dyDescent="0.2"/>
  <cols>
    <col min="1" max="1" width="24.28515625" style="10" customWidth="1"/>
    <col min="2" max="2" width="8.7109375" style="10" customWidth="1"/>
    <col min="3" max="3" width="8.85546875" style="10"/>
    <col min="4" max="8" width="8.7109375" style="10" customWidth="1"/>
    <col min="9" max="257" width="9.140625" style="10" customWidth="1"/>
    <col min="258" max="1023" width="9.140625" customWidth="1"/>
    <col min="1024" max="1025" width="1.28515625" customWidth="1"/>
  </cols>
  <sheetData>
    <row r="1" spans="1:21" ht="20.85" customHeight="1" x14ac:dyDescent="0.2">
      <c r="A1" s="755" t="s">
        <v>183</v>
      </c>
      <c r="B1" s="755"/>
      <c r="C1" s="755"/>
      <c r="D1" s="755"/>
      <c r="E1" s="755"/>
      <c r="F1" s="755"/>
      <c r="G1" s="755"/>
      <c r="H1" s="755"/>
      <c r="I1" s="755"/>
      <c r="K1"/>
      <c r="L1"/>
    </row>
    <row r="2" spans="1:21" ht="5.85" customHeight="1" x14ac:dyDescent="0.2">
      <c r="A2" s="324"/>
      <c r="B2" s="325"/>
      <c r="C2" s="325"/>
      <c r="D2" s="325"/>
      <c r="E2" s="325"/>
      <c r="F2" s="325"/>
      <c r="G2" s="325"/>
      <c r="H2" s="325"/>
      <c r="I2" s="326"/>
      <c r="K2"/>
      <c r="L2"/>
      <c r="O2"/>
      <c r="P2"/>
      <c r="Q2"/>
      <c r="R2"/>
      <c r="S2"/>
      <c r="T2"/>
    </row>
    <row r="3" spans="1:21" ht="17.100000000000001" customHeight="1" x14ac:dyDescent="0.2">
      <c r="A3" s="327" t="s">
        <v>184</v>
      </c>
      <c r="B3" s="328"/>
      <c r="C3" s="329" t="str">
        <f>K4</f>
        <v/>
      </c>
      <c r="D3" s="329"/>
      <c r="E3" s="330"/>
      <c r="F3" s="330"/>
      <c r="G3" s="329"/>
      <c r="H3" s="329"/>
      <c r="I3" s="74"/>
      <c r="J3"/>
      <c r="K3"/>
      <c r="L3"/>
      <c r="M3"/>
      <c r="N3"/>
      <c r="O3"/>
      <c r="P3"/>
      <c r="Q3"/>
      <c r="R3"/>
      <c r="S3"/>
      <c r="T3"/>
    </row>
    <row r="4" spans="1:21" ht="17.25" customHeight="1" x14ac:dyDescent="0.25">
      <c r="A4" s="331" t="s">
        <v>185</v>
      </c>
      <c r="B4" s="330"/>
      <c r="C4" s="332"/>
      <c r="D4" s="333" t="s">
        <v>186</v>
      </c>
      <c r="E4" s="334">
        <f>C4/2.42</f>
        <v>0</v>
      </c>
      <c r="F4" s="335" t="s">
        <v>187</v>
      </c>
      <c r="G4" s="756">
        <f>E4*60</f>
        <v>0</v>
      </c>
      <c r="H4" s="756"/>
      <c r="I4" s="336" t="s">
        <v>188</v>
      </c>
      <c r="J4"/>
      <c r="K4" s="10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1999999999999993" customHeight="1" x14ac:dyDescent="0.2">
      <c r="A5" s="72"/>
      <c r="B5" s="238"/>
      <c r="C5" s="238"/>
      <c r="D5" s="238"/>
      <c r="E5" s="238"/>
      <c r="F5" s="238"/>
      <c r="G5" s="238"/>
      <c r="H5" s="238"/>
      <c r="I5" s="74"/>
      <c r="L5"/>
    </row>
    <row r="6" spans="1:21" ht="12.75" customHeight="1" x14ac:dyDescent="0.2">
      <c r="A6" s="757" t="s">
        <v>189</v>
      </c>
      <c r="B6" s="757"/>
      <c r="C6" s="757"/>
      <c r="D6" s="757"/>
      <c r="E6" s="757"/>
      <c r="F6" s="757"/>
      <c r="G6" s="757"/>
      <c r="H6" s="757"/>
      <c r="I6" s="757"/>
      <c r="K6" s="758" t="s">
        <v>190</v>
      </c>
      <c r="L6" s="758"/>
      <c r="M6" s="758"/>
      <c r="N6" s="758"/>
      <c r="O6" s="758"/>
      <c r="Q6" s="758" t="s">
        <v>190</v>
      </c>
      <c r="R6" s="758"/>
      <c r="S6" s="758"/>
      <c r="T6" s="758"/>
      <c r="U6" s="758"/>
    </row>
    <row r="7" spans="1:21" ht="15" customHeight="1" x14ac:dyDescent="0.2">
      <c r="A7" s="337"/>
      <c r="B7" s="759" t="s">
        <v>191</v>
      </c>
      <c r="C7" s="759"/>
      <c r="D7" s="760" t="s">
        <v>192</v>
      </c>
      <c r="E7" s="760"/>
      <c r="F7" s="761" t="s">
        <v>193</v>
      </c>
      <c r="G7" s="761"/>
      <c r="H7" s="762" t="s">
        <v>194</v>
      </c>
      <c r="I7" s="762"/>
      <c r="K7" s="338" t="s">
        <v>195</v>
      </c>
      <c r="L7" s="339" t="s">
        <v>176</v>
      </c>
      <c r="M7" s="339" t="s">
        <v>196</v>
      </c>
      <c r="N7" s="339" t="s">
        <v>197</v>
      </c>
      <c r="O7" s="339" t="s">
        <v>32</v>
      </c>
      <c r="Q7" s="338" t="s">
        <v>195</v>
      </c>
      <c r="R7" s="340" t="s">
        <v>176</v>
      </c>
      <c r="S7" s="340" t="s">
        <v>198</v>
      </c>
      <c r="T7" s="340" t="s">
        <v>178</v>
      </c>
      <c r="U7" s="340" t="s">
        <v>32</v>
      </c>
    </row>
    <row r="8" spans="1:21" ht="14.85" customHeight="1" x14ac:dyDescent="0.2">
      <c r="A8" s="338" t="s">
        <v>199</v>
      </c>
      <c r="B8" s="753">
        <f>B9*2.42</f>
        <v>0</v>
      </c>
      <c r="C8" s="753"/>
      <c r="D8" s="753">
        <f>D9*2.42</f>
        <v>0</v>
      </c>
      <c r="E8" s="753"/>
      <c r="F8" s="753">
        <f>F9*2.42</f>
        <v>0</v>
      </c>
      <c r="G8" s="753"/>
      <c r="H8" s="753">
        <f>H9*2.42</f>
        <v>0</v>
      </c>
      <c r="I8" s="753"/>
      <c r="J8"/>
      <c r="K8" s="338" t="s">
        <v>172</v>
      </c>
      <c r="L8" s="341">
        <v>54</v>
      </c>
      <c r="M8" s="341">
        <v>11</v>
      </c>
      <c r="N8" s="342">
        <v>22</v>
      </c>
      <c r="O8" s="341">
        <v>2.8</v>
      </c>
      <c r="P8"/>
      <c r="Q8" s="338" t="s">
        <v>172</v>
      </c>
      <c r="R8" s="341">
        <v>54</v>
      </c>
      <c r="S8" s="341">
        <v>4.8</v>
      </c>
      <c r="T8" s="341">
        <v>18</v>
      </c>
      <c r="U8" s="341">
        <v>2.8</v>
      </c>
    </row>
    <row r="9" spans="1:21" ht="14.85" customHeight="1" x14ac:dyDescent="0.2">
      <c r="A9" s="338" t="s">
        <v>200</v>
      </c>
      <c r="B9" s="753">
        <f>(G4/1000)*K16</f>
        <v>0</v>
      </c>
      <c r="C9" s="753"/>
      <c r="D9" s="753">
        <f>(G4/1000)*L16</f>
        <v>0</v>
      </c>
      <c r="E9" s="753"/>
      <c r="F9" s="753">
        <f>(G4/1000)*M16</f>
        <v>0</v>
      </c>
      <c r="G9" s="753"/>
      <c r="H9" s="753">
        <f>(G4/1000)*N16</f>
        <v>0</v>
      </c>
      <c r="I9" s="753"/>
      <c r="K9" s="338" t="s">
        <v>201</v>
      </c>
      <c r="L9" s="338">
        <v>14</v>
      </c>
      <c r="M9" s="338">
        <v>4.12</v>
      </c>
      <c r="N9" s="338">
        <v>3.12</v>
      </c>
      <c r="O9" s="338">
        <v>0.8</v>
      </c>
      <c r="Q9" s="338" t="s">
        <v>201</v>
      </c>
      <c r="R9" s="338">
        <v>14</v>
      </c>
      <c r="S9" s="338">
        <v>1.8</v>
      </c>
      <c r="T9" s="338">
        <v>2.6</v>
      </c>
      <c r="U9" s="338">
        <v>0.8</v>
      </c>
    </row>
    <row r="10" spans="1:21" ht="12.75" customHeight="1" x14ac:dyDescent="0.2">
      <c r="A10" s="754" t="s">
        <v>202</v>
      </c>
      <c r="B10" s="754"/>
      <c r="C10" s="754"/>
      <c r="D10" s="754"/>
      <c r="E10" s="754"/>
      <c r="F10" s="754"/>
      <c r="G10" s="754"/>
      <c r="H10" s="754"/>
      <c r="I10" s="754"/>
      <c r="K10" s="343"/>
      <c r="L10" s="343"/>
      <c r="M10" s="343"/>
      <c r="N10" s="343"/>
      <c r="O10" s="343"/>
    </row>
    <row r="11" spans="1:21" ht="5.85" customHeight="1" x14ac:dyDescent="0.2">
      <c r="A11"/>
      <c r="B11"/>
      <c r="C11"/>
      <c r="D11"/>
      <c r="E11"/>
      <c r="F11"/>
      <c r="G11"/>
      <c r="H11"/>
      <c r="I11" s="344"/>
      <c r="K11" s="343"/>
      <c r="L11" s="343"/>
      <c r="M11" s="343"/>
      <c r="N11" s="343"/>
      <c r="O11" s="343"/>
    </row>
    <row r="12" spans="1:21" ht="14.85" customHeight="1" x14ac:dyDescent="0.2">
      <c r="A12" s="746" t="s">
        <v>203</v>
      </c>
      <c r="B12" s="746"/>
      <c r="C12" s="746"/>
      <c r="D12" s="746"/>
      <c r="E12" s="746"/>
      <c r="F12" s="747" t="s">
        <v>204</v>
      </c>
      <c r="G12" s="747"/>
      <c r="H12" s="747"/>
      <c r="I12" s="747"/>
      <c r="K12"/>
      <c r="L12"/>
      <c r="M12"/>
      <c r="N12"/>
      <c r="O12" s="345"/>
      <c r="P12" s="346" t="s">
        <v>205</v>
      </c>
      <c r="Q12" s="346"/>
      <c r="R12" s="346"/>
      <c r="S12" s="346"/>
      <c r="T12" s="346"/>
      <c r="U12" s="347"/>
    </row>
    <row r="13" spans="1:21" ht="14.85" customHeight="1" x14ac:dyDescent="0.2">
      <c r="A13" s="348"/>
      <c r="B13" s="748" t="s">
        <v>206</v>
      </c>
      <c r="C13" s="748"/>
      <c r="D13" s="349" t="s">
        <v>207</v>
      </c>
      <c r="E13" s="338" t="s">
        <v>208</v>
      </c>
      <c r="F13" s="350" t="s">
        <v>176</v>
      </c>
      <c r="G13" s="351" t="s">
        <v>196</v>
      </c>
      <c r="H13" s="351" t="s">
        <v>197</v>
      </c>
      <c r="I13" s="351" t="s">
        <v>32</v>
      </c>
      <c r="J13" s="333"/>
      <c r="O13" s="352"/>
      <c r="P13" s="353" t="s">
        <v>209</v>
      </c>
      <c r="Q13" s="346"/>
      <c r="R13" s="346"/>
      <c r="S13" s="354">
        <v>2.29</v>
      </c>
      <c r="T13" s="346"/>
      <c r="U13" s="355"/>
    </row>
    <row r="14" spans="1:21" ht="15" customHeight="1" x14ac:dyDescent="0.2">
      <c r="A14" s="356" t="s">
        <v>210</v>
      </c>
      <c r="B14" s="749"/>
      <c r="C14" s="749"/>
      <c r="D14" s="358"/>
      <c r="E14" s="359"/>
      <c r="F14" s="360"/>
      <c r="G14" s="361"/>
      <c r="H14" s="357"/>
      <c r="I14" s="361"/>
      <c r="O14" s="362" t="s">
        <v>172</v>
      </c>
      <c r="P14" s="363" t="s">
        <v>211</v>
      </c>
      <c r="Q14" s="204"/>
      <c r="R14" s="364">
        <f>B41</f>
        <v>0.7</v>
      </c>
      <c r="S14" s="204"/>
      <c r="T14" s="365">
        <f>S8*S13</f>
        <v>10.991999999999999</v>
      </c>
      <c r="U14" s="366">
        <f>T14*100/R14/100</f>
        <v>15.702857142857143</v>
      </c>
    </row>
    <row r="15" spans="1:21" ht="15" customHeight="1" x14ac:dyDescent="0.2">
      <c r="A15" s="356" t="s">
        <v>212</v>
      </c>
      <c r="B15" s="749"/>
      <c r="C15" s="749"/>
      <c r="D15" s="358"/>
      <c r="E15" s="359"/>
      <c r="F15" s="360"/>
      <c r="G15" s="361"/>
      <c r="H15" s="357"/>
      <c r="I15" s="361"/>
      <c r="O15" s="367" t="s">
        <v>201</v>
      </c>
      <c r="P15" s="363" t="s">
        <v>211</v>
      </c>
      <c r="Q15" s="204"/>
      <c r="R15" s="364">
        <f>B41</f>
        <v>0.7</v>
      </c>
      <c r="S15" s="204"/>
      <c r="T15" s="365">
        <f>S9*S13</f>
        <v>4.1219999999999999</v>
      </c>
      <c r="U15" s="366">
        <f>T15*100/R15/100</f>
        <v>5.8885714285714288</v>
      </c>
    </row>
    <row r="16" spans="1:21" ht="15" customHeight="1" x14ac:dyDescent="0.2">
      <c r="A16" s="356" t="s">
        <v>213</v>
      </c>
      <c r="B16" s="750"/>
      <c r="C16" s="750"/>
      <c r="D16" s="358"/>
      <c r="E16" s="359"/>
      <c r="F16" s="360"/>
      <c r="G16" s="361"/>
      <c r="H16" s="357"/>
      <c r="I16" s="361"/>
      <c r="K16" s="368">
        <f>IF($B$3=1,L8,L9)</f>
        <v>14</v>
      </c>
      <c r="L16" s="369">
        <f>IF($B$3=1,U14,U15)</f>
        <v>5.8885714285714288</v>
      </c>
      <c r="M16" s="369">
        <f>IF($B$3=1,U18,U19)</f>
        <v>3.4666666666666668</v>
      </c>
      <c r="N16" s="343">
        <f>IF($B$3=1,O8,O9)</f>
        <v>0.8</v>
      </c>
      <c r="O16" s="353"/>
      <c r="P16" s="346" t="s">
        <v>214</v>
      </c>
      <c r="Q16" s="346"/>
      <c r="R16" s="346"/>
      <c r="S16" s="346"/>
      <c r="T16" s="370"/>
      <c r="U16" s="371"/>
    </row>
    <row r="17" spans="1:21" ht="15" customHeight="1" x14ac:dyDescent="0.2">
      <c r="A17" s="356" t="s">
        <v>215</v>
      </c>
      <c r="B17" s="749"/>
      <c r="C17" s="749"/>
      <c r="D17" s="358"/>
      <c r="E17" s="359"/>
      <c r="F17" s="360"/>
      <c r="G17" s="361"/>
      <c r="H17" s="357"/>
      <c r="I17" s="361"/>
      <c r="O17" s="72"/>
      <c r="P17" s="353" t="s">
        <v>216</v>
      </c>
      <c r="Q17" s="346"/>
      <c r="R17" s="346"/>
      <c r="S17" s="354">
        <v>1.2</v>
      </c>
      <c r="T17" s="372"/>
      <c r="U17" s="373"/>
    </row>
    <row r="18" spans="1:21" ht="15" customHeight="1" x14ac:dyDescent="0.2">
      <c r="A18" s="356" t="s">
        <v>217</v>
      </c>
      <c r="B18" s="749"/>
      <c r="C18" s="749"/>
      <c r="D18" s="358"/>
      <c r="E18" s="359"/>
      <c r="F18" s="360"/>
      <c r="G18" s="361"/>
      <c r="H18" s="357"/>
      <c r="I18" s="361"/>
      <c r="K18" s="10">
        <f>D14*E14/100</f>
        <v>0</v>
      </c>
      <c r="O18" s="362" t="s">
        <v>172</v>
      </c>
      <c r="P18" s="363" t="s">
        <v>218</v>
      </c>
      <c r="Q18" s="204"/>
      <c r="R18" s="364">
        <v>0.9</v>
      </c>
      <c r="S18" s="204"/>
      <c r="T18" s="365">
        <f>T8*S17</f>
        <v>21.599999999999998</v>
      </c>
      <c r="U18" s="366">
        <f>T18*100/R18/100</f>
        <v>24</v>
      </c>
    </row>
    <row r="19" spans="1:21" ht="14.45" customHeight="1" x14ac:dyDescent="0.2">
      <c r="A19" s="751" t="s">
        <v>219</v>
      </c>
      <c r="B19" s="751"/>
      <c r="C19" s="751"/>
      <c r="D19" s="751"/>
      <c r="E19" s="752">
        <f>N32</f>
        <v>0</v>
      </c>
      <c r="F19" s="752"/>
      <c r="G19" s="374"/>
      <c r="H19" s="375"/>
      <c r="I19" s="376"/>
      <c r="O19" s="367" t="s">
        <v>201</v>
      </c>
      <c r="P19" s="363" t="s">
        <v>218</v>
      </c>
      <c r="Q19" s="204"/>
      <c r="R19" s="364">
        <v>0.9</v>
      </c>
      <c r="S19" s="204"/>
      <c r="T19" s="365">
        <f>T9*S17</f>
        <v>3.12</v>
      </c>
      <c r="U19" s="366">
        <f>T19*100/R19/100</f>
        <v>3.4666666666666668</v>
      </c>
    </row>
    <row r="20" spans="1:21" ht="2.85" customHeight="1" x14ac:dyDescent="0.2">
      <c r="A20" s="377"/>
      <c r="B20" s="238"/>
      <c r="C20" s="238"/>
      <c r="D20" s="238"/>
      <c r="E20" s="378"/>
      <c r="F20" s="238"/>
      <c r="G20" s="238"/>
      <c r="H20" s="238"/>
      <c r="I20" s="379"/>
      <c r="O20"/>
      <c r="P20"/>
      <c r="Q20"/>
      <c r="R20"/>
      <c r="S20"/>
      <c r="T20"/>
      <c r="U20"/>
    </row>
    <row r="21" spans="1:21" ht="17.100000000000001" customHeight="1" x14ac:dyDescent="0.25">
      <c r="A21" s="742" t="s">
        <v>220</v>
      </c>
      <c r="B21" s="742"/>
      <c r="C21" s="742"/>
      <c r="D21" s="742"/>
      <c r="E21" s="742"/>
      <c r="F21" s="742"/>
      <c r="G21" s="742"/>
      <c r="H21" s="742"/>
      <c r="I21" s="742"/>
      <c r="O21"/>
      <c r="P21"/>
      <c r="Q21"/>
      <c r="R21"/>
      <c r="S21"/>
      <c r="T21"/>
      <c r="U21"/>
    </row>
    <row r="22" spans="1:21" ht="14.85" customHeight="1" x14ac:dyDescent="0.2">
      <c r="A22" s="380"/>
      <c r="B22" s="381"/>
      <c r="C22" s="382"/>
      <c r="D22" s="724" t="s">
        <v>221</v>
      </c>
      <c r="E22" s="724"/>
      <c r="F22"/>
      <c r="G22" s="724" t="s">
        <v>222</v>
      </c>
      <c r="H22" s="724"/>
      <c r="I22"/>
      <c r="K22" s="383">
        <f>SUM(K26:K30)</f>
        <v>0</v>
      </c>
      <c r="L22" s="384" t="s">
        <v>222</v>
      </c>
      <c r="M22" s="10">
        <f>K22/2.42</f>
        <v>0</v>
      </c>
    </row>
    <row r="23" spans="1:21" ht="14.85" customHeight="1" x14ac:dyDescent="0.2">
      <c r="A23" s="385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83"/>
      <c r="L23" s="384"/>
    </row>
    <row r="24" spans="1:21" ht="15" customHeight="1" x14ac:dyDescent="0.2">
      <c r="A24" s="385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10" t="str">
        <f>IF(B3=1,"Fonte de Nitrogênio: fixação biológica com a INOCULAÇÃO/CO-INOCULAÇÃO","")</f>
        <v/>
      </c>
      <c r="L24" s="384"/>
    </row>
    <row r="25" spans="1:21" ht="16.5" customHeight="1" x14ac:dyDescent="0.2">
      <c r="A25" s="732" t="s">
        <v>225</v>
      </c>
      <c r="B25" s="732"/>
      <c r="C25" s="732"/>
      <c r="D25" s="733">
        <f>G25*2.42</f>
        <v>0</v>
      </c>
      <c r="E25" s="733"/>
      <c r="F25" s="386"/>
      <c r="G25" s="733">
        <f>G24-G23</f>
        <v>0</v>
      </c>
      <c r="H25" s="733"/>
      <c r="I25" s="386"/>
      <c r="L25" s="384"/>
    </row>
    <row r="26" spans="1:21" ht="15" customHeight="1" x14ac:dyDescent="0.2">
      <c r="A26" s="387" t="s">
        <v>226</v>
      </c>
      <c r="B26" s="388"/>
      <c r="C26" s="389"/>
      <c r="D26" s="740" t="s">
        <v>221</v>
      </c>
      <c r="E26" s="740"/>
      <c r="F26"/>
      <c r="G26" s="740" t="s">
        <v>222</v>
      </c>
      <c r="H26" s="740"/>
      <c r="I26"/>
      <c r="K26" s="390">
        <f>D14*F14/100</f>
        <v>0</v>
      </c>
      <c r="M26" s="85">
        <f>D14/1000</f>
        <v>0</v>
      </c>
      <c r="N26" s="391">
        <f>M26*E14</f>
        <v>0</v>
      </c>
      <c r="O26" s="85"/>
    </row>
    <row r="27" spans="1:21" ht="14.85" customHeight="1" x14ac:dyDescent="0.2">
      <c r="A27" s="392" t="s">
        <v>227</v>
      </c>
      <c r="B27" s="393" t="s">
        <v>228</v>
      </c>
      <c r="C27" s="393"/>
      <c r="D27" s="741">
        <f>G27*2.42</f>
        <v>0</v>
      </c>
      <c r="E27" s="741"/>
      <c r="F27"/>
      <c r="G27" s="725">
        <f>K26</f>
        <v>0</v>
      </c>
      <c r="H27" s="725"/>
      <c r="I27"/>
      <c r="K27" s="390">
        <f>D15*F15/100</f>
        <v>0</v>
      </c>
      <c r="M27" s="85">
        <f>D15/1000</f>
        <v>0</v>
      </c>
      <c r="N27" s="391">
        <f>M27*E15</f>
        <v>0</v>
      </c>
      <c r="O27" s="85"/>
    </row>
    <row r="28" spans="1:21" ht="14.85" customHeight="1" x14ac:dyDescent="0.2">
      <c r="A28" s="392" t="s">
        <v>229</v>
      </c>
      <c r="B28" s="393" t="s">
        <v>230</v>
      </c>
      <c r="C28" s="393"/>
      <c r="D28" s="741">
        <f>G28*2.42</f>
        <v>0</v>
      </c>
      <c r="E28" s="741"/>
      <c r="F28"/>
      <c r="G28" s="725">
        <f>K27</f>
        <v>0</v>
      </c>
      <c r="H28" s="725"/>
      <c r="I28"/>
      <c r="K28" s="390">
        <f>D16*F16/100</f>
        <v>0</v>
      </c>
      <c r="M28" s="85">
        <f>D16/1000</f>
        <v>0</v>
      </c>
      <c r="N28" s="391">
        <f>M28*E16</f>
        <v>0</v>
      </c>
      <c r="O28" s="85"/>
    </row>
    <row r="29" spans="1:21" ht="14.85" customHeight="1" x14ac:dyDescent="0.2">
      <c r="A29" s="392" t="s">
        <v>231</v>
      </c>
      <c r="B29" s="393" t="s">
        <v>232</v>
      </c>
      <c r="C29" s="393"/>
      <c r="D29" s="741">
        <f>G29*2.42</f>
        <v>0</v>
      </c>
      <c r="E29" s="741"/>
      <c r="F29"/>
      <c r="G29" s="725">
        <f>K28</f>
        <v>0</v>
      </c>
      <c r="H29" s="725"/>
      <c r="I29"/>
      <c r="K29" s="390">
        <f>D17*F17/100</f>
        <v>0</v>
      </c>
      <c r="M29" s="85">
        <f>D17/1000</f>
        <v>0</v>
      </c>
      <c r="N29" s="391">
        <f>M29*E17</f>
        <v>0</v>
      </c>
      <c r="O29" s="85"/>
    </row>
    <row r="30" spans="1:21" ht="14.85" customHeight="1" x14ac:dyDescent="0.2">
      <c r="A30" s="394" t="str">
        <f>K24</f>
        <v/>
      </c>
      <c r="B30" s="135"/>
      <c r="C30" s="135"/>
      <c r="D30" s="395"/>
      <c r="E30" s="396"/>
      <c r="F30" s="135"/>
      <c r="G30" s="397"/>
      <c r="H30" s="397"/>
      <c r="I30" s="398"/>
      <c r="K30" s="390">
        <f>D18*F18/100</f>
        <v>0</v>
      </c>
      <c r="M30" s="85">
        <f>D18/1000</f>
        <v>0</v>
      </c>
      <c r="N30" s="391">
        <f>M30*E18</f>
        <v>0</v>
      </c>
      <c r="O30" s="85"/>
    </row>
    <row r="31" spans="1:21" ht="5.85" customHeight="1" x14ac:dyDescent="0.2">
      <c r="A31" s="736"/>
      <c r="B31" s="736"/>
      <c r="C31" s="736"/>
      <c r="D31" s="736"/>
      <c r="E31" s="736"/>
      <c r="F31" s="736"/>
      <c r="G31" s="736"/>
      <c r="H31" s="736"/>
      <c r="I31" s="736"/>
      <c r="K31"/>
      <c r="M31" s="85"/>
      <c r="N31" s="399"/>
      <c r="O31" s="85"/>
    </row>
    <row r="32" spans="1:21" ht="17.850000000000001" customHeight="1" x14ac:dyDescent="0.25">
      <c r="A32" s="739" t="s">
        <v>233</v>
      </c>
      <c r="B32" s="739"/>
      <c r="C32" s="739"/>
      <c r="D32" s="739"/>
      <c r="E32" s="739"/>
      <c r="F32" s="739"/>
      <c r="G32" s="739"/>
      <c r="H32" s="739"/>
      <c r="I32" s="739"/>
      <c r="K32"/>
      <c r="M32" s="85"/>
      <c r="N32" s="85">
        <f>SUM(N26:N30)</f>
        <v>0</v>
      </c>
      <c r="O32" s="85"/>
    </row>
    <row r="33" spans="1:13" ht="17.850000000000001" customHeight="1" x14ac:dyDescent="0.25">
      <c r="A33" s="400"/>
      <c r="B33" s="401"/>
      <c r="C33" s="401"/>
      <c r="D33" s="724" t="s">
        <v>221</v>
      </c>
      <c r="E33" s="724"/>
      <c r="F33" s="401"/>
      <c r="G33" s="724" t="s">
        <v>222</v>
      </c>
      <c r="H33" s="724"/>
      <c r="I33" s="402"/>
    </row>
    <row r="34" spans="1:13" ht="12.75" customHeight="1" x14ac:dyDescent="0.2">
      <c r="A34" s="385" t="s">
        <v>223</v>
      </c>
      <c r="B34"/>
      <c r="C34"/>
      <c r="D34" s="728">
        <f>G34*2.42</f>
        <v>0</v>
      </c>
      <c r="E34" s="728"/>
      <c r="F34"/>
      <c r="G34" s="729">
        <f>D9</f>
        <v>0</v>
      </c>
      <c r="H34" s="729"/>
      <c r="I34" s="74"/>
      <c r="K34" s="10">
        <f>SUM(G37:G42)</f>
        <v>0</v>
      </c>
    </row>
    <row r="35" spans="1:13" ht="12.75" customHeight="1" x14ac:dyDescent="0.2">
      <c r="A35" s="385" t="s">
        <v>234</v>
      </c>
      <c r="B35"/>
      <c r="C35"/>
      <c r="D35" s="730">
        <f>G35*2.42</f>
        <v>0</v>
      </c>
      <c r="E35" s="730"/>
      <c r="F35"/>
      <c r="G35" s="731">
        <f>L43</f>
        <v>0</v>
      </c>
      <c r="H35" s="731"/>
      <c r="I35" s="74"/>
    </row>
    <row r="36" spans="1:13" ht="15" customHeight="1" x14ac:dyDescent="0.25">
      <c r="A36" s="732" t="s">
        <v>225</v>
      </c>
      <c r="B36" s="732"/>
      <c r="C36" s="732"/>
      <c r="D36" s="733">
        <f>G36*2.42</f>
        <v>0</v>
      </c>
      <c r="E36" s="733"/>
      <c r="F36" s="403"/>
      <c r="G36" s="733">
        <f>G35-G34</f>
        <v>0</v>
      </c>
      <c r="H36" s="733"/>
      <c r="I36" s="404"/>
    </row>
    <row r="37" spans="1:13" ht="15" customHeight="1" x14ac:dyDescent="0.2">
      <c r="A37" s="405" t="s">
        <v>235</v>
      </c>
      <c r="B37" s="406"/>
      <c r="C37" s="407"/>
      <c r="D37" s="734" t="s">
        <v>221</v>
      </c>
      <c r="E37" s="734"/>
      <c r="F37" s="393"/>
      <c r="G37" s="734" t="s">
        <v>222</v>
      </c>
      <c r="H37" s="734"/>
      <c r="I37" s="238"/>
      <c r="K37" s="408">
        <f>G14*D14/100</f>
        <v>0</v>
      </c>
      <c r="L37" s="408">
        <f>((H15/100)*E15)+((H14/100)*E14)</f>
        <v>0</v>
      </c>
      <c r="M37" s="408">
        <f>((I15/100)*E15)+((I14/100)*E14)</f>
        <v>0</v>
      </c>
    </row>
    <row r="38" spans="1:13" ht="14.85" customHeight="1" x14ac:dyDescent="0.2">
      <c r="A38" s="393" t="s">
        <v>227</v>
      </c>
      <c r="B38" s="393" t="s">
        <v>228</v>
      </c>
      <c r="C38" s="409"/>
      <c r="D38" s="725">
        <f>G38*2.42</f>
        <v>0</v>
      </c>
      <c r="E38" s="725"/>
      <c r="F38" s="409"/>
      <c r="G38" s="725">
        <f>K37</f>
        <v>0</v>
      </c>
      <c r="H38" s="725"/>
      <c r="I38" s="238"/>
      <c r="K38" s="408">
        <f>G15*D15/100</f>
        <v>0</v>
      </c>
      <c r="L38" s="408">
        <f>(H16/100)*E16</f>
        <v>0</v>
      </c>
      <c r="M38" s="408">
        <f>(I16/100)*E16</f>
        <v>0</v>
      </c>
    </row>
    <row r="39" spans="1:13" ht="14.85" customHeight="1" x14ac:dyDescent="0.2">
      <c r="A39" s="393" t="s">
        <v>229</v>
      </c>
      <c r="B39" s="393" t="s">
        <v>230</v>
      </c>
      <c r="C39" s="409"/>
      <c r="D39" s="725">
        <f>G39*2.42</f>
        <v>0</v>
      </c>
      <c r="E39" s="725"/>
      <c r="F39" s="409"/>
      <c r="G39" s="725">
        <f>K38</f>
        <v>0</v>
      </c>
      <c r="H39" s="725"/>
      <c r="I39" s="238"/>
      <c r="K39" s="408">
        <f>G16*D16/100</f>
        <v>0</v>
      </c>
      <c r="L39" s="408">
        <f>(H17/100)*E17+((H18/100)*E18)</f>
        <v>0</v>
      </c>
      <c r="M39" s="408">
        <f>(I17/100)*E17+((I18/100)*E18)</f>
        <v>0</v>
      </c>
    </row>
    <row r="40" spans="1:13" ht="14.85" customHeight="1" x14ac:dyDescent="0.2">
      <c r="A40" s="393" t="s">
        <v>231</v>
      </c>
      <c r="B40" s="393" t="s">
        <v>232</v>
      </c>
      <c r="C40" s="393"/>
      <c r="D40" s="725">
        <f>G40*2.42</f>
        <v>0</v>
      </c>
      <c r="E40" s="725"/>
      <c r="F40" s="393"/>
      <c r="G40" s="725">
        <f>K39</f>
        <v>0</v>
      </c>
      <c r="H40" s="725"/>
      <c r="I40" s="238"/>
      <c r="K40" s="408">
        <f>G17*D17/100</f>
        <v>0</v>
      </c>
      <c r="L40" s="410"/>
      <c r="M40" s="410" t="s">
        <v>236</v>
      </c>
    </row>
    <row r="41" spans="1:13" ht="14.85" customHeight="1" x14ac:dyDescent="0.2">
      <c r="A41" s="411" t="s">
        <v>81</v>
      </c>
      <c r="B41" s="412">
        <v>0.7</v>
      </c>
      <c r="C41" s="135" t="s">
        <v>82</v>
      </c>
      <c r="D41" s="397"/>
      <c r="E41" s="397"/>
      <c r="F41" s="135"/>
      <c r="G41" s="397"/>
      <c r="H41" s="397"/>
      <c r="I41" s="404"/>
      <c r="K41" s="408"/>
      <c r="L41" s="410"/>
      <c r="M41" s="410"/>
    </row>
    <row r="42" spans="1:13" ht="5.85" customHeight="1" x14ac:dyDescent="0.2">
      <c r="A42" s="736"/>
      <c r="B42" s="736"/>
      <c r="C42" s="736"/>
      <c r="D42" s="736"/>
      <c r="E42" s="736"/>
      <c r="F42" s="736"/>
      <c r="G42" s="736"/>
      <c r="H42" s="736"/>
      <c r="I42" s="736"/>
      <c r="K42" s="408">
        <f>G18*D18/100</f>
        <v>0</v>
      </c>
      <c r="L42" s="410"/>
      <c r="M42" s="410"/>
    </row>
    <row r="43" spans="1:13" ht="17.100000000000001" customHeight="1" x14ac:dyDescent="0.25">
      <c r="A43" s="737" t="s">
        <v>237</v>
      </c>
      <c r="B43" s="737"/>
      <c r="C43" s="737"/>
      <c r="D43" s="737"/>
      <c r="E43" s="737"/>
      <c r="F43" s="737"/>
      <c r="G43" s="737"/>
      <c r="H43" s="737"/>
      <c r="I43" s="737"/>
      <c r="K43" s="410">
        <f>SUM(K37:K42)</f>
        <v>0</v>
      </c>
      <c r="L43" s="410">
        <f>K43/2.42</f>
        <v>0</v>
      </c>
      <c r="M43" s="410"/>
    </row>
    <row r="44" spans="1:13" ht="15.75" customHeight="1" x14ac:dyDescent="0.25">
      <c r="A44" s="400"/>
      <c r="B44" s="413"/>
      <c r="C44" s="413"/>
      <c r="D44" s="724" t="s">
        <v>221</v>
      </c>
      <c r="E44" s="724"/>
      <c r="F44" s="401"/>
      <c r="G44" s="724" t="s">
        <v>222</v>
      </c>
      <c r="H44" s="724"/>
      <c r="I44" s="414"/>
    </row>
    <row r="45" spans="1:13" ht="12.75" customHeight="1" x14ac:dyDescent="0.2">
      <c r="A45" s="385" t="s">
        <v>223</v>
      </c>
      <c r="B45"/>
      <c r="C45"/>
      <c r="D45" s="728">
        <f>G45*2.42</f>
        <v>0</v>
      </c>
      <c r="E45" s="728"/>
      <c r="F45" s="238"/>
      <c r="G45" s="729">
        <f>F9</f>
        <v>0</v>
      </c>
      <c r="H45" s="729"/>
      <c r="I45" s="74"/>
    </row>
    <row r="46" spans="1:13" ht="15" customHeight="1" x14ac:dyDescent="0.2">
      <c r="A46" s="385" t="s">
        <v>238</v>
      </c>
      <c r="B46"/>
      <c r="C46"/>
      <c r="D46" s="730">
        <f>G46*2.42</f>
        <v>0</v>
      </c>
      <c r="E46" s="730"/>
      <c r="F46" s="238"/>
      <c r="G46" s="738">
        <f>M51</f>
        <v>0</v>
      </c>
      <c r="H46" s="738"/>
      <c r="I46" s="74"/>
      <c r="K46" s="10">
        <f>SUM(G49:G51)</f>
        <v>0</v>
      </c>
      <c r="L46" s="86">
        <f>D14*H14/100</f>
        <v>0</v>
      </c>
      <c r="M46" s="86"/>
    </row>
    <row r="47" spans="1:13" ht="15.95" customHeight="1" x14ac:dyDescent="0.25">
      <c r="A47" s="732" t="s">
        <v>225</v>
      </c>
      <c r="B47" s="732"/>
      <c r="C47" s="386"/>
      <c r="D47" s="733">
        <f>G47*2.42</f>
        <v>0</v>
      </c>
      <c r="E47" s="733"/>
      <c r="F47" s="403"/>
      <c r="G47" s="733">
        <f>G46-G45</f>
        <v>0</v>
      </c>
      <c r="H47" s="733"/>
      <c r="I47" s="404"/>
      <c r="L47" s="86">
        <f>D15*H15/100</f>
        <v>0</v>
      </c>
      <c r="M47" s="86"/>
    </row>
    <row r="48" spans="1:13" ht="15" customHeight="1" x14ac:dyDescent="0.2">
      <c r="A48" s="405" t="s">
        <v>239</v>
      </c>
      <c r="B48" s="406"/>
      <c r="C48" s="407"/>
      <c r="D48" s="734" t="s">
        <v>221</v>
      </c>
      <c r="E48" s="734"/>
      <c r="F48" s="415"/>
      <c r="G48" s="734" t="s">
        <v>222</v>
      </c>
      <c r="H48" s="734"/>
      <c r="I48" s="238"/>
      <c r="L48" s="86">
        <f>D16*H16/100</f>
        <v>0</v>
      </c>
      <c r="M48" s="86"/>
    </row>
    <row r="49" spans="1:13" ht="14.85" customHeight="1" x14ac:dyDescent="0.2">
      <c r="A49" s="393" t="s">
        <v>227</v>
      </c>
      <c r="B49" s="393" t="s">
        <v>228</v>
      </c>
      <c r="C49" s="409"/>
      <c r="D49" s="725">
        <f>G49*2.42</f>
        <v>0</v>
      </c>
      <c r="E49" s="725"/>
      <c r="F49" s="409"/>
      <c r="G49" s="735">
        <f>L37</f>
        <v>0</v>
      </c>
      <c r="H49" s="735"/>
      <c r="I49" s="238"/>
      <c r="L49" s="86">
        <f>D17*H17/100</f>
        <v>0</v>
      </c>
      <c r="M49" s="86"/>
    </row>
    <row r="50" spans="1:13" ht="14.85" customHeight="1" x14ac:dyDescent="0.2">
      <c r="A50" s="393" t="s">
        <v>229</v>
      </c>
      <c r="B50" s="393" t="s">
        <v>230</v>
      </c>
      <c r="C50" s="409"/>
      <c r="D50" s="725">
        <f>G50*2.42</f>
        <v>0</v>
      </c>
      <c r="E50" s="725"/>
      <c r="F50" s="409"/>
      <c r="G50" s="735">
        <f>L38</f>
        <v>0</v>
      </c>
      <c r="H50" s="735"/>
      <c r="I50" s="238"/>
      <c r="L50" s="86">
        <f>D18*H18/100</f>
        <v>0</v>
      </c>
      <c r="M50" s="86"/>
    </row>
    <row r="51" spans="1:13" ht="14.85" customHeight="1" x14ac:dyDescent="0.2">
      <c r="A51" s="393" t="s">
        <v>231</v>
      </c>
      <c r="B51" s="393" t="s">
        <v>232</v>
      </c>
      <c r="C51" s="393"/>
      <c r="D51" s="725">
        <f>G51*2.42</f>
        <v>0</v>
      </c>
      <c r="E51" s="725"/>
      <c r="F51" s="393"/>
      <c r="G51" s="735">
        <f>L39</f>
        <v>0</v>
      </c>
      <c r="H51" s="735"/>
      <c r="I51" s="238"/>
      <c r="L51" s="86">
        <f>SUM(L46:L50)</f>
        <v>0</v>
      </c>
      <c r="M51" s="86">
        <f>L51/2.42</f>
        <v>0</v>
      </c>
    </row>
    <row r="52" spans="1:13" ht="14.85" customHeight="1" x14ac:dyDescent="0.2">
      <c r="A52" s="416" t="s">
        <v>240</v>
      </c>
      <c r="B52" s="135"/>
      <c r="C52" s="135"/>
      <c r="D52" s="397"/>
      <c r="E52" s="397"/>
      <c r="F52" s="135"/>
      <c r="G52" s="417"/>
      <c r="H52" s="417"/>
      <c r="I52" s="404"/>
      <c r="L52" s="86"/>
      <c r="M52" s="86"/>
    </row>
    <row r="53" spans="1:13" ht="5.85" customHeight="1" x14ac:dyDescent="0.2">
      <c r="A53" s="736"/>
      <c r="B53" s="736"/>
      <c r="C53" s="736"/>
      <c r="D53" s="736"/>
      <c r="E53" s="736"/>
      <c r="F53" s="736"/>
      <c r="G53" s="736"/>
      <c r="H53" s="736"/>
      <c r="I53" s="736"/>
    </row>
    <row r="54" spans="1:13" ht="17.25" customHeight="1" x14ac:dyDescent="0.25">
      <c r="A54" s="727" t="s">
        <v>241</v>
      </c>
      <c r="B54" s="727"/>
      <c r="C54" s="727"/>
      <c r="D54" s="727"/>
      <c r="E54" s="727"/>
      <c r="F54" s="727"/>
      <c r="G54" s="727"/>
      <c r="H54" s="727"/>
      <c r="I54" s="727"/>
    </row>
    <row r="55" spans="1:13" ht="17.25" customHeight="1" x14ac:dyDescent="0.25">
      <c r="A55" s="400"/>
      <c r="B55" s="413"/>
      <c r="C55" s="413"/>
      <c r="D55" s="724" t="s">
        <v>221</v>
      </c>
      <c r="E55" s="724"/>
      <c r="F55" s="401"/>
      <c r="G55" s="724" t="s">
        <v>222</v>
      </c>
      <c r="H55" s="724"/>
      <c r="I55" s="414"/>
    </row>
    <row r="56" spans="1:13" ht="14.85" customHeight="1" x14ac:dyDescent="0.2">
      <c r="A56" s="385" t="s">
        <v>223</v>
      </c>
      <c r="B56"/>
      <c r="C56"/>
      <c r="D56" s="728">
        <f>G56*2.42</f>
        <v>0</v>
      </c>
      <c r="E56" s="728"/>
      <c r="F56" s="238"/>
      <c r="G56" s="729">
        <f>H9</f>
        <v>0</v>
      </c>
      <c r="H56" s="729"/>
      <c r="I56" s="74"/>
      <c r="K56" s="10">
        <f>SUM(G60:G62)</f>
        <v>0</v>
      </c>
      <c r="L56" s="418">
        <f>I14*D14/100</f>
        <v>0</v>
      </c>
      <c r="M56" s="418"/>
    </row>
    <row r="57" spans="1:13" ht="15" customHeight="1" x14ac:dyDescent="0.2">
      <c r="A57" s="385" t="s">
        <v>242</v>
      </c>
      <c r="B57"/>
      <c r="C57"/>
      <c r="D57" s="730">
        <f>G57*2.42</f>
        <v>0</v>
      </c>
      <c r="E57" s="730"/>
      <c r="F57" s="238"/>
      <c r="G57" s="731">
        <f>M61</f>
        <v>0</v>
      </c>
      <c r="H57" s="731"/>
      <c r="I57" s="74"/>
      <c r="L57" s="418">
        <f>I15*D15/100</f>
        <v>0</v>
      </c>
      <c r="M57" s="418"/>
    </row>
    <row r="58" spans="1:13" ht="15.95" customHeight="1" x14ac:dyDescent="0.25">
      <c r="A58" s="732" t="s">
        <v>225</v>
      </c>
      <c r="B58" s="732"/>
      <c r="C58" s="386"/>
      <c r="D58" s="733">
        <f>G58*2.42</f>
        <v>0</v>
      </c>
      <c r="E58" s="733"/>
      <c r="F58" s="403"/>
      <c r="G58" s="733">
        <f>G57-G56</f>
        <v>0</v>
      </c>
      <c r="H58" s="733"/>
      <c r="I58" s="404"/>
      <c r="L58" s="418">
        <f>I16*D16/100</f>
        <v>0</v>
      </c>
      <c r="M58" s="418"/>
    </row>
    <row r="59" spans="1:13" ht="15" customHeight="1" x14ac:dyDescent="0.2">
      <c r="A59" s="387" t="s">
        <v>243</v>
      </c>
      <c r="B59" s="419"/>
      <c r="C59" s="420"/>
      <c r="D59" s="724" t="s">
        <v>221</v>
      </c>
      <c r="E59" s="724"/>
      <c r="F59" s="401"/>
      <c r="G59" s="724" t="s">
        <v>222</v>
      </c>
      <c r="H59" s="724"/>
      <c r="I59" s="355"/>
      <c r="L59" s="418">
        <f>I17*D17/100</f>
        <v>0</v>
      </c>
      <c r="M59" s="418"/>
    </row>
    <row r="60" spans="1:13" ht="14.85" customHeight="1" x14ac:dyDescent="0.2">
      <c r="A60" s="392" t="s">
        <v>227</v>
      </c>
      <c r="B60" s="393" t="s">
        <v>228</v>
      </c>
      <c r="C60" s="409"/>
      <c r="D60" s="725">
        <f>G60*2.42</f>
        <v>0</v>
      </c>
      <c r="E60" s="725"/>
      <c r="F60" s="393"/>
      <c r="G60" s="725">
        <f>M37</f>
        <v>0</v>
      </c>
      <c r="H60" s="725"/>
      <c r="I60" s="74"/>
      <c r="L60" s="418">
        <f>I18*D18/100</f>
        <v>0</v>
      </c>
      <c r="M60" s="418"/>
    </row>
    <row r="61" spans="1:13" ht="14.85" customHeight="1" x14ac:dyDescent="0.2">
      <c r="A61" s="392" t="s">
        <v>229</v>
      </c>
      <c r="B61" s="393" t="s">
        <v>230</v>
      </c>
      <c r="C61" s="409"/>
      <c r="D61" s="725">
        <f>G61*2.42</f>
        <v>0</v>
      </c>
      <c r="E61" s="725"/>
      <c r="F61" s="393"/>
      <c r="G61" s="725">
        <f>M38</f>
        <v>0</v>
      </c>
      <c r="H61" s="725"/>
      <c r="I61" s="74"/>
      <c r="L61" s="418">
        <f>SUM(L56:L60)</f>
        <v>0</v>
      </c>
      <c r="M61" s="418">
        <f>L61/2.42</f>
        <v>0</v>
      </c>
    </row>
    <row r="62" spans="1:13" ht="15" customHeight="1" x14ac:dyDescent="0.2">
      <c r="A62" s="421" t="s">
        <v>231</v>
      </c>
      <c r="B62" s="135" t="s">
        <v>232</v>
      </c>
      <c r="C62" s="135"/>
      <c r="D62" s="726">
        <f>G62*2.42</f>
        <v>0</v>
      </c>
      <c r="E62" s="726"/>
      <c r="F62" s="135"/>
      <c r="G62" s="726">
        <f>M39</f>
        <v>0</v>
      </c>
      <c r="H62" s="726"/>
      <c r="I62" s="404"/>
    </row>
  </sheetData>
  <mergeCells count="103">
    <mergeCell ref="A1:I1"/>
    <mergeCell ref="G4:H4"/>
    <mergeCell ref="A6:I6"/>
    <mergeCell ref="K6:O6"/>
    <mergeCell ref="Q6:U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5535"/>
  <sheetViews>
    <sheetView tabSelected="1" topLeftCell="A40" zoomScale="110" zoomScaleNormal="110" zoomScalePageLayoutView="110" workbookViewId="0">
      <selection activeCell="F51" sqref="F51"/>
    </sheetView>
  </sheetViews>
  <sheetFormatPr defaultColWidth="8.85546875" defaultRowHeight="12.75" zeroHeight="1" x14ac:dyDescent="0.2"/>
  <cols>
    <col min="1" max="12" width="9" customWidth="1"/>
    <col min="13" max="1025" width="1" hidden="1" customWidth="1"/>
  </cols>
  <sheetData>
    <row r="1" spans="1:12" ht="29.25" customHeight="1" x14ac:dyDescent="0.2">
      <c r="A1" s="422"/>
      <c r="B1" s="423" t="str">
        <f>IF('EQUILIBRIO E CORREÇÃO NA CTC'!D52=4,"80 kg/ha","")</f>
        <v/>
      </c>
      <c r="C1" s="424"/>
      <c r="D1" s="424"/>
      <c r="E1" s="768" t="s">
        <v>244</v>
      </c>
      <c r="F1" s="768"/>
      <c r="G1" s="768"/>
      <c r="H1" s="768"/>
      <c r="I1" s="423" t="str">
        <f>IF('EQUILIBRIO E CORREÇÃO NA CTC'!D52=4,"Kg/ha","")</f>
        <v/>
      </c>
      <c r="J1" s="424"/>
      <c r="K1" s="424"/>
      <c r="L1" s="425"/>
    </row>
    <row r="2" spans="1:12" ht="12.75" customHeight="1" x14ac:dyDescent="0.2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8"/>
    </row>
    <row r="3" spans="1:12" ht="15" customHeight="1" x14ac:dyDescent="0.2">
      <c r="A3" s="779" t="s">
        <v>22</v>
      </c>
      <c r="B3" s="779"/>
      <c r="C3" s="786" t="str">
        <f>'EQUILIBRIO E CORREÇÃO NA CTC'!B3</f>
        <v>Matheus Martinhão</v>
      </c>
      <c r="D3" s="786"/>
      <c r="E3" s="786"/>
      <c r="F3" s="786"/>
      <c r="G3" s="786"/>
      <c r="H3" s="786"/>
      <c r="I3" s="617" t="s">
        <v>27</v>
      </c>
      <c r="J3" s="617"/>
      <c r="K3" s="290">
        <f>'EQUILIBRIO E CORREÇÃO NA CTC'!H4</f>
        <v>0</v>
      </c>
      <c r="L3" s="429"/>
    </row>
    <row r="4" spans="1:12" ht="15" customHeight="1" x14ac:dyDescent="0.2">
      <c r="A4" s="779" t="s">
        <v>29</v>
      </c>
      <c r="B4" s="779"/>
      <c r="C4" s="20">
        <f>'EQUILIBRIO E CORREÇÃO NA CTC'!B5</f>
        <v>1</v>
      </c>
      <c r="D4" s="20"/>
      <c r="E4" s="20"/>
      <c r="F4" s="20"/>
      <c r="G4" s="20" t="s">
        <v>245</v>
      </c>
      <c r="H4" s="20"/>
      <c r="I4" s="20"/>
      <c r="J4" s="787">
        <f>'EQUILIBRIO E CORREÇÃO NA CTC'!H5</f>
        <v>4.84</v>
      </c>
      <c r="K4" s="787"/>
      <c r="L4" s="429"/>
    </row>
    <row r="5" spans="1:12" ht="15" customHeight="1" x14ac:dyDescent="0.2">
      <c r="A5" s="39" t="s">
        <v>246</v>
      </c>
      <c r="B5" s="206"/>
      <c r="C5" s="206" t="str">
        <f>'EQUILIBRIO E CORREÇÃO NA CTC'!D6</f>
        <v>Argiloso</v>
      </c>
      <c r="D5" s="206"/>
      <c r="E5" s="206"/>
      <c r="F5" s="430" t="s">
        <v>247</v>
      </c>
      <c r="G5" s="206"/>
      <c r="H5" s="206"/>
      <c r="I5" s="206" t="str">
        <f>'EQUILIBRIO E CORREÇÃO NA CTC'!K6</f>
        <v>Plantio Direto</v>
      </c>
      <c r="J5" s="206"/>
      <c r="K5" s="206"/>
      <c r="L5" s="431"/>
    </row>
    <row r="6" spans="1:12" ht="20.25" customHeight="1" x14ac:dyDescent="0.3">
      <c r="A6" s="782" t="s">
        <v>248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</row>
    <row r="7" spans="1:12" ht="18.75" customHeight="1" x14ac:dyDescent="0.25">
      <c r="A7" s="422"/>
      <c r="B7" s="432" t="s">
        <v>72</v>
      </c>
      <c r="C7" s="424"/>
      <c r="D7" s="424"/>
      <c r="E7" s="433">
        <f>'EQUILIBRIO E CORREÇÃO NA CTC'!D22</f>
        <v>0</v>
      </c>
      <c r="F7" s="432" t="s">
        <v>249</v>
      </c>
      <c r="G7" s="432"/>
      <c r="H7" s="424"/>
      <c r="I7" s="424"/>
      <c r="J7" s="424"/>
      <c r="K7" s="424"/>
      <c r="L7" s="425"/>
    </row>
    <row r="8" spans="1:12" ht="15" customHeight="1" x14ac:dyDescent="0.2">
      <c r="A8" s="434" t="s">
        <v>250</v>
      </c>
      <c r="B8" s="20"/>
      <c r="C8" s="20"/>
      <c r="D8" s="20"/>
      <c r="E8" s="20"/>
      <c r="F8" s="20"/>
      <c r="G8" s="20"/>
      <c r="H8" s="435"/>
      <c r="I8" s="435"/>
      <c r="J8" s="435"/>
      <c r="K8" s="435"/>
      <c r="L8" s="428"/>
    </row>
    <row r="9" spans="1:12" ht="15" customHeight="1" x14ac:dyDescent="0.2">
      <c r="A9" s="22"/>
      <c r="B9" s="20"/>
      <c r="C9" s="20"/>
      <c r="D9" s="20"/>
      <c r="E9" s="20"/>
      <c r="F9" s="20"/>
      <c r="G9" s="20"/>
      <c r="H9" s="435"/>
      <c r="I9" s="435"/>
      <c r="J9" s="435"/>
      <c r="K9" s="435"/>
      <c r="L9" s="436"/>
    </row>
    <row r="10" spans="1:12" ht="18.75" customHeight="1" x14ac:dyDescent="0.25">
      <c r="A10" s="22" t="s">
        <v>251</v>
      </c>
      <c r="B10" s="20"/>
      <c r="C10" s="20"/>
      <c r="D10" s="20"/>
      <c r="E10" s="437">
        <f>'EQUILIBRIO E CORREÇÃO NA CTC'!D22-'EQUILIBRIO E CORREÇÃO NA CTC'!B11</f>
        <v>-8.59</v>
      </c>
      <c r="F10" s="20" t="s">
        <v>249</v>
      </c>
      <c r="G10" s="20"/>
      <c r="H10" s="435"/>
      <c r="I10" s="20"/>
      <c r="J10" s="435"/>
      <c r="K10" s="435"/>
      <c r="L10" s="428"/>
    </row>
    <row r="11" spans="1:12" ht="15.75" customHeight="1" x14ac:dyDescent="0.25">
      <c r="A11" s="426"/>
      <c r="B11" s="20"/>
      <c r="C11" s="438" t="str">
        <f>IF(E10&lt;0.01,"Não necessita correção","")</f>
        <v>Não necessita correção</v>
      </c>
      <c r="D11" s="20"/>
      <c r="E11" s="20"/>
      <c r="F11" s="20"/>
      <c r="G11" s="20"/>
      <c r="H11" s="439" t="str">
        <f>C12</f>
        <v>0,0</v>
      </c>
      <c r="I11" s="20"/>
      <c r="J11" s="435"/>
      <c r="K11" s="435"/>
      <c r="L11" s="428"/>
    </row>
    <row r="12" spans="1:12" ht="18.75" customHeight="1" x14ac:dyDescent="0.25">
      <c r="A12" s="440" t="s">
        <v>252</v>
      </c>
      <c r="B12" s="20"/>
      <c r="C12" s="441" t="str">
        <f>'EQUILIBRIO E CORREÇÃO NA CTC'!Q72</f>
        <v>0,0</v>
      </c>
      <c r="D12" s="20" t="s">
        <v>253</v>
      </c>
      <c r="E12" s="20" t="s">
        <v>254</v>
      </c>
      <c r="F12" s="20"/>
      <c r="G12" s="20"/>
      <c r="H12" s="442">
        <f>'EQUILIBRIO E CORREÇÃO NA CTC'!N72</f>
        <v>0</v>
      </c>
      <c r="I12" s="20" t="s">
        <v>255</v>
      </c>
      <c r="J12" s="435"/>
      <c r="K12" s="435"/>
      <c r="L12" s="428"/>
    </row>
    <row r="13" spans="1:12" ht="15" customHeight="1" x14ac:dyDescent="0.2">
      <c r="A13" s="22"/>
      <c r="B13" s="20"/>
      <c r="C13" s="20"/>
      <c r="D13" s="20"/>
      <c r="E13" s="20"/>
      <c r="F13" s="20"/>
      <c r="G13" s="20"/>
      <c r="H13" s="20"/>
      <c r="I13" s="20"/>
      <c r="J13" s="435"/>
      <c r="K13" s="435"/>
      <c r="L13" s="428"/>
    </row>
    <row r="14" spans="1:12" ht="19.5" customHeight="1" x14ac:dyDescent="0.35">
      <c r="A14" s="440" t="s">
        <v>256</v>
      </c>
      <c r="B14" s="20"/>
      <c r="C14" s="20"/>
      <c r="D14" s="20"/>
      <c r="E14" s="20"/>
      <c r="F14" s="20"/>
      <c r="G14" s="442">
        <f>H12*2.29</f>
        <v>0</v>
      </c>
      <c r="H14" s="442" t="s">
        <v>188</v>
      </c>
      <c r="I14" s="20" t="s">
        <v>257</v>
      </c>
      <c r="J14" s="435"/>
      <c r="K14" s="435"/>
      <c r="L14" s="428"/>
    </row>
    <row r="15" spans="1:12" ht="15.75" customHeight="1" x14ac:dyDescent="0.25">
      <c r="A15" s="443" t="s">
        <v>258</v>
      </c>
      <c r="B15" s="444"/>
      <c r="C15" s="444"/>
      <c r="D15" s="444"/>
      <c r="E15" s="445"/>
      <c r="F15" s="446">
        <f>'EQUILIBRIO E CORREÇÃO NA CTC'!D25</f>
        <v>0.7</v>
      </c>
      <c r="G15" s="20"/>
      <c r="H15" s="20"/>
      <c r="I15" s="20"/>
      <c r="J15" s="435"/>
      <c r="K15" s="435"/>
      <c r="L15" s="428"/>
    </row>
    <row r="16" spans="1:12" ht="19.5" customHeight="1" x14ac:dyDescent="0.35">
      <c r="A16" s="435"/>
      <c r="B16" s="435"/>
      <c r="C16" s="435"/>
      <c r="D16" s="435"/>
      <c r="E16" s="435"/>
      <c r="F16" s="20" t="s">
        <v>259</v>
      </c>
      <c r="G16" s="20"/>
      <c r="H16" s="783">
        <f>G14*100/F15/100</f>
        <v>0</v>
      </c>
      <c r="I16" s="783"/>
      <c r="J16" s="442" t="s">
        <v>188</v>
      </c>
      <c r="K16" s="442" t="s">
        <v>260</v>
      </c>
      <c r="L16" s="429" t="s">
        <v>257</v>
      </c>
    </row>
    <row r="17" spans="1:12" ht="15" customHeight="1" x14ac:dyDescent="0.2">
      <c r="A17" s="22"/>
      <c r="B17" s="435"/>
      <c r="C17" s="435"/>
      <c r="D17" s="435"/>
      <c r="E17" s="447"/>
      <c r="F17" s="435"/>
      <c r="G17" s="784"/>
      <c r="H17" s="784"/>
      <c r="I17" s="442"/>
      <c r="J17" s="442"/>
      <c r="K17" s="20"/>
      <c r="L17" s="428"/>
    </row>
    <row r="18" spans="1:12" ht="15" customHeight="1" x14ac:dyDescent="0.2">
      <c r="A18" s="22"/>
      <c r="B18" s="20"/>
      <c r="C18" s="20"/>
      <c r="D18" s="20"/>
      <c r="E18" s="20"/>
      <c r="F18" s="20"/>
      <c r="G18" s="435"/>
      <c r="H18" s="20"/>
      <c r="I18" s="448"/>
      <c r="J18" s="435"/>
      <c r="K18" s="435"/>
      <c r="L18" s="428"/>
    </row>
    <row r="19" spans="1:12" ht="15.75" customHeight="1" x14ac:dyDescent="0.25">
      <c r="A19" s="22" t="s">
        <v>261</v>
      </c>
      <c r="B19" s="20"/>
      <c r="C19" s="20"/>
      <c r="D19" s="449" t="b">
        <f>'EQUILIBRIO E CORREÇÃO NA CTC'!AL42</f>
        <v>0</v>
      </c>
      <c r="E19" s="435"/>
      <c r="F19" s="435"/>
      <c r="G19" s="435"/>
      <c r="H19" s="20"/>
      <c r="I19" s="448"/>
      <c r="J19" s="435"/>
      <c r="K19" s="435"/>
      <c r="L19" s="428"/>
    </row>
    <row r="20" spans="1:12" ht="19.5" customHeight="1" x14ac:dyDescent="0.35">
      <c r="A20" s="22" t="s">
        <v>262</v>
      </c>
      <c r="B20" s="20"/>
      <c r="C20" s="20"/>
      <c r="D20" s="20"/>
      <c r="E20" s="20"/>
      <c r="F20" s="435"/>
      <c r="G20" s="450" t="str">
        <f>'EQUILIBRIO E CORREÇÃO NA CTC'!AL40</f>
        <v/>
      </c>
      <c r="H20" s="20" t="s">
        <v>105</v>
      </c>
      <c r="I20" s="435"/>
      <c r="J20" s="435"/>
      <c r="K20" s="435"/>
      <c r="L20" s="428"/>
    </row>
    <row r="21" spans="1:12" ht="15" customHeight="1" x14ac:dyDescent="0.2">
      <c r="A21" s="22"/>
      <c r="B21" s="435"/>
      <c r="C21" s="435"/>
      <c r="D21" s="435"/>
      <c r="E21" s="435"/>
      <c r="F21" s="435"/>
      <c r="G21" s="435"/>
      <c r="H21" s="435"/>
      <c r="I21" s="20"/>
      <c r="J21" s="435"/>
      <c r="K21" s="435"/>
      <c r="L21" s="428"/>
    </row>
    <row r="22" spans="1:12" ht="15.75" customHeight="1" x14ac:dyDescent="0.25">
      <c r="A22" s="22" t="s">
        <v>263</v>
      </c>
      <c r="B22" s="670" t="e">
        <f>H16*100/G20</f>
        <v>#VALUE!</v>
      </c>
      <c r="C22" s="670"/>
      <c r="D22" s="449" t="s">
        <v>264</v>
      </c>
      <c r="E22" s="449"/>
      <c r="F22" s="449" t="b">
        <f>'EQUILIBRIO E CORREÇÃO NA CTC'!AL42</f>
        <v>0</v>
      </c>
      <c r="G22" s="20"/>
      <c r="H22" s="449"/>
      <c r="I22" s="20"/>
      <c r="J22" s="435"/>
      <c r="K22" s="435"/>
      <c r="L22" s="428"/>
    </row>
    <row r="23" spans="1:12" ht="15" customHeight="1" x14ac:dyDescent="0.2">
      <c r="A23" s="426"/>
      <c r="B23" s="435"/>
      <c r="C23" s="435"/>
      <c r="D23" s="435"/>
      <c r="E23" s="20" t="s">
        <v>265</v>
      </c>
      <c r="F23" s="435"/>
      <c r="G23" s="435"/>
      <c r="H23" s="435"/>
      <c r="I23" s="435"/>
      <c r="J23" s="435"/>
      <c r="K23" s="435"/>
      <c r="L23" s="428"/>
    </row>
    <row r="24" spans="1:12" ht="15.75" customHeight="1" x14ac:dyDescent="0.25">
      <c r="A24" s="426"/>
      <c r="B24" s="785" t="e">
        <f>B22*2.42</f>
        <v>#VALUE!</v>
      </c>
      <c r="C24" s="785"/>
      <c r="D24" s="451" t="s">
        <v>266</v>
      </c>
      <c r="E24" s="451"/>
      <c r="F24" s="451" t="b">
        <f>'EQUILIBRIO E CORREÇÃO NA CTC'!AL42</f>
        <v>0</v>
      </c>
      <c r="G24" s="435"/>
      <c r="H24" s="451"/>
      <c r="I24" s="20"/>
      <c r="J24" s="435"/>
      <c r="K24" s="435"/>
      <c r="L24" s="428"/>
    </row>
    <row r="25" spans="1:12" ht="12.75" customHeight="1" x14ac:dyDescent="0.2">
      <c r="A25" s="426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28"/>
    </row>
    <row r="26" spans="1:12" ht="15" customHeight="1" x14ac:dyDescent="0.2">
      <c r="A26" s="426"/>
      <c r="B26" s="435"/>
      <c r="C26" s="435"/>
      <c r="D26" s="20"/>
      <c r="E26" s="20"/>
      <c r="F26" s="20"/>
      <c r="G26" s="20"/>
      <c r="H26" s="20"/>
      <c r="I26" s="435"/>
      <c r="J26" s="435"/>
      <c r="K26" s="435"/>
      <c r="L26" s="428"/>
    </row>
    <row r="27" spans="1:12" ht="15.75" customHeight="1" x14ac:dyDescent="0.25">
      <c r="A27" s="426"/>
      <c r="B27" s="435"/>
      <c r="C27" s="435"/>
      <c r="D27" s="452"/>
      <c r="E27" s="435"/>
      <c r="F27" s="20"/>
      <c r="G27" s="20"/>
      <c r="H27" s="20"/>
      <c r="I27" s="435"/>
      <c r="J27" s="435"/>
      <c r="K27" s="435"/>
      <c r="L27" s="428"/>
    </row>
    <row r="28" spans="1:12" ht="15.75" customHeight="1" x14ac:dyDescent="0.25">
      <c r="A28" s="426"/>
      <c r="B28" s="435"/>
      <c r="C28" s="435"/>
      <c r="D28" s="453"/>
      <c r="E28" s="435"/>
      <c r="F28" s="20"/>
      <c r="G28" s="20"/>
      <c r="H28" s="764" t="s">
        <v>267</v>
      </c>
      <c r="I28" s="764"/>
      <c r="J28" s="764"/>
      <c r="K28" s="780" t="str">
        <f>'EQUILIBRIO E CORREÇÃO NA CTC'!AL37</f>
        <v/>
      </c>
      <c r="L28" s="780"/>
    </row>
    <row r="29" spans="1:12" ht="12.75" customHeight="1" x14ac:dyDescent="0.2">
      <c r="A29" s="426"/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28"/>
    </row>
    <row r="30" spans="1:12" ht="15.75" customHeight="1" x14ac:dyDescent="0.25">
      <c r="A30" s="454" t="s">
        <v>268</v>
      </c>
      <c r="B30" s="20"/>
      <c r="C30" s="449"/>
      <c r="D30" s="449"/>
      <c r="E30" s="449"/>
      <c r="G30" s="781" t="e">
        <f>B22*'EQUILIBRIO E CORREÇÃO NA CTC'!H5</f>
        <v>#VALUE!</v>
      </c>
      <c r="H30" s="781"/>
      <c r="I30" s="449" t="s">
        <v>269</v>
      </c>
      <c r="J30" s="449" t="str">
        <f>'EQUILIBRIO E CORREÇÃO NA CTC'!E23</f>
        <v/>
      </c>
      <c r="K30" s="20"/>
      <c r="L30" s="428"/>
    </row>
    <row r="31" spans="1:12" ht="12.75" customHeight="1" x14ac:dyDescent="0.2">
      <c r="A31" s="426"/>
      <c r="B31" s="435"/>
      <c r="C31" s="435"/>
      <c r="D31" s="435"/>
      <c r="E31" s="435"/>
      <c r="G31" s="435"/>
      <c r="H31" s="435"/>
      <c r="I31" s="435"/>
      <c r="J31" s="435"/>
      <c r="K31" s="435"/>
      <c r="L31" s="428"/>
    </row>
    <row r="32" spans="1:12" ht="15.75" customHeight="1" x14ac:dyDescent="0.25">
      <c r="A32" s="426"/>
      <c r="B32" s="435"/>
      <c r="C32" s="435"/>
      <c r="D32" s="435"/>
      <c r="E32" s="435"/>
      <c r="F32" s="435"/>
      <c r="G32" s="435"/>
      <c r="H32" s="764" t="s">
        <v>270</v>
      </c>
      <c r="I32" s="764"/>
      <c r="J32" s="764"/>
      <c r="K32" s="763" t="str">
        <f>'EQUILIBRIO E CORREÇÃO NA CTC'!O71</f>
        <v/>
      </c>
      <c r="L32" s="763"/>
    </row>
    <row r="33" spans="1:12" ht="12.75" customHeight="1" x14ac:dyDescent="0.2">
      <c r="A33" s="426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28"/>
    </row>
    <row r="34" spans="1:12" ht="12.75" customHeight="1" x14ac:dyDescent="0.2">
      <c r="A34" s="426"/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28"/>
    </row>
    <row r="35" spans="1:12" ht="15" customHeight="1" x14ac:dyDescent="0.2">
      <c r="A35" s="156" t="s">
        <v>271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429"/>
    </row>
    <row r="36" spans="1:12" ht="15" customHeight="1" x14ac:dyDescent="0.2">
      <c r="A36" s="156" t="s">
        <v>272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429"/>
    </row>
    <row r="37" spans="1:12" ht="15" customHeight="1" x14ac:dyDescent="0.2">
      <c r="A37" s="76" t="s">
        <v>273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455"/>
    </row>
    <row r="38" spans="1:12" ht="29.25" customHeight="1" x14ac:dyDescent="0.2">
      <c r="A38" s="422"/>
      <c r="B38" s="423" t="str">
        <f>IF('EQUILIBRIO E CORREÇÃO NA CTC'!D98=4,"80 kg/ha","")</f>
        <v/>
      </c>
      <c r="C38" s="424"/>
      <c r="D38" s="424"/>
      <c r="E38" s="768" t="s">
        <v>244</v>
      </c>
      <c r="F38" s="768"/>
      <c r="G38" s="768"/>
      <c r="H38" s="768"/>
      <c r="I38" s="423" t="str">
        <f>IF('EQUILIBRIO E CORREÇÃO NA CTC'!D98=4,"Kg/ha","")</f>
        <v/>
      </c>
      <c r="J38" s="424"/>
      <c r="K38" s="424"/>
      <c r="L38" s="425"/>
    </row>
    <row r="39" spans="1:12" ht="12.75" customHeight="1" x14ac:dyDescent="0.2">
      <c r="A39" s="426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28"/>
    </row>
    <row r="40" spans="1:12" ht="15" customHeight="1" x14ac:dyDescent="0.2">
      <c r="A40" s="779" t="s">
        <v>22</v>
      </c>
      <c r="B40" s="779"/>
      <c r="C40" s="20" t="str">
        <f>'EQUILIBRIO E CORREÇÃO NA CTC'!B3</f>
        <v>Matheus Martinhão</v>
      </c>
      <c r="D40" s="20"/>
      <c r="E40" s="20"/>
      <c r="F40" s="20"/>
      <c r="G40" s="20"/>
      <c r="H40" s="20"/>
      <c r="I40" s="20"/>
      <c r="J40" s="442" t="s">
        <v>27</v>
      </c>
      <c r="K40" s="442">
        <f>K3</f>
        <v>0</v>
      </c>
      <c r="L40" s="429"/>
    </row>
    <row r="41" spans="1:12" ht="15" customHeight="1" x14ac:dyDescent="0.2">
      <c r="A41" s="779" t="s">
        <v>29</v>
      </c>
      <c r="B41" s="779"/>
      <c r="C41" s="442">
        <f>'EQUILIBRIO E CORREÇÃO NA CTC'!B5</f>
        <v>1</v>
      </c>
      <c r="D41" s="20"/>
      <c r="E41" s="20"/>
      <c r="F41" s="20"/>
      <c r="G41" s="20"/>
      <c r="H41" s="20" t="s">
        <v>245</v>
      </c>
      <c r="I41" s="20"/>
      <c r="J41" s="20"/>
      <c r="K41" s="20">
        <f>J4</f>
        <v>4.84</v>
      </c>
      <c r="L41" s="429"/>
    </row>
    <row r="42" spans="1:12" ht="15" customHeight="1" x14ac:dyDescent="0.2">
      <c r="A42" s="22" t="s">
        <v>246</v>
      </c>
      <c r="B42" s="20"/>
      <c r="C42" s="20" t="str">
        <f>C5</f>
        <v>Argiloso</v>
      </c>
      <c r="D42" s="20"/>
      <c r="E42" s="20"/>
      <c r="F42" s="20"/>
      <c r="G42" s="290" t="s">
        <v>247</v>
      </c>
      <c r="H42" s="20"/>
      <c r="I42" s="20"/>
      <c r="J42" s="20" t="str">
        <f>I5</f>
        <v>Plantio Direto</v>
      </c>
      <c r="K42" s="20"/>
      <c r="L42" s="429"/>
    </row>
    <row r="43" spans="1:12" ht="12.75" customHeight="1" x14ac:dyDescent="0.2">
      <c r="A43" s="45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457"/>
    </row>
    <row r="44" spans="1:12" ht="20.25" customHeight="1" x14ac:dyDescent="0.3">
      <c r="A44" s="769" t="s">
        <v>274</v>
      </c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</row>
    <row r="45" spans="1:12" ht="12.75" customHeight="1" x14ac:dyDescent="0.2">
      <c r="A45" s="422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5"/>
    </row>
    <row r="46" spans="1:12" ht="15" customHeight="1" x14ac:dyDescent="0.2">
      <c r="A46" s="440" t="str">
        <f>'EQUILIBRIO E CORREÇÃO NA CTC'!A35</f>
        <v xml:space="preserve">Participação do Potássio na CTC, desejada: </v>
      </c>
      <c r="B46" s="435"/>
      <c r="C46" s="435"/>
      <c r="D46" s="435"/>
      <c r="E46" s="435"/>
      <c r="F46" s="458">
        <f>'EQUILIBRIO E CORREÇÃO NA CTC'!N40</f>
        <v>5</v>
      </c>
      <c r="G46" s="20"/>
      <c r="H46" s="459" t="s">
        <v>275</v>
      </c>
      <c r="I46" s="20"/>
      <c r="J46" s="435"/>
      <c r="K46" s="435"/>
      <c r="L46" s="429"/>
    </row>
    <row r="47" spans="1:12" ht="15" customHeight="1" x14ac:dyDescent="0.2">
      <c r="B47" s="435"/>
      <c r="C47" s="20"/>
      <c r="D47" s="20"/>
      <c r="E47" s="20"/>
      <c r="F47" s="20"/>
      <c r="G47" s="20"/>
      <c r="H47" s="435"/>
      <c r="I47" s="435"/>
      <c r="J47" s="435"/>
      <c r="K47" s="435"/>
      <c r="L47" s="428"/>
    </row>
    <row r="48" spans="1:12" ht="18" customHeight="1" x14ac:dyDescent="0.2">
      <c r="A48" s="22" t="s">
        <v>276</v>
      </c>
      <c r="B48" s="20"/>
      <c r="C48" s="20"/>
      <c r="D48" s="20"/>
      <c r="E48" s="460">
        <f>'EQUILIBRIO E CORREÇÃO NA CTC'!D11</f>
        <v>0.15</v>
      </c>
      <c r="F48" s="20" t="s">
        <v>277</v>
      </c>
      <c r="G48" s="20"/>
      <c r="H48" s="435"/>
      <c r="I48" s="435"/>
      <c r="J48" s="435"/>
      <c r="K48" s="435"/>
      <c r="L48" s="428"/>
    </row>
    <row r="49" spans="1:12" ht="15.75" customHeight="1" x14ac:dyDescent="0.25">
      <c r="A49" s="22" t="s">
        <v>278</v>
      </c>
      <c r="B49" s="20"/>
      <c r="C49" s="20"/>
      <c r="D49" s="20"/>
      <c r="E49" s="461">
        <f>'EQUILIBRIO E CORREÇÃO NA CTC'!F34</f>
        <v>1.1636927851047323</v>
      </c>
      <c r="F49" s="20" t="s">
        <v>105</v>
      </c>
      <c r="G49" s="435"/>
      <c r="H49" s="435"/>
      <c r="I49" s="435"/>
      <c r="J49" s="20"/>
      <c r="K49" s="20"/>
      <c r="L49" s="429"/>
    </row>
    <row r="50" spans="1:12" ht="12.75" customHeight="1" x14ac:dyDescent="0.2">
      <c r="A50" s="426"/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28"/>
    </row>
    <row r="51" spans="1:12" ht="18.75" customHeight="1" x14ac:dyDescent="0.25">
      <c r="A51" s="22" t="s">
        <v>279</v>
      </c>
      <c r="B51" s="20"/>
      <c r="C51" s="20"/>
      <c r="D51" s="20"/>
      <c r="E51" s="442"/>
      <c r="F51" s="462">
        <f>('EQUILIBRIO E CORREÇÃO NA CTC'!D11*'EQUILIBRIO E CORREÇÃO NA CTC'!N40/'EQUILIBRIO E CORREÇÃO NA CTC'!F34)-'EQUILIBRIO E CORREÇÃO NA CTC'!D11</f>
        <v>0.49450000000000005</v>
      </c>
      <c r="G51" s="20" t="s">
        <v>280</v>
      </c>
      <c r="H51" s="20"/>
      <c r="I51" s="435"/>
      <c r="J51" s="435"/>
      <c r="K51" s="435"/>
      <c r="L51" s="428"/>
    </row>
    <row r="52" spans="1:12" ht="15.75" customHeight="1" x14ac:dyDescent="0.25">
      <c r="A52" s="426"/>
      <c r="B52" s="435"/>
      <c r="C52" s="438" t="str">
        <f>IF(F51&lt;0.01,"Não necessita correção",IF('EQUILIBRIO E CORREÇÃO NA CTC'!D11&gt;0.45,"Não necessita de correção. Teor no solo acima de 0,45 cmolc/dm3",""))</f>
        <v/>
      </c>
      <c r="D52" s="435"/>
      <c r="E52" s="435"/>
      <c r="F52" s="435"/>
      <c r="G52" s="435"/>
      <c r="H52" s="435"/>
      <c r="I52" s="435"/>
      <c r="J52" s="435"/>
      <c r="K52" s="435"/>
      <c r="L52" s="428"/>
    </row>
    <row r="53" spans="1:12" ht="12.75" customHeight="1" x14ac:dyDescent="0.2">
      <c r="A53" s="426"/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28"/>
    </row>
    <row r="54" spans="1:12" ht="18" customHeight="1" x14ac:dyDescent="0.2">
      <c r="A54" s="22" t="s">
        <v>281</v>
      </c>
      <c r="B54" s="20"/>
      <c r="C54" s="20"/>
      <c r="D54" s="20"/>
      <c r="E54" s="20"/>
      <c r="F54" s="20"/>
      <c r="G54" s="460">
        <f>'EQUILIBRIO E CORREÇÃO NA CTC'!O78*39.1*10</f>
        <v>193.34950000000003</v>
      </c>
      <c r="H54" s="460"/>
      <c r="I54" s="20" t="s">
        <v>282</v>
      </c>
      <c r="J54" s="435"/>
      <c r="K54" s="435"/>
      <c r="L54" s="428"/>
    </row>
    <row r="55" spans="1:12" ht="12.75" customHeight="1" x14ac:dyDescent="0.2">
      <c r="A55" s="426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28"/>
    </row>
    <row r="56" spans="1:12" ht="15" customHeight="1" x14ac:dyDescent="0.2">
      <c r="A56" s="22" t="s">
        <v>283</v>
      </c>
      <c r="B56" s="20"/>
      <c r="C56" s="20"/>
      <c r="D56" s="20"/>
      <c r="E56" s="20"/>
      <c r="F56" s="719">
        <f>G54*2</f>
        <v>386.69900000000007</v>
      </c>
      <c r="G56" s="719"/>
      <c r="H56" s="20" t="s">
        <v>284</v>
      </c>
      <c r="I56" s="20"/>
      <c r="J56" s="435"/>
      <c r="K56" s="435"/>
      <c r="L56" s="428"/>
    </row>
    <row r="57" spans="1:12" ht="12.75" customHeight="1" x14ac:dyDescent="0.2">
      <c r="A57" s="426"/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28"/>
    </row>
    <row r="58" spans="1:12" ht="19.5" customHeight="1" x14ac:dyDescent="0.35">
      <c r="A58" s="22" t="s">
        <v>285</v>
      </c>
      <c r="B58" s="20"/>
      <c r="C58" s="20"/>
      <c r="D58" s="20"/>
      <c r="E58" s="20"/>
      <c r="F58" s="776">
        <f>F56*1.2</f>
        <v>464.03880000000004</v>
      </c>
      <c r="G58" s="776"/>
      <c r="H58" s="20" t="s">
        <v>286</v>
      </c>
      <c r="I58" s="20"/>
      <c r="J58" s="435"/>
      <c r="K58" s="435"/>
      <c r="L58" s="428"/>
    </row>
    <row r="59" spans="1:12" ht="19.5" customHeight="1" x14ac:dyDescent="0.35">
      <c r="A59" s="443" t="s">
        <v>287</v>
      </c>
      <c r="B59" s="444"/>
      <c r="C59" s="444"/>
      <c r="D59" s="445"/>
      <c r="E59" s="445"/>
      <c r="F59" s="463">
        <v>0.85</v>
      </c>
      <c r="G59" s="464"/>
      <c r="H59" s="20"/>
      <c r="I59" s="777">
        <f>F58*100/F59/100</f>
        <v>545.92800000000011</v>
      </c>
      <c r="J59" s="777"/>
      <c r="K59" s="35" t="s">
        <v>286</v>
      </c>
    </row>
    <row r="60" spans="1:12" ht="15.75" customHeight="1" x14ac:dyDescent="0.25">
      <c r="A60" s="22" t="s">
        <v>288</v>
      </c>
      <c r="B60" s="20"/>
      <c r="C60" s="20"/>
      <c r="D60" s="20"/>
      <c r="E60" s="465">
        <v>1</v>
      </c>
      <c r="F60" s="176" t="str">
        <f>'EQUILIBRIO E CORREÇÃO NA CTC'!E37</f>
        <v/>
      </c>
      <c r="G60" s="20"/>
      <c r="H60" s="20"/>
      <c r="I60" s="435"/>
      <c r="J60" s="435"/>
      <c r="K60" s="435"/>
      <c r="L60" s="428"/>
    </row>
    <row r="61" spans="1:12" ht="12.75" customHeight="1" x14ac:dyDescent="0.2">
      <c r="A61" s="426"/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28"/>
    </row>
    <row r="62" spans="1:12" ht="19.5" customHeight="1" x14ac:dyDescent="0.35">
      <c r="A62" s="22" t="s">
        <v>289</v>
      </c>
      <c r="B62" s="20"/>
      <c r="C62" s="20"/>
      <c r="D62" s="20"/>
      <c r="E62" s="20"/>
      <c r="G62" s="466" t="str">
        <f>'EQUILIBRIO E CORREÇÃO NA CTC'!O75</f>
        <v>0,0</v>
      </c>
      <c r="H62" s="20" t="s">
        <v>105</v>
      </c>
      <c r="I62" s="435"/>
      <c r="J62" s="435"/>
      <c r="K62" s="435"/>
      <c r="L62" s="428"/>
    </row>
    <row r="63" spans="1:12" ht="12.75" customHeight="1" x14ac:dyDescent="0.2">
      <c r="A63" s="426"/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28"/>
    </row>
    <row r="64" spans="1:12" ht="19.5" customHeight="1" x14ac:dyDescent="0.35">
      <c r="A64" s="22" t="s">
        <v>290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28"/>
    </row>
    <row r="65" spans="1:12" ht="12.75" customHeight="1" x14ac:dyDescent="0.2">
      <c r="A65" s="426"/>
      <c r="B65" s="435"/>
      <c r="C65" s="435"/>
      <c r="D65" s="435"/>
      <c r="E65" s="435"/>
      <c r="F65" s="435"/>
      <c r="G65" s="435"/>
      <c r="H65" s="435"/>
      <c r="I65" s="435"/>
      <c r="J65" s="435"/>
      <c r="K65" s="435"/>
      <c r="L65" s="428"/>
    </row>
    <row r="66" spans="1:12" ht="15.75" customHeight="1" x14ac:dyDescent="0.25">
      <c r="A66" s="467" t="s">
        <v>263</v>
      </c>
      <c r="B66" s="442"/>
      <c r="C66" s="605" t="e">
        <f>I59*100/G62</f>
        <v>#DIV/0!</v>
      </c>
      <c r="D66" s="605"/>
      <c r="E66" s="449" t="s">
        <v>78</v>
      </c>
      <c r="F66" s="449"/>
      <c r="G66" s="449" t="str">
        <f>'EQUILIBRIO E CORREÇÃO NA CTC'!O76</f>
        <v/>
      </c>
      <c r="H66" s="449"/>
      <c r="I66" s="468"/>
      <c r="J66" s="435"/>
      <c r="K66" s="435"/>
      <c r="L66" s="428"/>
    </row>
    <row r="67" spans="1:12" ht="15.75" customHeight="1" x14ac:dyDescent="0.25">
      <c r="A67" s="426"/>
      <c r="B67" s="435"/>
      <c r="C67" s="435"/>
      <c r="D67" s="435"/>
      <c r="E67" s="435"/>
      <c r="F67" s="15" t="s">
        <v>291</v>
      </c>
      <c r="G67" s="435"/>
      <c r="H67" s="435"/>
      <c r="I67" s="435"/>
      <c r="J67" s="449"/>
      <c r="K67" s="435"/>
      <c r="L67" s="428"/>
    </row>
    <row r="68" spans="1:12" ht="15.75" customHeight="1" x14ac:dyDescent="0.25">
      <c r="A68" s="426"/>
      <c r="B68" s="442"/>
      <c r="C68" s="605" t="e">
        <f>C66*2.42</f>
        <v>#DIV/0!</v>
      </c>
      <c r="D68" s="605"/>
      <c r="E68" s="449" t="s">
        <v>292</v>
      </c>
      <c r="F68" s="449"/>
      <c r="G68" s="449" t="str">
        <f>'EQUILIBRIO E CORREÇÃO NA CTC'!O76</f>
        <v/>
      </c>
      <c r="H68" s="449"/>
      <c r="I68" s="449"/>
      <c r="J68" s="449"/>
      <c r="K68" s="20"/>
      <c r="L68" s="428"/>
    </row>
    <row r="69" spans="1:12" ht="15" customHeight="1" x14ac:dyDescent="0.2">
      <c r="A69" s="469" t="str">
        <f>'EQUILIBRIO E CORREÇÃO NA CTC'!R78</f>
        <v/>
      </c>
      <c r="B69" s="20"/>
      <c r="C69" s="435"/>
      <c r="D69" s="435"/>
      <c r="E69" s="435"/>
      <c r="F69" s="435"/>
      <c r="G69" s="435"/>
      <c r="H69" s="435"/>
      <c r="I69" s="435"/>
      <c r="J69" s="435"/>
      <c r="K69" s="435"/>
      <c r="L69" s="428"/>
    </row>
    <row r="70" spans="1:12" ht="15.75" customHeight="1" x14ac:dyDescent="0.25">
      <c r="A70" s="426"/>
      <c r="B70" s="435"/>
      <c r="C70" s="435"/>
      <c r="D70" s="435"/>
      <c r="E70" s="435"/>
      <c r="F70" s="435"/>
      <c r="G70" s="435"/>
      <c r="H70" s="778" t="s">
        <v>293</v>
      </c>
      <c r="I70" s="778"/>
      <c r="J70" s="778"/>
      <c r="K70" s="772" t="str">
        <f>'EQUILIBRIO E CORREÇÃO NA CTC'!P78</f>
        <v/>
      </c>
      <c r="L70" s="772"/>
    </row>
    <row r="71" spans="1:12" ht="12.75" customHeight="1" x14ac:dyDescent="0.2">
      <c r="A71" s="426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28"/>
    </row>
    <row r="72" spans="1:12" ht="15.75" customHeight="1" x14ac:dyDescent="0.25">
      <c r="A72" s="454" t="s">
        <v>294</v>
      </c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28"/>
    </row>
    <row r="73" spans="1:12" ht="15.75" customHeight="1" x14ac:dyDescent="0.25">
      <c r="A73" s="426"/>
      <c r="B73" s="435"/>
      <c r="C73" s="435"/>
      <c r="D73" s="435"/>
      <c r="E73" s="605" t="e">
        <f>C66*'EQUILIBRIO E CORREÇÃO NA CTC'!H5</f>
        <v>#DIV/0!</v>
      </c>
      <c r="F73" s="605"/>
      <c r="G73" s="449" t="s">
        <v>269</v>
      </c>
      <c r="H73" s="773" t="str">
        <f>'EQUILIBRIO E CORREÇÃO NA CTC'!E37</f>
        <v/>
      </c>
      <c r="I73" s="773"/>
      <c r="J73" s="773"/>
      <c r="K73" s="773"/>
      <c r="L73" s="773"/>
    </row>
    <row r="74" spans="1:12" ht="12.75" customHeight="1" x14ac:dyDescent="0.2">
      <c r="A74" s="426"/>
      <c r="B74" s="435"/>
      <c r="C74" s="435"/>
      <c r="D74" s="435"/>
      <c r="E74" s="435"/>
      <c r="F74" s="435"/>
      <c r="G74" s="435"/>
      <c r="H74" s="435"/>
      <c r="I74" s="435"/>
      <c r="J74" s="435"/>
      <c r="K74" s="435"/>
      <c r="L74" s="428"/>
    </row>
    <row r="75" spans="1:12" ht="15.75" customHeight="1" x14ac:dyDescent="0.25">
      <c r="A75" s="426"/>
      <c r="B75" s="435"/>
      <c r="C75" s="435"/>
      <c r="D75" s="435"/>
      <c r="E75" s="435"/>
      <c r="F75" s="435"/>
      <c r="G75" s="435"/>
      <c r="H75" s="774" t="s">
        <v>295</v>
      </c>
      <c r="I75" s="774"/>
      <c r="J75" s="774"/>
      <c r="K75" s="775" t="str">
        <f>'EQUILIBRIO E CORREÇÃO NA CTC'!O110</f>
        <v/>
      </c>
      <c r="L75" s="775"/>
    </row>
    <row r="76" spans="1:12" ht="12.75" customHeight="1" x14ac:dyDescent="0.2">
      <c r="A76" s="156" t="s">
        <v>273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28"/>
    </row>
    <row r="77" spans="1:12" ht="15" customHeight="1" x14ac:dyDescent="0.2">
      <c r="A77" s="156" t="s">
        <v>296</v>
      </c>
      <c r="B77" s="20"/>
      <c r="C77" s="20"/>
      <c r="D77" s="20"/>
      <c r="E77" s="20"/>
      <c r="F77" s="20"/>
      <c r="G77" s="20"/>
      <c r="H77" s="20"/>
      <c r="I77" s="20"/>
      <c r="J77" s="435"/>
      <c r="K77" s="435"/>
      <c r="L77" s="428"/>
    </row>
    <row r="78" spans="1:12" ht="15" customHeight="1" x14ac:dyDescent="0.2">
      <c r="A78" s="156" t="s">
        <v>297</v>
      </c>
      <c r="B78" s="20"/>
      <c r="C78" s="435"/>
      <c r="D78" s="435"/>
      <c r="E78" s="435"/>
      <c r="F78" s="435"/>
      <c r="G78" s="435"/>
      <c r="H78" s="20"/>
      <c r="I78" s="20"/>
      <c r="J78" s="20"/>
      <c r="K78" s="20"/>
      <c r="L78" s="429"/>
    </row>
    <row r="79" spans="1:12" ht="12.75" customHeight="1" x14ac:dyDescent="0.2">
      <c r="A79" s="426"/>
      <c r="B79" s="435"/>
      <c r="C79" s="435"/>
      <c r="D79" s="435"/>
      <c r="E79" s="435"/>
      <c r="F79" s="435"/>
      <c r="G79" s="435"/>
      <c r="H79" s="435"/>
      <c r="I79" s="435"/>
      <c r="J79" s="435"/>
      <c r="K79" s="435"/>
      <c r="L79" s="428"/>
    </row>
    <row r="80" spans="1:12" ht="12.75" customHeight="1" x14ac:dyDescent="0.2">
      <c r="A80" s="456" t="str">
        <f>'EQUILIBRIO E CORREÇÃO NA CTC'!M146</f>
        <v/>
      </c>
      <c r="B80" s="133"/>
      <c r="C80" s="133"/>
      <c r="D80" s="133"/>
      <c r="E80" s="133"/>
      <c r="F80" s="133"/>
      <c r="G80" s="470" t="e">
        <f>'EQUILIBRIO E CORREÇÃO NA CTC'!M149</f>
        <v>#DIV/0!</v>
      </c>
      <c r="H80" s="133" t="str">
        <f>'EQUILIBRIO E CORREÇÃO NA CTC'!M145</f>
        <v/>
      </c>
      <c r="I80" s="133"/>
      <c r="J80" s="133"/>
      <c r="K80" s="133"/>
      <c r="L80" s="457"/>
    </row>
    <row r="81" spans="1:12" ht="12.75" customHeight="1" x14ac:dyDescent="0.2">
      <c r="A81" s="422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</row>
    <row r="82" spans="1:12" ht="29.25" customHeight="1" x14ac:dyDescent="0.2">
      <c r="A82" s="426"/>
      <c r="B82" s="471" t="str">
        <f>IF('EQUILIBRIO E CORREÇÃO NA CTC'!D144=4,"80 kg/ha","")</f>
        <v/>
      </c>
      <c r="C82" s="435"/>
      <c r="D82" s="435"/>
      <c r="E82" s="768" t="s">
        <v>244</v>
      </c>
      <c r="F82" s="768"/>
      <c r="G82" s="768"/>
      <c r="H82" s="768"/>
      <c r="I82" s="472" t="str">
        <f>IF('EQUILIBRIO E CORREÇÃO NA CTC'!D144=4,"Kg/ha","")</f>
        <v/>
      </c>
      <c r="J82" s="435"/>
      <c r="K82" s="435"/>
      <c r="L82" s="428"/>
    </row>
    <row r="83" spans="1:12" ht="12.75" customHeight="1" x14ac:dyDescent="0.2">
      <c r="A83" s="426"/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28"/>
    </row>
    <row r="84" spans="1:12" ht="15" customHeight="1" x14ac:dyDescent="0.2">
      <c r="A84" s="467" t="s">
        <v>22</v>
      </c>
      <c r="B84" s="20"/>
      <c r="C84" s="20" t="str">
        <f>C40</f>
        <v>Matheus Martinhão</v>
      </c>
      <c r="D84" s="20"/>
      <c r="E84" s="20"/>
      <c r="F84" s="20"/>
      <c r="G84" s="20"/>
      <c r="H84" s="20"/>
      <c r="I84" s="442" t="s">
        <v>27</v>
      </c>
      <c r="J84" s="20">
        <f>K40</f>
        <v>0</v>
      </c>
      <c r="K84" s="20"/>
      <c r="L84" s="428"/>
    </row>
    <row r="85" spans="1:12" ht="15" customHeight="1" x14ac:dyDescent="0.2">
      <c r="A85" s="467" t="s">
        <v>29</v>
      </c>
      <c r="B85" s="20"/>
      <c r="C85" s="442">
        <f>C41</f>
        <v>1</v>
      </c>
      <c r="D85" s="20"/>
      <c r="E85" s="20"/>
      <c r="F85" s="20"/>
      <c r="G85" s="20"/>
      <c r="H85" s="20" t="s">
        <v>245</v>
      </c>
      <c r="I85" s="20"/>
      <c r="J85" s="20"/>
      <c r="K85" s="20">
        <f>K41</f>
        <v>4.84</v>
      </c>
      <c r="L85" s="428"/>
    </row>
    <row r="86" spans="1:12" ht="15" customHeight="1" x14ac:dyDescent="0.2">
      <c r="A86" s="22" t="s">
        <v>246</v>
      </c>
      <c r="B86" s="20"/>
      <c r="C86" s="20" t="str">
        <f>C5</f>
        <v>Argiloso</v>
      </c>
      <c r="D86" s="20"/>
      <c r="E86" s="20"/>
      <c r="F86" s="20"/>
      <c r="G86" s="290" t="s">
        <v>247</v>
      </c>
      <c r="H86" s="20"/>
      <c r="I86" s="20"/>
      <c r="J86" s="20" t="str">
        <f>J42</f>
        <v>Plantio Direto</v>
      </c>
      <c r="K86" s="20"/>
      <c r="L86" s="428"/>
    </row>
    <row r="87" spans="1:12" ht="12.75" customHeight="1" x14ac:dyDescent="0.2">
      <c r="A87" s="456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457"/>
    </row>
    <row r="88" spans="1:12" ht="12.75" customHeight="1" x14ac:dyDescent="0.2">
      <c r="A88" s="456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457"/>
    </row>
    <row r="89" spans="1:12" ht="20.25" customHeight="1" x14ac:dyDescent="0.3">
      <c r="A89" s="769" t="s">
        <v>298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</row>
    <row r="90" spans="1:12" ht="12.75" customHeight="1" x14ac:dyDescent="0.2">
      <c r="A90" s="422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73"/>
    </row>
    <row r="91" spans="1:12" ht="15" customHeight="1" x14ac:dyDescent="0.2">
      <c r="A91" s="426" t="str">
        <f>'EQUILIBRIO E CORREÇÃO NA CTC'!A51</f>
        <v>% de participação do CÁLCIO na CTC, desejada:</v>
      </c>
      <c r="B91" s="435"/>
      <c r="C91" s="435"/>
      <c r="D91" s="435"/>
      <c r="E91" s="435"/>
      <c r="F91" s="474">
        <f>'EQUILIBRIO E CORREÇÃO NA CTC'!E51</f>
        <v>0</v>
      </c>
      <c r="G91" s="475">
        <f>'EQUILIBRIO E CORREÇÃO NA CTC'!E51</f>
        <v>0</v>
      </c>
      <c r="H91" s="435"/>
      <c r="I91" s="435"/>
      <c r="J91" s="435"/>
      <c r="K91" s="20"/>
      <c r="L91" s="476"/>
    </row>
    <row r="92" spans="1:12" ht="15" customHeight="1" x14ac:dyDescent="0.2">
      <c r="A92" s="426"/>
      <c r="B92" s="35"/>
      <c r="C92" s="35"/>
      <c r="D92" s="435"/>
      <c r="E92" s="435"/>
      <c r="F92" s="435"/>
      <c r="G92" s="477" t="s">
        <v>299</v>
      </c>
      <c r="H92" s="478"/>
      <c r="I92" s="478"/>
      <c r="J92" s="435"/>
      <c r="K92" s="479" t="str">
        <f>'EQUILIBRIO E CORREÇÃO NA CTC'!E49</f>
        <v>45 a 55</v>
      </c>
      <c r="L92" s="476"/>
    </row>
    <row r="93" spans="1:12" ht="20.25" customHeight="1" x14ac:dyDescent="0.35">
      <c r="A93" s="22" t="s">
        <v>300</v>
      </c>
      <c r="B93" s="35"/>
      <c r="C93" s="35"/>
      <c r="D93" s="21">
        <f>'EQUILIBRIO E CORREÇÃO NA CTC'!F11</f>
        <v>5.76</v>
      </c>
      <c r="E93" s="35" t="s">
        <v>301</v>
      </c>
      <c r="F93" s="435"/>
      <c r="G93" s="480" t="s">
        <v>302</v>
      </c>
      <c r="H93" s="478"/>
      <c r="I93" s="478"/>
      <c r="K93" s="479" t="str">
        <f>'EQUILIBRIO E CORREÇÃO NA CTC'!K49</f>
        <v>10 a 15</v>
      </c>
      <c r="L93" s="428"/>
    </row>
    <row r="94" spans="1:12" ht="15" customHeight="1" x14ac:dyDescent="0.2">
      <c r="A94" s="22"/>
      <c r="B94" s="35"/>
      <c r="C94" s="20"/>
      <c r="D94" s="234" t="s">
        <v>303</v>
      </c>
      <c r="E94" s="20"/>
      <c r="F94" s="15">
        <f>'EQUILIBRIO E CORREÇÃO NA CTC'!E48</f>
        <v>44.685802948021717</v>
      </c>
      <c r="G94" s="20"/>
      <c r="H94" s="20"/>
      <c r="I94" s="15"/>
      <c r="J94" s="435"/>
      <c r="K94" s="435"/>
      <c r="L94" s="428"/>
    </row>
    <row r="95" spans="1:12" ht="15" customHeight="1" x14ac:dyDescent="0.2">
      <c r="A95" s="22"/>
      <c r="B95" s="35"/>
      <c r="C95" s="20"/>
      <c r="D95" s="35"/>
      <c r="E95" s="35"/>
      <c r="F95" s="20"/>
      <c r="G95" s="20"/>
      <c r="H95" s="20"/>
      <c r="I95" s="15"/>
      <c r="J95" s="435"/>
      <c r="K95" s="435"/>
      <c r="L95" s="428"/>
    </row>
    <row r="96" spans="1:12" ht="20.25" customHeight="1" x14ac:dyDescent="0.35">
      <c r="A96" s="22"/>
      <c r="B96" s="35" t="s">
        <v>304</v>
      </c>
      <c r="C96" s="20"/>
      <c r="D96" s="35"/>
      <c r="E96" s="35"/>
      <c r="F96" s="481" t="e">
        <f>('EQUILIBRIO E CORREÇÃO NA CTC'!F11*'EQUILIBRIO E CORREÇÃO NA CTC'!E51/'EQUILIBRIO E CORREÇÃO NA CTC'!E48)-'EQUILIBRIO E CORREÇÃO NA CTC'!F11-I105</f>
        <v>#VALUE!</v>
      </c>
      <c r="G96" s="35" t="s">
        <v>305</v>
      </c>
      <c r="H96" s="20"/>
      <c r="I96" s="123"/>
      <c r="J96" s="435"/>
      <c r="K96" s="435"/>
      <c r="L96" s="428"/>
    </row>
    <row r="97" spans="1:12" ht="15.75" customHeight="1" x14ac:dyDescent="0.25">
      <c r="A97" s="22"/>
      <c r="B97" s="20"/>
      <c r="C97" s="20"/>
      <c r="D97" s="482" t="e">
        <f>IF(F96&lt;0.01,"Não necessita correção","")</f>
        <v>#VALUE!</v>
      </c>
      <c r="E97" s="435"/>
      <c r="F97" s="35"/>
      <c r="G97" s="35"/>
      <c r="H97" s="20"/>
      <c r="I97" s="427"/>
      <c r="J97" s="435"/>
      <c r="K97" s="435"/>
      <c r="L97" s="428"/>
    </row>
    <row r="98" spans="1:12" ht="15.75" customHeight="1" x14ac:dyDescent="0.25">
      <c r="A98" s="483"/>
      <c r="B98" s="35"/>
      <c r="C98" s="20"/>
      <c r="D98" s="35"/>
      <c r="E98" s="35"/>
      <c r="F98" s="35"/>
      <c r="G98" s="35"/>
      <c r="H98" s="20"/>
      <c r="I98" s="123"/>
      <c r="J98" s="435"/>
      <c r="K98" s="435"/>
      <c r="L98" s="428"/>
    </row>
    <row r="99" spans="1:12" ht="15" customHeight="1" x14ac:dyDescent="0.2">
      <c r="A99" s="22" t="s">
        <v>306</v>
      </c>
      <c r="B99" s="35"/>
      <c r="C99" s="35"/>
      <c r="D99" s="435"/>
      <c r="E99" s="468" t="str">
        <f>'EQUILIBRIO E CORREÇÃO NA CTC'!E52</f>
        <v/>
      </c>
      <c r="F99" s="435"/>
      <c r="G99" s="35"/>
      <c r="H99" s="20"/>
      <c r="I99" s="484"/>
      <c r="J99" s="427"/>
      <c r="K99" s="427"/>
      <c r="L99" s="428"/>
    </row>
    <row r="100" spans="1:12" ht="15.75" customHeight="1" x14ac:dyDescent="0.25">
      <c r="A100" s="22"/>
      <c r="B100" s="485"/>
      <c r="C100" s="485"/>
      <c r="D100" s="485"/>
      <c r="E100" s="485"/>
      <c r="F100" s="485"/>
      <c r="G100" s="486"/>
      <c r="H100" s="486"/>
      <c r="I100" s="484"/>
      <c r="J100" s="486"/>
      <c r="K100" s="486"/>
      <c r="L100" s="487"/>
    </row>
    <row r="101" spans="1:12" ht="15" customHeight="1" x14ac:dyDescent="0.2">
      <c r="A101" s="641" t="s">
        <v>307</v>
      </c>
      <c r="B101" s="641"/>
      <c r="C101" s="641"/>
      <c r="D101" s="641"/>
      <c r="E101" s="442" t="str">
        <f>G102</f>
        <v/>
      </c>
      <c r="F101" s="435"/>
      <c r="G101" s="488">
        <f>'EQUILIBRIO E CORREÇÃO NA CTC'!D54</f>
        <v>0</v>
      </c>
      <c r="H101" s="486"/>
      <c r="I101" s="18"/>
      <c r="J101" s="459"/>
      <c r="K101" s="459"/>
      <c r="L101" s="236"/>
    </row>
    <row r="102" spans="1:12" ht="15" customHeight="1" x14ac:dyDescent="0.2">
      <c r="A102" s="489" t="str">
        <f>'EQUILIBRIO E CORREÇÃO NA CTC'!O104</f>
        <v/>
      </c>
      <c r="B102" s="35"/>
      <c r="C102" s="35"/>
      <c r="D102" s="35"/>
      <c r="E102" s="21" t="str">
        <f>'EQUILIBRIO E CORREÇÃO NA CTC'!O103</f>
        <v>0</v>
      </c>
      <c r="F102" s="435"/>
      <c r="G102" s="490" t="str">
        <f>IF(G101&gt;0.01,G101,J102)</f>
        <v/>
      </c>
      <c r="H102" s="20"/>
      <c r="I102" s="194" t="s">
        <v>308</v>
      </c>
      <c r="J102" s="491" t="str">
        <f>'EQUILIBRIO E CORREÇÃO NA CTC'!O102</f>
        <v/>
      </c>
      <c r="K102" s="194"/>
      <c r="L102" s="492"/>
    </row>
    <row r="103" spans="1:12" ht="15.75" customHeight="1" x14ac:dyDescent="0.25">
      <c r="A103" s="22"/>
      <c r="B103" s="20"/>
      <c r="C103" s="20"/>
      <c r="D103" s="20"/>
      <c r="E103" s="20"/>
      <c r="F103" s="20"/>
      <c r="G103" s="20"/>
      <c r="H103" s="20"/>
      <c r="I103" s="493">
        <v>6</v>
      </c>
      <c r="J103" s="494" t="s">
        <v>309</v>
      </c>
      <c r="K103" s="494"/>
      <c r="L103" s="495">
        <v>0</v>
      </c>
    </row>
    <row r="104" spans="1:12" ht="15.75" customHeight="1" x14ac:dyDescent="0.25">
      <c r="A104" s="496" t="s">
        <v>310</v>
      </c>
      <c r="B104" s="20"/>
      <c r="C104" s="20"/>
      <c r="D104" s="20"/>
      <c r="E104" s="20"/>
      <c r="F104" s="20"/>
      <c r="G104" s="20"/>
      <c r="H104" s="20"/>
      <c r="I104" s="493">
        <v>7</v>
      </c>
      <c r="J104" s="494" t="s">
        <v>311</v>
      </c>
      <c r="K104" s="494"/>
      <c r="L104" s="495">
        <v>0</v>
      </c>
    </row>
    <row r="105" spans="1:12" ht="20.25" customHeight="1" x14ac:dyDescent="0.35">
      <c r="A105" s="770" t="str">
        <f>'EQUILIBRIO E CORREÇÃO NA CTC'!AM40</f>
        <v/>
      </c>
      <c r="B105" s="770"/>
      <c r="C105" s="451" t="s">
        <v>312</v>
      </c>
      <c r="D105" s="435"/>
      <c r="E105" s="497" t="s">
        <v>313</v>
      </c>
      <c r="F105" s="498"/>
      <c r="G105" s="499"/>
      <c r="H105" s="451"/>
      <c r="I105" s="498" t="e">
        <f>'EQUILIBRIO E CORREÇÃO NA CTC'!P129*A105/1000</f>
        <v>#VALUE!</v>
      </c>
      <c r="J105" s="498"/>
      <c r="K105" s="451" t="s">
        <v>314</v>
      </c>
      <c r="L105" s="428"/>
    </row>
    <row r="106" spans="1:12" ht="15" customHeight="1" x14ac:dyDescent="0.2">
      <c r="A106" s="426"/>
      <c r="B106" s="20"/>
      <c r="C106" s="20"/>
      <c r="D106" s="20"/>
      <c r="E106" s="20"/>
      <c r="F106" s="500"/>
      <c r="G106" s="20"/>
      <c r="H106" s="435"/>
      <c r="I106" s="435"/>
      <c r="J106" s="435"/>
      <c r="K106" s="435"/>
      <c r="L106" s="428"/>
    </row>
    <row r="107" spans="1:12" ht="20.25" customHeight="1" x14ac:dyDescent="0.35">
      <c r="A107" s="22" t="s">
        <v>315</v>
      </c>
      <c r="B107" s="35"/>
      <c r="C107" s="35"/>
      <c r="D107" s="35"/>
      <c r="E107" s="20"/>
      <c r="F107" s="20"/>
      <c r="G107" s="20"/>
      <c r="H107" s="20"/>
      <c r="I107" s="771" t="e">
        <f>E101*0.01783</f>
        <v>#VALUE!</v>
      </c>
      <c r="J107" s="771"/>
      <c r="K107" s="20" t="s">
        <v>316</v>
      </c>
      <c r="L107" s="429"/>
    </row>
    <row r="108" spans="1:12" ht="15" customHeight="1" x14ac:dyDescent="0.2">
      <c r="A108" s="426"/>
      <c r="B108" s="35"/>
      <c r="C108" s="35"/>
      <c r="D108" s="35"/>
      <c r="E108" s="35"/>
      <c r="F108" s="20"/>
      <c r="G108" s="20"/>
      <c r="H108" s="435"/>
      <c r="I108" s="435"/>
      <c r="J108" s="435"/>
      <c r="K108" s="20"/>
      <c r="L108" s="429"/>
    </row>
    <row r="109" spans="1:12" ht="20.25" customHeight="1" x14ac:dyDescent="0.35">
      <c r="A109" s="22" t="s">
        <v>317</v>
      </c>
      <c r="B109" s="20"/>
      <c r="C109" s="20"/>
      <c r="D109" s="20"/>
      <c r="E109" s="20"/>
      <c r="F109" s="20"/>
      <c r="G109" s="501" t="e">
        <f>I107+I105</f>
        <v>#VALUE!</v>
      </c>
      <c r="H109" s="501"/>
      <c r="I109" s="20" t="s">
        <v>316</v>
      </c>
      <c r="J109" s="20"/>
      <c r="K109" s="20"/>
      <c r="L109" s="502"/>
    </row>
    <row r="110" spans="1:12" ht="15" customHeight="1" x14ac:dyDescent="0.2">
      <c r="A110" s="426"/>
      <c r="B110" s="20"/>
      <c r="C110" s="20"/>
      <c r="D110" s="20"/>
      <c r="E110" s="20"/>
      <c r="F110" s="435"/>
      <c r="G110" s="435"/>
      <c r="H110" s="435"/>
      <c r="I110" s="20"/>
      <c r="J110" s="20"/>
      <c r="K110" s="20"/>
      <c r="L110" s="429"/>
    </row>
    <row r="111" spans="1:12" ht="20.25" customHeight="1" x14ac:dyDescent="0.35">
      <c r="A111" s="22" t="s">
        <v>318</v>
      </c>
      <c r="B111" s="20"/>
      <c r="C111" s="20"/>
      <c r="D111" s="20"/>
      <c r="E111" s="20"/>
      <c r="F111" s="20"/>
      <c r="G111" s="501" t="e">
        <f>G109*F113</f>
        <v>#VALUE!</v>
      </c>
      <c r="H111" s="501"/>
      <c r="I111" s="20" t="s">
        <v>316</v>
      </c>
      <c r="J111" s="20"/>
      <c r="K111" s="448"/>
      <c r="L111" s="429"/>
    </row>
    <row r="112" spans="1:12" ht="15" customHeight="1" x14ac:dyDescent="0.2">
      <c r="A112" s="426"/>
      <c r="B112" s="35"/>
      <c r="C112" s="35"/>
      <c r="D112" s="35"/>
      <c r="E112" s="35"/>
      <c r="F112" s="435"/>
      <c r="G112" s="435"/>
      <c r="H112" s="435"/>
      <c r="I112" s="20"/>
      <c r="J112" s="20"/>
      <c r="K112" s="20"/>
      <c r="L112" s="429"/>
    </row>
    <row r="113" spans="1:12" ht="15.75" customHeight="1" x14ac:dyDescent="0.25">
      <c r="A113" s="454" t="s">
        <v>319</v>
      </c>
      <c r="B113" s="20"/>
      <c r="C113" s="20"/>
      <c r="D113" s="20"/>
      <c r="F113" s="765" t="e">
        <f>'EQUILIBRIO E CORREÇÃO NA CTC'!O117</f>
        <v>#VALUE!</v>
      </c>
      <c r="G113" s="765"/>
      <c r="H113" s="503"/>
      <c r="I113" s="504" t="e">
        <f>F113*100/'EQUILIBRIO E CORREÇÃO NA CTC'!C53</f>
        <v>#VALUE!</v>
      </c>
      <c r="J113" s="503"/>
      <c r="K113" s="505"/>
      <c r="L113" s="428"/>
    </row>
    <row r="114" spans="1:12" ht="15" customHeight="1" x14ac:dyDescent="0.2">
      <c r="A114" s="22"/>
      <c r="B114" s="20"/>
      <c r="C114" s="435"/>
      <c r="D114" s="20"/>
      <c r="E114" s="20"/>
      <c r="F114" s="20"/>
      <c r="G114" s="435"/>
      <c r="H114" s="435"/>
      <c r="I114" s="435"/>
      <c r="J114" s="435"/>
      <c r="K114" s="435"/>
      <c r="L114" s="428"/>
    </row>
    <row r="115" spans="1:12" ht="15.75" customHeight="1" x14ac:dyDescent="0.25">
      <c r="A115" s="766" t="e">
        <f>I113</f>
        <v>#VALUE!</v>
      </c>
      <c r="B115" s="766"/>
      <c r="C115" s="264" t="s">
        <v>320</v>
      </c>
      <c r="D115" s="449"/>
      <c r="E115" s="449"/>
      <c r="F115" s="435"/>
      <c r="G115" s="449" t="str">
        <f>'EQUILIBRIO E CORREÇÃO NA CTC'!E52</f>
        <v/>
      </c>
      <c r="H115" s="435"/>
      <c r="I115" s="435"/>
      <c r="J115" s="435"/>
      <c r="K115" s="435"/>
      <c r="L115" s="428"/>
    </row>
    <row r="116" spans="1:12" ht="15.75" customHeight="1" x14ac:dyDescent="0.25">
      <c r="A116" s="766" t="e">
        <f>A115*2.42</f>
        <v>#VALUE!</v>
      </c>
      <c r="B116" s="766"/>
      <c r="C116" s="264" t="s">
        <v>321</v>
      </c>
      <c r="D116" s="449"/>
      <c r="E116" s="449"/>
      <c r="F116" s="435"/>
      <c r="G116" s="449" t="str">
        <f>'EQUILIBRIO E CORREÇÃO NA CTC'!E52</f>
        <v/>
      </c>
      <c r="H116" s="435"/>
      <c r="I116" s="20"/>
      <c r="J116" s="435"/>
      <c r="K116" s="435"/>
      <c r="L116" s="428"/>
    </row>
    <row r="117" spans="1:12" ht="15.75" customHeight="1" x14ac:dyDescent="0.25">
      <c r="A117" s="22" t="s">
        <v>322</v>
      </c>
      <c r="B117" s="20"/>
      <c r="C117" s="20"/>
      <c r="D117" s="20"/>
      <c r="E117" s="20"/>
      <c r="F117" s="605" t="e">
        <f>F113*'EQUILIBRIO E CORREÇÃO NA CTC'!H5</f>
        <v>#VALUE!</v>
      </c>
      <c r="G117" s="605"/>
      <c r="H117" s="264" t="s">
        <v>323</v>
      </c>
      <c r="I117" s="435"/>
      <c r="J117" s="449" t="str">
        <f>'EQUILIBRIO E CORREÇÃO NA CTC'!E52</f>
        <v/>
      </c>
      <c r="K117" s="435"/>
      <c r="L117" s="429"/>
    </row>
    <row r="118" spans="1:12" ht="15.75" customHeight="1" x14ac:dyDescent="0.25">
      <c r="A118" s="426"/>
      <c r="B118" s="20"/>
      <c r="C118" s="20"/>
      <c r="D118" s="20"/>
      <c r="E118" s="20"/>
      <c r="F118" s="435"/>
      <c r="G118" s="435"/>
      <c r="H118" s="767" t="s">
        <v>324</v>
      </c>
      <c r="I118" s="767"/>
      <c r="J118" s="767"/>
      <c r="K118" s="763" t="str">
        <f>'EQUILIBRIO E CORREÇÃO NA CTC'!P104</f>
        <v/>
      </c>
      <c r="L118" s="763"/>
    </row>
    <row r="119" spans="1:12" ht="15" customHeight="1" x14ac:dyDescent="0.2">
      <c r="A119" s="22"/>
      <c r="B119" s="20"/>
      <c r="C119" s="20"/>
      <c r="D119" s="20"/>
      <c r="E119" s="20"/>
      <c r="F119" s="20"/>
      <c r="G119" s="20"/>
      <c r="H119" s="20"/>
      <c r="I119" s="20"/>
      <c r="J119" s="435"/>
      <c r="K119" s="435"/>
      <c r="L119" s="428"/>
    </row>
    <row r="120" spans="1:12" ht="15.75" customHeight="1" x14ac:dyDescent="0.25">
      <c r="A120" s="22"/>
      <c r="B120" s="20"/>
      <c r="C120" s="20"/>
      <c r="D120" s="20"/>
      <c r="E120" s="20"/>
      <c r="F120" s="20"/>
      <c r="G120" s="20"/>
      <c r="H120" s="764" t="s">
        <v>325</v>
      </c>
      <c r="I120" s="764"/>
      <c r="J120" s="764"/>
      <c r="K120" s="763" t="str">
        <f>'EQUILIBRIO E CORREÇÃO NA CTC'!O137</f>
        <v/>
      </c>
      <c r="L120" s="763"/>
    </row>
    <row r="121" spans="1:12" ht="15.75" customHeight="1" x14ac:dyDescent="0.25">
      <c r="A121" s="506" t="str">
        <f>'EQUILIBRIO E CORREÇÃO NA CTC'!P120</f>
        <v/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429"/>
    </row>
    <row r="122" spans="1:12" ht="15.75" customHeight="1" x14ac:dyDescent="0.25">
      <c r="A122" s="22"/>
      <c r="B122" s="20"/>
      <c r="C122" s="20"/>
      <c r="D122" s="507" t="e">
        <f>'EQUILIBRIO E CORREÇÃO NA CTC'!M182</f>
        <v>#VALUE!</v>
      </c>
      <c r="E122" s="451" t="str">
        <f>'EQUILIBRIO E CORREÇÃO NA CTC'!P121</f>
        <v/>
      </c>
      <c r="F122" s="508"/>
      <c r="G122" s="20"/>
      <c r="H122" s="20"/>
      <c r="I122" s="20"/>
      <c r="J122" s="20"/>
      <c r="K122" s="20"/>
      <c r="L122" s="429"/>
    </row>
    <row r="123" spans="1:12" ht="15.75" customHeight="1" x14ac:dyDescent="0.25">
      <c r="A123" s="483" t="str">
        <f>'EQUILIBRIO E CORREÇÃO NA CTC'!P122</f>
        <v/>
      </c>
      <c r="B123" s="20"/>
      <c r="C123" s="20"/>
      <c r="D123" s="20"/>
      <c r="E123" s="509"/>
      <c r="F123" s="20"/>
      <c r="G123" s="20"/>
      <c r="H123" s="435"/>
      <c r="I123" s="435"/>
      <c r="J123" s="435"/>
      <c r="K123" s="435"/>
      <c r="L123" s="428"/>
    </row>
    <row r="124" spans="1:12" ht="15" customHeight="1" x14ac:dyDescent="0.2">
      <c r="A124" s="22" t="s">
        <v>326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435"/>
      <c r="L124" s="428"/>
    </row>
    <row r="125" spans="1:12" ht="20.25" customHeight="1" x14ac:dyDescent="0.35">
      <c r="A125" s="22" t="s">
        <v>327</v>
      </c>
      <c r="B125" s="20"/>
      <c r="C125" s="20"/>
      <c r="D125" s="435"/>
      <c r="E125" s="509"/>
      <c r="F125" s="435"/>
      <c r="H125" s="485" t="str">
        <f>'EQUILIBRIO E CORREÇÃO NA CTC'!Q130</f>
        <v/>
      </c>
      <c r="I125" s="20"/>
      <c r="J125" s="20"/>
      <c r="K125" s="20"/>
      <c r="L125" s="428"/>
    </row>
    <row r="126" spans="1:12" ht="15" customHeight="1" x14ac:dyDescent="0.2">
      <c r="A126" s="22" t="s">
        <v>328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29"/>
    </row>
    <row r="127" spans="1:12" ht="20.25" customHeight="1" x14ac:dyDescent="0.35">
      <c r="A127" s="39" t="s">
        <v>329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455"/>
    </row>
    <row r="128" spans="1:1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</sheetData>
  <mergeCells count="44">
    <mergeCell ref="E1:H1"/>
    <mergeCell ref="A3:B3"/>
    <mergeCell ref="C3:H3"/>
    <mergeCell ref="I3:J3"/>
    <mergeCell ref="A4:B4"/>
    <mergeCell ref="J4:K4"/>
    <mergeCell ref="A6:L6"/>
    <mergeCell ref="H16:I16"/>
    <mergeCell ref="G17:H17"/>
    <mergeCell ref="B22:C22"/>
    <mergeCell ref="B24:C24"/>
    <mergeCell ref="H28:J28"/>
    <mergeCell ref="K28:L28"/>
    <mergeCell ref="G30:H30"/>
    <mergeCell ref="H32:J32"/>
    <mergeCell ref="K32:L32"/>
    <mergeCell ref="E38:H38"/>
    <mergeCell ref="A40:B40"/>
    <mergeCell ref="A41:B41"/>
    <mergeCell ref="A44:L44"/>
    <mergeCell ref="F56:G56"/>
    <mergeCell ref="F58:G58"/>
    <mergeCell ref="I59:J59"/>
    <mergeCell ref="C66:D66"/>
    <mergeCell ref="C68:D68"/>
    <mergeCell ref="H70:J70"/>
    <mergeCell ref="K70:L70"/>
    <mergeCell ref="E73:F73"/>
    <mergeCell ref="H73:L73"/>
    <mergeCell ref="H75:J75"/>
    <mergeCell ref="K75:L75"/>
    <mergeCell ref="E82:H82"/>
    <mergeCell ref="A89:L89"/>
    <mergeCell ref="A101:D101"/>
    <mergeCell ref="A105:B105"/>
    <mergeCell ref="I107:J107"/>
    <mergeCell ref="K118:L118"/>
    <mergeCell ref="H120:J120"/>
    <mergeCell ref="K120:L120"/>
    <mergeCell ref="F113:G113"/>
    <mergeCell ref="A115:B115"/>
    <mergeCell ref="A116:B116"/>
    <mergeCell ref="F117:G117"/>
    <mergeCell ref="H118:J118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defaultColWidth="8.85546875" defaultRowHeight="12.75" x14ac:dyDescent="0.2"/>
  <cols>
    <col min="1" max="1" width="12.140625" customWidth="1"/>
    <col min="2" max="2" width="10" customWidth="1"/>
    <col min="3" max="3" width="9" customWidth="1"/>
    <col min="4" max="4" width="10.28515625" customWidth="1"/>
    <col min="5" max="5" width="9.28515625" customWidth="1"/>
    <col min="6" max="6" width="9" customWidth="1"/>
    <col min="7" max="7" width="9.28515625" customWidth="1"/>
    <col min="8" max="8" width="14.28515625" customWidth="1"/>
    <col min="9" max="9" width="8.85546875" customWidth="1"/>
    <col min="10" max="1023" width="9.140625" customWidth="1"/>
    <col min="1024" max="1025" width="1.28515625" customWidth="1"/>
  </cols>
  <sheetData>
    <row r="1" spans="1:39" ht="12.75" customHeight="1" x14ac:dyDescent="0.2">
      <c r="A1" s="510"/>
      <c r="B1" s="510"/>
      <c r="C1" s="510"/>
      <c r="D1" s="510"/>
      <c r="E1" s="510"/>
      <c r="F1" s="511"/>
      <c r="G1" s="511"/>
      <c r="H1" s="511"/>
      <c r="I1" s="511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</row>
    <row r="2" spans="1:39" ht="12.75" customHeight="1" x14ac:dyDescent="0.2">
      <c r="A2" s="511"/>
      <c r="B2" s="511"/>
      <c r="C2" s="511"/>
      <c r="D2" s="511"/>
      <c r="E2" s="511"/>
      <c r="F2" s="511"/>
      <c r="G2" s="511"/>
      <c r="H2" s="511"/>
      <c r="I2" s="511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</row>
    <row r="3" spans="1:39" ht="12.75" customHeight="1" x14ac:dyDescent="0.2">
      <c r="A3" s="804" t="s">
        <v>330</v>
      </c>
      <c r="B3" s="804"/>
      <c r="C3" s="804"/>
      <c r="D3" s="804"/>
      <c r="E3" s="804"/>
      <c r="F3" s="804"/>
      <c r="G3" s="804"/>
      <c r="H3" s="804"/>
      <c r="I3" s="804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</row>
    <row r="4" spans="1:39" ht="12.75" customHeight="1" x14ac:dyDescent="0.2">
      <c r="A4" s="804"/>
      <c r="B4" s="804"/>
      <c r="C4" s="804"/>
      <c r="D4" s="804"/>
      <c r="E4" s="804"/>
      <c r="F4" s="804"/>
      <c r="G4" s="804"/>
      <c r="H4" s="804"/>
      <c r="I4" s="804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</row>
    <row r="5" spans="1:39" ht="12.75" customHeight="1" x14ac:dyDescent="0.2">
      <c r="A5" s="273" t="s">
        <v>331</v>
      </c>
      <c r="B5" s="511"/>
      <c r="C5" s="511"/>
      <c r="D5" s="513">
        <f>'EQUILIBRIO E CORREÇÃO NA CTC'!E8</f>
        <v>761</v>
      </c>
      <c r="E5" s="427"/>
      <c r="F5" s="427"/>
      <c r="G5" s="427"/>
      <c r="H5" s="427"/>
      <c r="I5" s="427"/>
      <c r="L5" s="10"/>
      <c r="M5" s="10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</row>
    <row r="6" spans="1:39" ht="14.85" customHeight="1" x14ac:dyDescent="0.2">
      <c r="A6" s="273" t="s">
        <v>22</v>
      </c>
      <c r="B6" s="510" t="str">
        <f>'EQUILIBRIO E CORREÇÃO NA CTC'!B3</f>
        <v>Matheus Martinhão</v>
      </c>
      <c r="C6" s="511"/>
      <c r="D6" s="273"/>
      <c r="E6" s="802" t="s">
        <v>332</v>
      </c>
      <c r="F6" s="802"/>
      <c r="G6" s="515">
        <f>'EQUILIBRIO E CORREÇÃO NA CTC'!H4</f>
        <v>0</v>
      </c>
      <c r="H6" s="516" t="s">
        <v>333</v>
      </c>
      <c r="I6" s="517">
        <f>'EQUILIBRIO E CORREÇÃO NA CTC'!L5</f>
        <v>0</v>
      </c>
      <c r="J6" s="518" t="str">
        <f>IF('Memória de cálculo'!E10&lt;0.01,"Não é necessário correção","")</f>
        <v>Não é necessário correção</v>
      </c>
      <c r="K6" s="518" t="str">
        <f>IF('Memória de cálculo'!K28&gt;0.01,"Custo/ha: ","")</f>
        <v xml:space="preserve">Custo/ha: </v>
      </c>
      <c r="L6" s="511"/>
      <c r="M6" s="10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</row>
    <row r="7" spans="1:39" ht="14.85" customHeight="1" x14ac:dyDescent="0.2">
      <c r="A7" s="273" t="s">
        <v>25</v>
      </c>
      <c r="B7" s="427" t="str">
        <f>'EQUILIBRIO E CORREÇÃO NA CTC'!B4</f>
        <v>Maringá</v>
      </c>
      <c r="C7" s="427"/>
      <c r="D7" s="427"/>
      <c r="E7" s="427"/>
      <c r="F7" s="519"/>
      <c r="G7" s="520" t="s">
        <v>334</v>
      </c>
      <c r="H7" s="521">
        <f>'EQUILIBRIO E CORREÇÃO NA CTC'!L4</f>
        <v>4.84</v>
      </c>
      <c r="I7" s="427"/>
      <c r="J7" s="518" t="str">
        <f>IF('Memória de cálculo'!E10&gt;0.01,"Forma de aplicação:","")</f>
        <v/>
      </c>
      <c r="K7" s="518" t="str">
        <f>IF('Memória de cálculo'!K28&gt;0.01,"Custo/Talhão: ","")</f>
        <v xml:space="preserve">Custo/Talhão: </v>
      </c>
      <c r="L7" s="522" t="e">
        <f>'Memória de cálculo'!B24</f>
        <v>#VALUE!</v>
      </c>
      <c r="M7" s="10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</row>
    <row r="8" spans="1:39" ht="12.75" customHeight="1" x14ac:dyDescent="0.2">
      <c r="A8" s="515" t="s">
        <v>29</v>
      </c>
      <c r="B8" s="515">
        <f>'EQUILIBRIO E CORREÇÃO NA CTC'!B5</f>
        <v>1</v>
      </c>
      <c r="C8" s="273"/>
      <c r="D8" s="273"/>
      <c r="E8" s="273"/>
      <c r="F8" s="273"/>
      <c r="G8" s="520" t="s">
        <v>335</v>
      </c>
      <c r="H8" s="523">
        <f>'EQUILIBRIO E CORREÇÃO NA CTC'!H5:I5</f>
        <v>4.84</v>
      </c>
      <c r="I8" s="273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</row>
    <row r="9" spans="1:39" ht="14.85" customHeight="1" x14ac:dyDescent="0.2">
      <c r="A9" s="524" t="s">
        <v>246</v>
      </c>
      <c r="B9" s="524" t="str">
        <f>'EQUILIBRIO E CORREÇÃO NA CTC'!D6</f>
        <v>Argiloso</v>
      </c>
      <c r="C9" s="133"/>
      <c r="D9" s="524"/>
      <c r="E9" s="524"/>
      <c r="F9" s="524"/>
      <c r="G9" s="525" t="s">
        <v>336</v>
      </c>
      <c r="H9" s="526" t="str">
        <f>'EQUILIBRIO E CORREÇÃO NA CTC'!K6</f>
        <v>Plantio Direto</v>
      </c>
      <c r="I9" s="527"/>
      <c r="J9" t="str">
        <f>IF('Memória de cálculo'!E10&gt;0.01,'EQUILIBRIO E CORREÇÃO NA CTC'!E23,"")</f>
        <v/>
      </c>
      <c r="L9" s="528" t="str">
        <f>IFERROR(L7,"")</f>
        <v/>
      </c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</row>
    <row r="10" spans="1:39" ht="19.350000000000001" customHeight="1" x14ac:dyDescent="0.25">
      <c r="A10" s="529" t="s">
        <v>337</v>
      </c>
      <c r="B10" s="530"/>
      <c r="C10" s="530"/>
      <c r="D10" s="530"/>
      <c r="E10" s="531"/>
      <c r="F10" s="530" t="str">
        <f>J6</f>
        <v>Não é necessário correção</v>
      </c>
      <c r="G10" s="530"/>
      <c r="H10" s="530"/>
      <c r="I10" s="530"/>
      <c r="J10" s="518" t="str">
        <f>IF('Memória de cálculo'!E10&gt;0.01,"Kg/hectare de ","")</f>
        <v/>
      </c>
      <c r="K10" s="518" t="str">
        <f>IF('Memória de cálculo'!E10&gt;0.01,"Aplicar: ","")</f>
        <v/>
      </c>
      <c r="N10" s="532" t="str">
        <f>'EQUILIBRIO E CORREÇÃO NA CTC'!C39</f>
        <v/>
      </c>
      <c r="O10" t="str">
        <f>IF(N10&gt;0.001,N10,"")</f>
        <v/>
      </c>
      <c r="T10" s="512"/>
      <c r="U10" s="512"/>
      <c r="V10" s="512"/>
      <c r="W10" s="512"/>
      <c r="X10" s="512"/>
      <c r="Y10" s="512"/>
      <c r="Z10" s="512"/>
      <c r="AA10" s="512"/>
      <c r="AB10" s="512"/>
      <c r="AC10" s="512"/>
      <c r="AD10" s="512"/>
      <c r="AE10" s="512"/>
      <c r="AF10" s="512"/>
      <c r="AG10" s="512"/>
      <c r="AH10" s="512"/>
      <c r="AI10" s="512"/>
      <c r="AJ10" s="512"/>
      <c r="AK10" s="512"/>
      <c r="AL10" s="512"/>
      <c r="AM10" s="512"/>
    </row>
    <row r="11" spans="1:39" ht="14.85" customHeight="1" x14ac:dyDescent="0.2">
      <c r="A11" s="533"/>
      <c r="B11" s="534" t="e">
        <f>'Memória de cálculo'!B22</f>
        <v>#VALUE!</v>
      </c>
      <c r="C11" s="800" t="str">
        <f>J10</f>
        <v/>
      </c>
      <c r="D11" s="800"/>
      <c r="E11" s="801" t="str">
        <f>J9</f>
        <v/>
      </c>
      <c r="F11" s="801"/>
      <c r="G11" s="801"/>
      <c r="H11" s="535" t="str">
        <f>K6</f>
        <v xml:space="preserve">Custo/ha: </v>
      </c>
      <c r="I11" s="536" t="e">
        <f>K8</f>
        <v>#VALUE!</v>
      </c>
      <c r="K11" s="518" t="str">
        <f>IF('Memória de cálculo'!E10&gt;0.01,"Equivalente a: ","")</f>
        <v/>
      </c>
      <c r="N11" t="e">
        <f>N10*2.42</f>
        <v>#VALUE!</v>
      </c>
      <c r="O11" t="e">
        <f>IF(N11&gt;0.001,N11,"")</f>
        <v>#VALUE!</v>
      </c>
      <c r="P11" s="537" t="str">
        <f>IFERROR(O11,"")</f>
        <v/>
      </c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</row>
    <row r="12" spans="1:39" ht="14.85" customHeight="1" x14ac:dyDescent="0.2">
      <c r="A12" s="273"/>
      <c r="B12" s="435"/>
      <c r="C12" s="273"/>
      <c r="D12" s="273"/>
      <c r="E12" s="511"/>
      <c r="F12" s="511"/>
      <c r="G12" s="510"/>
      <c r="H12" s="533"/>
      <c r="I12" s="538"/>
      <c r="J12" s="539"/>
      <c r="K12" s="518" t="str">
        <f>IF('Memória de cálculo'!E10&gt;0.01,"Forma de aplicação:","")</f>
        <v/>
      </c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2"/>
      <c r="AM12" s="512"/>
    </row>
    <row r="13" spans="1:39" ht="14.85" customHeight="1" x14ac:dyDescent="0.2">
      <c r="A13" s="510" t="str">
        <f>K10</f>
        <v/>
      </c>
      <c r="B13" s="540" t="str">
        <f>L9</f>
        <v/>
      </c>
      <c r="C13" s="802" t="str">
        <f>J15</f>
        <v/>
      </c>
      <c r="D13" s="802"/>
      <c r="E13" s="803" t="str">
        <f>E11</f>
        <v/>
      </c>
      <c r="F13" s="803"/>
      <c r="G13" s="803"/>
      <c r="H13" s="541"/>
      <c r="I13" s="54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2"/>
      <c r="AK13" s="512"/>
      <c r="AL13" s="512"/>
      <c r="AM13" s="512"/>
    </row>
    <row r="14" spans="1:39" ht="7.7" customHeight="1" x14ac:dyDescent="0.2">
      <c r="A14" s="427"/>
      <c r="B14" s="427"/>
      <c r="C14" s="427"/>
      <c r="D14" s="427"/>
      <c r="E14" s="427"/>
      <c r="F14" s="427"/>
      <c r="G14" s="427"/>
      <c r="H14" s="541"/>
      <c r="I14" s="427"/>
      <c r="K14" s="543">
        <f>R3</f>
        <v>0</v>
      </c>
      <c r="L14">
        <f>R4</f>
        <v>0</v>
      </c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2"/>
      <c r="AM14" s="512"/>
    </row>
    <row r="15" spans="1:39" ht="14.25" customHeight="1" x14ac:dyDescent="0.2">
      <c r="A15" s="799" t="str">
        <f>J7</f>
        <v/>
      </c>
      <c r="B15" s="799"/>
      <c r="C15" s="799"/>
      <c r="D15" s="527"/>
      <c r="E15" s="527"/>
      <c r="F15" s="527"/>
      <c r="G15" s="527"/>
      <c r="H15" s="545"/>
      <c r="I15" s="546"/>
      <c r="J15" s="518" t="str">
        <f>IF('Memória de cálculo'!E10&gt;0.01,"Kg/alqueire de ","")</f>
        <v/>
      </c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</row>
    <row r="16" spans="1:39" ht="15" customHeight="1" x14ac:dyDescent="0.2">
      <c r="A16" s="797"/>
      <c r="B16" s="797"/>
      <c r="C16" s="797"/>
      <c r="D16" s="797"/>
      <c r="E16" s="797"/>
      <c r="F16" s="797"/>
      <c r="G16" s="797"/>
      <c r="H16" s="797"/>
      <c r="I16" s="797"/>
      <c r="L16" s="547" t="e">
        <f>I11*2.42</f>
        <v>#VALUE!</v>
      </c>
      <c r="M16" s="518" t="str">
        <f>IF('Memória de cálculo'!E10&gt;0.01,L16,"")</f>
        <v/>
      </c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2"/>
      <c r="AK16" s="512"/>
      <c r="AL16" s="512"/>
      <c r="AM16" s="512"/>
    </row>
    <row r="17" spans="1:39" ht="15" customHeight="1" x14ac:dyDescent="0.2">
      <c r="A17" s="797"/>
      <c r="B17" s="797"/>
      <c r="C17" s="797"/>
      <c r="D17" s="797"/>
      <c r="E17" s="797"/>
      <c r="F17" s="797"/>
      <c r="G17" s="797"/>
      <c r="H17" s="797"/>
      <c r="I17" s="797"/>
      <c r="L17" t="e">
        <f>IF(I11&gt;0.01,L16,"")</f>
        <v>#VALUE!</v>
      </c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12"/>
      <c r="AH17" s="512"/>
      <c r="AI17" s="512"/>
      <c r="AJ17" s="512"/>
      <c r="AK17" s="512"/>
      <c r="AL17" s="512"/>
      <c r="AM17" s="512"/>
    </row>
    <row r="18" spans="1:39" ht="15" customHeight="1" x14ac:dyDescent="0.2">
      <c r="A18" s="797"/>
      <c r="B18" s="797"/>
      <c r="C18" s="797"/>
      <c r="D18" s="797"/>
      <c r="E18" s="797"/>
      <c r="F18" s="797"/>
      <c r="G18" s="797"/>
      <c r="H18" s="797"/>
      <c r="I18" s="797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2"/>
      <c r="AK18" s="512"/>
      <c r="AL18" s="512"/>
      <c r="AM18" s="512"/>
    </row>
    <row r="19" spans="1:39" ht="15" customHeight="1" x14ac:dyDescent="0.2">
      <c r="A19" s="797"/>
      <c r="B19" s="797"/>
      <c r="C19" s="797"/>
      <c r="D19" s="797"/>
      <c r="E19" s="797"/>
      <c r="F19" s="797"/>
      <c r="G19" s="797"/>
      <c r="H19" s="797"/>
      <c r="I19" s="797"/>
      <c r="K19" s="518" t="e">
        <f>IF('EQUILIBRIO E CORREÇÃO NA CTC'!C39,"Aplicar: ","")</f>
        <v>#VALUE!</v>
      </c>
      <c r="L19" s="528" t="str">
        <f>IFERROR(K19,"")</f>
        <v/>
      </c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2"/>
      <c r="AK19" s="512"/>
      <c r="AL19" s="512"/>
      <c r="AM19" s="512"/>
    </row>
    <row r="20" spans="1:39" ht="19.350000000000001" customHeight="1" x14ac:dyDescent="0.25">
      <c r="A20" s="529" t="s">
        <v>338</v>
      </c>
      <c r="B20" s="530"/>
      <c r="C20" s="530"/>
      <c r="D20" s="530"/>
      <c r="E20" s="531"/>
      <c r="F20" s="530" t="str">
        <f>L23</f>
        <v>Não é necessário correção</v>
      </c>
      <c r="G20" s="530"/>
      <c r="H20" s="530"/>
      <c r="I20" s="548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</row>
    <row r="21" spans="1:39" ht="14.1" customHeight="1" x14ac:dyDescent="0.2">
      <c r="A21" s="533"/>
      <c r="B21" s="549" t="str">
        <f>O10</f>
        <v/>
      </c>
      <c r="C21" s="800" t="str">
        <f>J30</f>
        <v>Kg/hectare de:</v>
      </c>
      <c r="D21" s="800"/>
      <c r="E21" s="801" t="str">
        <f>K24</f>
        <v/>
      </c>
      <c r="F21" s="801"/>
      <c r="G21" s="801"/>
      <c r="H21" s="282" t="str">
        <f>J28</f>
        <v>Custo/ha:</v>
      </c>
      <c r="I21" s="536" t="str">
        <f>L28</f>
        <v/>
      </c>
      <c r="K21" s="550" t="s">
        <v>324</v>
      </c>
      <c r="L21" s="551"/>
      <c r="M21" s="551"/>
      <c r="N21" s="552" t="str">
        <f>'Memória de cálculo'!K28</f>
        <v/>
      </c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</row>
    <row r="22" spans="1:39" ht="14.1" customHeight="1" x14ac:dyDescent="0.2">
      <c r="A22" s="273"/>
      <c r="B22" s="511"/>
      <c r="C22" s="273"/>
      <c r="D22" s="273"/>
      <c r="E22" s="511"/>
      <c r="F22" s="511"/>
      <c r="G22" s="511"/>
      <c r="H22" s="427"/>
      <c r="I22" s="427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</row>
    <row r="23" spans="1:39" ht="14.85" customHeight="1" x14ac:dyDescent="0.2">
      <c r="A23" s="553" t="str">
        <f>L19</f>
        <v/>
      </c>
      <c r="B23" s="554" t="str">
        <f>P11</f>
        <v/>
      </c>
      <c r="C23" s="802" t="str">
        <f>K33</f>
        <v>Kg/alqueire de:</v>
      </c>
      <c r="D23" s="802"/>
      <c r="E23" s="803" t="str">
        <f>L24</f>
        <v/>
      </c>
      <c r="F23" s="803"/>
      <c r="G23" s="803"/>
      <c r="H23" s="427"/>
      <c r="I23" s="542"/>
      <c r="J23" s="512" t="str">
        <f>IF('Memória de cálculo'!F51&lt;0.001,'Memória de cálculo'!C66,"")</f>
        <v/>
      </c>
      <c r="K23" s="518" t="str">
        <f>IF('Memória de cálculo'!F51&gt;0.01,"Forma de aplicação:","")</f>
        <v>Forma de aplicação:</v>
      </c>
      <c r="L23" s="537" t="str">
        <f>IFERROR(J24,"")</f>
        <v>Não é necessário correção</v>
      </c>
      <c r="M23" s="537" t="str">
        <f>IFERROR(K23,"")</f>
        <v>Forma de aplicação:</v>
      </c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12"/>
      <c r="AH23" s="512"/>
      <c r="AI23" s="512"/>
      <c r="AJ23" s="512"/>
      <c r="AK23" s="512"/>
      <c r="AL23" s="512"/>
      <c r="AM23" s="512"/>
    </row>
    <row r="24" spans="1:39" ht="14.85" customHeight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518" t="str">
        <f>IF('EQUILIBRIO E CORREÇÃO NA CTC'!D37&lt;0.01,"Não é necessário correção","")</f>
        <v>Não é necessário correção</v>
      </c>
      <c r="K24" s="555" t="str">
        <f>IF('Memória de cálculo'!F51&gt;0.01,'Memória de cálculo'!G66,"")</f>
        <v/>
      </c>
      <c r="L24" s="537" t="str">
        <f>IFERROR(K24,"")</f>
        <v/>
      </c>
      <c r="O24" s="518" t="str">
        <f>IF('EQUILIBRIO E CORREÇÃO NA CTC'!H39&lt;0.01,"Não é necessário correção de Potássio","")</f>
        <v/>
      </c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  <c r="AJ24" s="512"/>
      <c r="AK24" s="512"/>
      <c r="AL24" s="512"/>
      <c r="AM24" s="512"/>
    </row>
    <row r="25" spans="1:39" ht="14.85" customHeight="1" x14ac:dyDescent="0.2">
      <c r="A25" s="544" t="str">
        <f>M23</f>
        <v>Forma de aplicação:</v>
      </c>
      <c r="B25" s="133"/>
      <c r="C25" s="133"/>
      <c r="D25" s="133"/>
      <c r="E25" s="133"/>
      <c r="F25" s="133"/>
      <c r="G25" s="133"/>
      <c r="H25" s="527"/>
      <c r="I25" s="546"/>
      <c r="J25" s="512" t="str">
        <f>IF('Memória de cálculo'!F51&lt;0.001,'Memória de cálculo'!C68,"")</f>
        <v/>
      </c>
      <c r="K25" s="532" t="str">
        <f>'EQUILIBRIO E CORREÇÃO NA CTC'!J39</f>
        <v/>
      </c>
      <c r="L25" t="e">
        <f>K25*H8</f>
        <v>#VALUE!</v>
      </c>
      <c r="N25" s="537" t="str">
        <f>IFERROR(M28,"")</f>
        <v/>
      </c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  <c r="AJ25" s="512"/>
      <c r="AK25" s="512"/>
      <c r="AL25" s="512"/>
      <c r="AM25" s="512"/>
    </row>
    <row r="26" spans="1:39" ht="15" customHeight="1" x14ac:dyDescent="0.2">
      <c r="A26" s="797"/>
      <c r="B26" s="797"/>
      <c r="C26" s="797"/>
      <c r="D26" s="797"/>
      <c r="E26" s="797"/>
      <c r="F26" s="797"/>
      <c r="G26" s="797"/>
      <c r="H26" s="797"/>
      <c r="I26" s="797"/>
      <c r="J26" s="512"/>
      <c r="K26" s="532"/>
      <c r="M26" t="str">
        <f>J23</f>
        <v/>
      </c>
      <c r="N26" s="537" t="str">
        <f>IFERROR(M29,"")</f>
        <v/>
      </c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</row>
    <row r="27" spans="1:39" ht="15" customHeight="1" x14ac:dyDescent="0.25">
      <c r="A27" s="797"/>
      <c r="B27" s="797"/>
      <c r="C27" s="797"/>
      <c r="D27" s="797"/>
      <c r="E27" s="797"/>
      <c r="F27" s="797"/>
      <c r="G27" s="797"/>
      <c r="H27" s="797"/>
      <c r="I27" s="797"/>
      <c r="M27" s="556" t="str">
        <f>IFERROR(M26,"")</f>
        <v/>
      </c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  <c r="AJ27" s="512"/>
      <c r="AK27" s="512"/>
      <c r="AL27" s="512"/>
      <c r="AM27" s="512"/>
    </row>
    <row r="28" spans="1:39" ht="15" customHeight="1" x14ac:dyDescent="0.2">
      <c r="A28" s="797"/>
      <c r="B28" s="797"/>
      <c r="C28" s="797"/>
      <c r="D28" s="797"/>
      <c r="E28" s="797"/>
      <c r="F28" s="797"/>
      <c r="G28" s="797"/>
      <c r="H28" s="797"/>
      <c r="I28" s="797"/>
      <c r="J28" s="518" t="str">
        <f>IF('Memória de cálculo'!F51&gt;0.01,"Custo/ha:","")</f>
        <v>Custo/ha:</v>
      </c>
      <c r="K28" s="518" t="str">
        <f>IF('Memória de cálculo'!F51&gt;0.01,"Custo/Talhão:","")</f>
        <v>Custo/Talhão:</v>
      </c>
      <c r="L28" s="518" t="str">
        <f>IF('Memória de cálculo'!F51&gt;0.01,K25,"")</f>
        <v/>
      </c>
      <c r="M28" s="518" t="e">
        <f>IF('Memória de cálculo'!F51&gt;0.01,L25,"")</f>
        <v>#VALUE!</v>
      </c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12"/>
      <c r="AH28" s="512"/>
      <c r="AI28" s="512"/>
      <c r="AJ28" s="512"/>
      <c r="AK28" s="512"/>
      <c r="AL28" s="512"/>
      <c r="AM28" s="512"/>
    </row>
    <row r="29" spans="1:39" ht="15" customHeight="1" x14ac:dyDescent="0.2">
      <c r="A29" s="797"/>
      <c r="B29" s="797"/>
      <c r="C29" s="797"/>
      <c r="D29" s="797"/>
      <c r="E29" s="797"/>
      <c r="F29" s="797"/>
      <c r="G29" s="797"/>
      <c r="H29" s="797"/>
      <c r="I29" s="797"/>
      <c r="J29" s="518" t="e">
        <f>IF('Memória de cálculo'!F96&gt;0.01,"Aplicar:","")</f>
        <v>#VALUE!</v>
      </c>
      <c r="K29" s="518" t="str">
        <f>IF('Memória de cálculo'!F51&gt;0.01,"Forma de aplicação:","")</f>
        <v>Forma de aplicação:</v>
      </c>
      <c r="M29" s="518" t="e">
        <f>IF('Memória de cálculo'!F51&gt;0.01,L33,"")</f>
        <v>#VALUE!</v>
      </c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12"/>
      <c r="AH29" s="512"/>
      <c r="AI29" s="512"/>
      <c r="AJ29" s="512"/>
      <c r="AK29" s="512"/>
      <c r="AL29" s="512"/>
      <c r="AM29" s="512"/>
    </row>
    <row r="30" spans="1:39" ht="19.350000000000001" customHeight="1" x14ac:dyDescent="0.25">
      <c r="A30" s="529" t="s">
        <v>339</v>
      </c>
      <c r="B30" s="530"/>
      <c r="C30" s="530"/>
      <c r="D30" s="530"/>
      <c r="E30" s="530"/>
      <c r="F30" s="530" t="str">
        <f>K45</f>
        <v>Não é necessário correção</v>
      </c>
      <c r="G30" s="530"/>
      <c r="H30" s="530"/>
      <c r="I30" s="530"/>
      <c r="J30" s="518" t="str">
        <f>IF('Memória de cálculo'!F51&gt;0.01,"Kg/hectare de:","")</f>
        <v>Kg/hectare de:</v>
      </c>
      <c r="L30" s="518" t="str">
        <f>IF('Memória de cálculo'!F51&gt;0.01,"Custo/Alqueire:","")</f>
        <v>Custo/Alqueire:</v>
      </c>
      <c r="N30" s="537" t="str">
        <f>IFERROR(J29,"")</f>
        <v/>
      </c>
      <c r="T30" s="512"/>
      <c r="U30" s="512"/>
      <c r="V30" s="512"/>
      <c r="W30" s="512"/>
      <c r="X30" s="512"/>
      <c r="Y30" s="512"/>
      <c r="Z30" s="512"/>
      <c r="AA30" s="512"/>
      <c r="AB30" s="512"/>
      <c r="AC30" s="512"/>
      <c r="AD30" s="512"/>
      <c r="AE30" s="512"/>
      <c r="AF30" s="512"/>
      <c r="AG30" s="512"/>
      <c r="AH30" s="512"/>
      <c r="AI30" s="512"/>
      <c r="AJ30" s="512"/>
      <c r="AK30" s="512"/>
      <c r="AL30" s="512"/>
      <c r="AM30" s="512"/>
    </row>
    <row r="31" spans="1:39" ht="14.1" customHeight="1" x14ac:dyDescent="0.2">
      <c r="A31" s="511"/>
      <c r="B31" s="511"/>
      <c r="C31" s="427"/>
      <c r="D31" s="427"/>
      <c r="E31" s="511"/>
      <c r="F31" s="511"/>
      <c r="G31" s="511"/>
      <c r="H31" s="511"/>
      <c r="I31" s="557"/>
      <c r="J31" s="518"/>
      <c r="L31" s="518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  <c r="AJ31" s="512"/>
      <c r="AK31" s="512"/>
      <c r="AL31" s="512"/>
      <c r="AM31" s="512"/>
    </row>
    <row r="32" spans="1:39" ht="14.1" customHeight="1" x14ac:dyDescent="0.2">
      <c r="A32" s="533"/>
      <c r="B32" s="558" t="str">
        <f>'EQUILIBRIO E CORREÇÃO NA CTC'!C55</f>
        <v/>
      </c>
      <c r="C32" s="559" t="e">
        <f>J45</f>
        <v>#VALUE!</v>
      </c>
      <c r="D32" s="282"/>
      <c r="E32" s="798" t="str">
        <f>'EQUILIBRIO E CORREÇÃO NA CTC'!E52</f>
        <v/>
      </c>
      <c r="F32" s="798"/>
      <c r="G32" s="798"/>
      <c r="H32" s="560" t="e">
        <f>M35</f>
        <v>#VALUE!</v>
      </c>
      <c r="I32" s="536" t="e">
        <f>L38</f>
        <v>#VALUE!</v>
      </c>
      <c r="J32" s="518"/>
      <c r="L32" s="518"/>
      <c r="M32" s="530">
        <f>S35</f>
        <v>0</v>
      </c>
      <c r="N32" s="518" t="str">
        <f>IF('EQUILIBRIO E CORREÇÃO NA CTC'!C55&gt;0,"Não é necessário correção","")</f>
        <v>Não é necessário correção</v>
      </c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  <c r="AJ32" s="512"/>
      <c r="AK32" s="512"/>
      <c r="AL32" s="512"/>
      <c r="AM32" s="512"/>
    </row>
    <row r="33" spans="1:39" ht="14.1" customHeight="1" x14ac:dyDescent="0.2">
      <c r="A33" s="510"/>
      <c r="B33" s="510"/>
      <c r="C33" s="273"/>
      <c r="D33" s="273"/>
      <c r="E33" s="273"/>
      <c r="F33" s="510"/>
      <c r="G33" s="510"/>
      <c r="H33" s="541"/>
      <c r="I33" s="561"/>
      <c r="J33" s="518" t="str">
        <f>IF('Memória de cálculo'!F51&gt;0.01,"Kg/alqueire de:","")</f>
        <v>Kg/alqueire de:</v>
      </c>
      <c r="K33" s="537" t="str">
        <f>IFERROR(J33,"")</f>
        <v>Kg/alqueire de:</v>
      </c>
      <c r="L33" s="562" t="e">
        <f>I21*2.42</f>
        <v>#VALUE!</v>
      </c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</row>
    <row r="34" spans="1:39" ht="14.1" customHeight="1" x14ac:dyDescent="0.2">
      <c r="A34" s="553" t="str">
        <f>N30</f>
        <v/>
      </c>
      <c r="B34" s="563" t="str">
        <f>M45</f>
        <v/>
      </c>
      <c r="C34" s="564" t="str">
        <f>K46</f>
        <v/>
      </c>
      <c r="D34" s="273"/>
      <c r="E34" s="653" t="str">
        <f>E32</f>
        <v/>
      </c>
      <c r="F34" s="653"/>
      <c r="G34" s="653"/>
      <c r="H34" s="565"/>
      <c r="I34" s="566"/>
      <c r="J34" s="518" t="str">
        <f>IF('Memória de cálculo'!F54&gt;0.01,"Aplicar:","")</f>
        <v/>
      </c>
      <c r="T34" s="567" t="e">
        <f>IF('Memória de cálculo'!F96&gt;0.01,"Equivalente a:","")</f>
        <v>#VALUE!</v>
      </c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  <c r="AJ34" s="512"/>
      <c r="AK34" s="512"/>
      <c r="AL34" s="512"/>
      <c r="AM34" s="512"/>
    </row>
    <row r="35" spans="1:39" ht="14.1" customHeight="1" x14ac:dyDescent="0.2">
      <c r="A35" s="511"/>
      <c r="B35" s="511"/>
      <c r="C35" s="511"/>
      <c r="D35" s="511"/>
      <c r="E35" s="511"/>
      <c r="F35" s="511"/>
      <c r="G35" s="511"/>
      <c r="H35" s="541"/>
      <c r="I35" s="427"/>
      <c r="J35" s="512"/>
      <c r="M35" s="568" t="e">
        <f>IF('Memória de cálculo'!F96&gt;0.01,"Custo/hectare","")</f>
        <v>#VALUE!</v>
      </c>
      <c r="N35" s="568" t="e">
        <f>IF('Memória de cálculo'!F96&gt;0.01,"Custo/alqueire","")</f>
        <v>#VALUE!</v>
      </c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</row>
    <row r="36" spans="1:39" ht="14.85" customHeight="1" x14ac:dyDescent="0.2">
      <c r="A36" s="527" t="str">
        <f>L41</f>
        <v/>
      </c>
      <c r="B36" s="569"/>
      <c r="C36" s="569"/>
      <c r="D36" s="569"/>
      <c r="E36" s="569"/>
      <c r="F36" s="569"/>
      <c r="G36" s="569"/>
      <c r="H36" s="570"/>
      <c r="I36" s="546"/>
      <c r="J36" s="795" t="e">
        <f>IF('Memória de cálculo'!F96&gt;0.001,'Memória de cálculo'!F113,"")</f>
        <v>#VALUE!</v>
      </c>
      <c r="K36" s="795"/>
      <c r="T36" s="512"/>
      <c r="U36" s="512"/>
      <c r="V36" s="512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12"/>
    </row>
    <row r="37" spans="1:39" ht="15" customHeight="1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571" t="e">
        <f>IF('Memória de cálculo'!F96&gt;0.001,'Memória de cálculo'!A116,"")</f>
        <v>#VALUE!</v>
      </c>
      <c r="K37" s="572" t="str">
        <f>IF('EQUILIBRIO E CORREÇÃO NA CTC'!V5&gt;0.001,"","Custo/hectare:")</f>
        <v>Custo/hectare:</v>
      </c>
      <c r="L37" s="573" t="e">
        <f>I32*2.42</f>
        <v>#VALUE!</v>
      </c>
      <c r="M37" s="795" t="e">
        <f>IF('Memória de cálculo'!F96&gt;0.001,"Custo/Talhão:","")</f>
        <v>#VALUE!</v>
      </c>
      <c r="N37" s="795"/>
      <c r="O37" s="568" t="e">
        <f>IF('Memória de cálculo'!F96&gt;0.01,"Custo/talhão","")</f>
        <v>#VALUE!</v>
      </c>
      <c r="T37" s="512"/>
      <c r="U37" s="512"/>
      <c r="V37" s="512"/>
      <c r="W37" s="512"/>
      <c r="X37" s="512"/>
      <c r="Y37" s="512"/>
      <c r="Z37" s="512"/>
      <c r="AA37" s="512"/>
      <c r="AB37" s="512"/>
      <c r="AC37" s="512"/>
      <c r="AD37" s="512"/>
      <c r="AE37" s="512"/>
      <c r="AF37" s="512"/>
      <c r="AG37" s="512"/>
      <c r="AH37" s="512"/>
      <c r="AI37" s="512"/>
      <c r="AJ37" s="512"/>
      <c r="AK37" s="512"/>
      <c r="AL37" s="512"/>
      <c r="AM37" s="512"/>
    </row>
    <row r="38" spans="1:39" ht="15" customHeight="1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571"/>
      <c r="K38" s="571" t="str">
        <f>'EQUILIBRIO E CORREÇÃO NA CTC'!G57</f>
        <v/>
      </c>
      <c r="L38" s="795" t="e">
        <f>IF('Memória de cálculo'!F96&gt;0.001,K38,"")</f>
        <v>#VALUE!</v>
      </c>
      <c r="M38" s="795"/>
      <c r="N38" t="e">
        <f>L38*H8</f>
        <v>#VALUE!</v>
      </c>
      <c r="O38" s="571">
        <f>'EQUILIBRIO E CORREÇÃO NA CTC'!L56</f>
        <v>0</v>
      </c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</row>
    <row r="39" spans="1:39" ht="15" customHeight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518" t="str">
        <f>IF('Memória de cálculo'!F51&gt;0.01,"Equivalente a:","")</f>
        <v>Equivalente a:</v>
      </c>
      <c r="K39" s="572" t="str">
        <f>IF('EQUILIBRIO E CORREÇÃO NA CTC'!V5&gt;0.001,"","Custo/Alqueire:")</f>
        <v>Custo/Alqueire:</v>
      </c>
      <c r="L39" s="795" t="e">
        <f>IF('Memória de cálculo'!F96&gt;0.001,L38*H8,"")</f>
        <v>#VALUE!</v>
      </c>
      <c r="M39" s="795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2"/>
      <c r="AM39" s="512"/>
    </row>
    <row r="40" spans="1:39" ht="15" customHeight="1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  <c r="AJ40" s="512"/>
      <c r="AK40" s="512"/>
      <c r="AL40" s="512"/>
      <c r="AM40" s="512"/>
    </row>
    <row r="41" spans="1:39" ht="19.350000000000001" customHeight="1" x14ac:dyDescent="0.25">
      <c r="A41" s="574" t="s">
        <v>340</v>
      </c>
      <c r="B41" s="575"/>
      <c r="C41" s="575"/>
      <c r="D41" s="575"/>
      <c r="E41" s="576"/>
      <c r="F41" s="796" t="s">
        <v>184</v>
      </c>
      <c r="G41" s="796"/>
      <c r="H41" s="577" t="e">
        <f>'[2]Sugestão de Adubação pela expor'!C3</f>
        <v>#REF!</v>
      </c>
      <c r="I41" s="578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37" t="str">
        <f>IFERROR(K41,"")</f>
        <v/>
      </c>
      <c r="M41" s="573" t="e">
        <f>IF('Memória de cálculo'!F96&gt;0.001,L37,"")</f>
        <v>#VALUE!</v>
      </c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512"/>
      <c r="AK41" s="512"/>
      <c r="AL41" s="512"/>
      <c r="AM41" s="512"/>
    </row>
    <row r="42" spans="1:39" ht="19.350000000000001" customHeight="1" x14ac:dyDescent="0.25">
      <c r="A42" s="579"/>
      <c r="B42" s="580" t="s">
        <v>341</v>
      </c>
      <c r="C42" s="510"/>
      <c r="D42" s="581" t="s">
        <v>207</v>
      </c>
      <c r="E42" s="510"/>
      <c r="F42" s="580" t="s">
        <v>342</v>
      </c>
      <c r="G42" s="511"/>
      <c r="H42" s="511"/>
      <c r="I42" s="582"/>
      <c r="J42" t="e">
        <f>IF('Memória de cálculo'!F96&gt;0.01,'Memória de cálculo'!G115,"")</f>
        <v>#VALUE!</v>
      </c>
      <c r="M42" s="583" t="e">
        <f>L39</f>
        <v>#VALUE!</v>
      </c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  <c r="AJ42" s="512"/>
      <c r="AK42" s="512"/>
      <c r="AL42" s="512"/>
      <c r="AM42" s="512"/>
    </row>
    <row r="43" spans="1:39" ht="14.1" customHeight="1" x14ac:dyDescent="0.25">
      <c r="A43" s="584"/>
      <c r="B43" s="514" t="e">
        <f>IF('[2]Sugestão de Adubação pela expor'!$B$14&gt;0,'[2]Sugestão de Adubação pela expor'!$B$14,"")</f>
        <v>#REF!</v>
      </c>
      <c r="C43" s="514"/>
      <c r="D43" s="585" t="e">
        <f>IF('[2]Sugestão de Adubação pela expor'!$D$14&gt;0,'[2]Sugestão de Adubação pela expor'!$D$14,"")</f>
        <v>#REF!</v>
      </c>
      <c r="E43" s="586"/>
      <c r="F43" s="586" t="e">
        <f>IF('[2]Sugestão de Adubação pela expor'!$D$14&lt;&gt;0,"Aplicar em Pré-plantio","")</f>
        <v>#REF!</v>
      </c>
      <c r="G43" s="586"/>
      <c r="H43" s="587"/>
      <c r="I43" s="588"/>
      <c r="M43" s="556" t="str">
        <f>IFERROR(M42,"")</f>
        <v/>
      </c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  <c r="AJ43" s="512"/>
      <c r="AK43" s="512"/>
      <c r="AL43" s="512"/>
      <c r="AM43" s="512"/>
    </row>
    <row r="44" spans="1:39" ht="14.1" customHeight="1" x14ac:dyDescent="0.25">
      <c r="A44" s="584"/>
      <c r="B44" s="514" t="e">
        <f>IF('[2]Sugestão de Adubação pela expor'!$B$15&gt;0,'[2]Sugestão de Adubação pela expor'!$B$15,"")</f>
        <v>#REF!</v>
      </c>
      <c r="C44" s="514"/>
      <c r="D44" s="585" t="e">
        <f>IF('[2]Sugestão de Adubação pela expor'!$D$15&gt;0,'[2]Sugestão de Adubação pela expor'!$D$15,"")</f>
        <v>#REF!</v>
      </c>
      <c r="E44" s="586"/>
      <c r="F44" s="586" t="e">
        <f>IF('[2]Sugestão de Adubação pela expor'!$D$15&lt;&gt;0,"Aplicar em Pré-plantio","")</f>
        <v>#REF!</v>
      </c>
      <c r="G44" s="586"/>
      <c r="H44" s="587"/>
      <c r="I44" s="588"/>
      <c r="K44" s="556" t="str">
        <f>IFERROR(M41,"")</f>
        <v/>
      </c>
      <c r="M44" t="e">
        <f>B32*2.42</f>
        <v>#VALUE!</v>
      </c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</row>
    <row r="45" spans="1:39" ht="14.1" customHeight="1" x14ac:dyDescent="0.25">
      <c r="A45" s="584"/>
      <c r="B45" s="514" t="e">
        <f>IF('[2]Sugestão de Adubação pela expor'!$B$16&gt;0,'[2]Sugestão de Adubação pela expor'!$B$16,"")</f>
        <v>#REF!</v>
      </c>
      <c r="C45" s="514"/>
      <c r="D45" s="585" t="e">
        <f>IF('[2]Sugestão de Adubação pela expor'!$D$16&gt;0,'[2]Sugestão de Adubação pela expor'!$D$16,"")</f>
        <v>#REF!</v>
      </c>
      <c r="E45" s="586"/>
      <c r="F45" s="586" t="e">
        <f>IF('[2]Sugestão de Adubação pela expor'!$D$16&lt;&gt;0,"Aplicar no Plantio","")</f>
        <v>#REF!</v>
      </c>
      <c r="G45" s="586"/>
      <c r="H45" s="587"/>
      <c r="I45" s="588"/>
      <c r="J45" t="e">
        <f>IF('Memória de cálculo'!F96&gt;0.01,"Toneladas/Hectare de","")</f>
        <v>#VALUE!</v>
      </c>
      <c r="K45" s="537" t="str">
        <f>IFERROR(J41,"")</f>
        <v>Não é necessário correção</v>
      </c>
      <c r="M45" s="556" t="str">
        <f>IFERROR(M44,"")</f>
        <v/>
      </c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512"/>
      <c r="AK45" s="512"/>
      <c r="AL45" s="512"/>
      <c r="AM45" s="512"/>
    </row>
    <row r="46" spans="1:39" ht="14.1" customHeight="1" x14ac:dyDescent="0.2">
      <c r="A46" s="589"/>
      <c r="B46" s="514" t="e">
        <f>IF('[2]Sugestão de Adubação pela expor'!$B$17&gt;0,'[2]Sugestão de Adubação pela expor'!$B$17,"")</f>
        <v>#REF!</v>
      </c>
      <c r="C46" s="514"/>
      <c r="D46" s="585" t="e">
        <f>IF('[2]Sugestão de Adubação pela expor'!$D$17&gt;0,'[2]Sugestão de Adubação pela expor'!$D$17,"")</f>
        <v>#REF!</v>
      </c>
      <c r="E46" s="273"/>
      <c r="F46" s="586" t="e">
        <f>IF('[2]Sugestão de Adubação pela expor'!$D$17&lt;&gt;0,"Aplicar Cobertura","")</f>
        <v>#REF!</v>
      </c>
      <c r="G46" s="273"/>
      <c r="H46" s="533"/>
      <c r="I46" s="590"/>
      <c r="J46" t="e">
        <f>IF('Memória de cálculo'!F96&gt;0.01,"Toneladas/Alqueire de","")</f>
        <v>#VALUE!</v>
      </c>
      <c r="K46" s="537" t="str">
        <f>IFERROR(J46,"")</f>
        <v/>
      </c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  <c r="AJ46" s="512"/>
      <c r="AK46" s="512"/>
      <c r="AL46" s="512"/>
      <c r="AM46" s="512"/>
    </row>
    <row r="47" spans="1:39" ht="14.1" customHeight="1" x14ac:dyDescent="0.2">
      <c r="A47" s="591"/>
      <c r="B47" s="514" t="e">
        <f>IF('[2]Sugestão de Adubação pela expor'!$B$18&gt;0,'[2]Sugestão de Adubação pela expor'!$B$18,"")</f>
        <v>#REF!</v>
      </c>
      <c r="C47" s="427"/>
      <c r="D47" s="585" t="e">
        <f>IF('[2]Sugestão de Adubação pela expor'!$D$18&gt;0,'[2]Sugestão de Adubação pela expor'!$D$18,"")</f>
        <v>#REF!</v>
      </c>
      <c r="E47" s="586"/>
      <c r="F47" s="586" t="e">
        <f>IF('[2]Sugestão de Adubação pela expor'!$D$18&lt;&gt;0,"Aplicar Cobertura","")</f>
        <v>#REF!</v>
      </c>
      <c r="G47" s="586"/>
      <c r="H47" s="541"/>
      <c r="I47" s="59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</row>
    <row r="48" spans="1:39" ht="14.85" customHeight="1" x14ac:dyDescent="0.2">
      <c r="A48" s="426"/>
      <c r="B48" s="427"/>
      <c r="C48" s="427"/>
      <c r="D48" s="427"/>
      <c r="E48" s="427"/>
      <c r="F48" s="427"/>
      <c r="G48" s="427"/>
      <c r="H48" s="541"/>
      <c r="I48" s="428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</row>
    <row r="49" spans="1:39" ht="19.350000000000001" customHeight="1" x14ac:dyDescent="0.25">
      <c r="A49" s="593" t="s">
        <v>343</v>
      </c>
      <c r="B49" s="527"/>
      <c r="C49" s="527"/>
      <c r="D49" s="527"/>
      <c r="E49" s="527"/>
      <c r="F49" s="527"/>
      <c r="G49" s="527"/>
      <c r="H49" s="545"/>
      <c r="I49" s="594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</row>
    <row r="50" spans="1:39" ht="14.25" customHeight="1" x14ac:dyDescent="0.2">
      <c r="A50" s="797"/>
      <c r="B50" s="797"/>
      <c r="C50" s="797"/>
      <c r="D50" s="797"/>
      <c r="E50" s="797"/>
      <c r="F50" s="797"/>
      <c r="G50" s="797"/>
      <c r="H50" s="797"/>
      <c r="I50" s="797"/>
      <c r="J50" s="518" t="str">
        <f>IF('Memória de cálculo'!E50&gt;0.01,"Kg/hectare de ","")</f>
        <v/>
      </c>
      <c r="K50" s="518" t="str">
        <f>IF('Memória de cálculo'!E50&gt;0.01,"Aplicar: ","")</f>
        <v/>
      </c>
      <c r="N50" s="532">
        <f>'EQUILIBRIO E CORREÇÃO NA CTC'!C79</f>
        <v>0</v>
      </c>
      <c r="O50" t="str">
        <f>IF(N50&gt;0.001,N50,"")</f>
        <v/>
      </c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 s="512"/>
      <c r="AE50" s="512"/>
      <c r="AF50" s="512"/>
      <c r="AG50" s="512"/>
      <c r="AH50" s="512"/>
      <c r="AI50" s="512"/>
      <c r="AJ50" s="512"/>
      <c r="AK50" s="512"/>
      <c r="AL50" s="512"/>
      <c r="AM50" s="512"/>
    </row>
    <row r="51" spans="1:39" ht="12.75" customHeight="1" x14ac:dyDescent="0.2">
      <c r="A51" s="797"/>
      <c r="B51" s="797"/>
      <c r="C51" s="797"/>
      <c r="D51" s="797"/>
      <c r="E51" s="797"/>
      <c r="F51" s="797"/>
      <c r="G51" s="797"/>
      <c r="H51" s="797"/>
      <c r="I51" s="797"/>
      <c r="K51" s="518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2"/>
      <c r="AM51" s="512"/>
    </row>
    <row r="52" spans="1:39" ht="12.75" customHeight="1" x14ac:dyDescent="0.2">
      <c r="A52" s="797"/>
      <c r="B52" s="797"/>
      <c r="C52" s="797"/>
      <c r="D52" s="797"/>
      <c r="E52" s="797"/>
      <c r="F52" s="797"/>
      <c r="G52" s="797"/>
      <c r="H52" s="797"/>
      <c r="I52" s="797"/>
      <c r="J52" s="539"/>
      <c r="K52" s="518" t="str">
        <f>IF('Memória de cálculo'!E50&gt;0.01,"Forma de aplicação:","")</f>
        <v/>
      </c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</row>
    <row r="53" spans="1:39" ht="12.75" customHeight="1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</row>
    <row r="54" spans="1:39" ht="12.75" customHeight="1" x14ac:dyDescent="0.2">
      <c r="A54" s="511"/>
      <c r="B54" s="595"/>
      <c r="C54" s="564"/>
      <c r="D54" s="511"/>
      <c r="E54" s="511"/>
      <c r="F54" s="511"/>
      <c r="G54" s="511"/>
      <c r="H54" s="511"/>
      <c r="I54" s="511"/>
      <c r="K54" s="543">
        <f>R43</f>
        <v>0</v>
      </c>
      <c r="L54">
        <f>R44</f>
        <v>0</v>
      </c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  <c r="AM54" s="512"/>
    </row>
    <row r="55" spans="1:39" ht="14.85" customHeight="1" x14ac:dyDescent="0.2">
      <c r="A55" s="511"/>
      <c r="B55" s="595"/>
      <c r="C55" s="557"/>
      <c r="D55" s="511"/>
      <c r="E55" s="790" t="str">
        <f>'EQUILIBRIO E CORREÇÃO NA CTC'!B4</f>
        <v>Maringá</v>
      </c>
      <c r="F55" s="790"/>
      <c r="G55" s="790"/>
      <c r="H55" s="596">
        <f>'EQUILIBRIO E CORREÇÃO NA CTC'!J3</f>
        <v>43381</v>
      </c>
      <c r="I55" s="511"/>
      <c r="J55" s="518" t="str">
        <f>IF('Memória de cálculo'!E50&gt;0.01,"Kg/alqueire de ","")</f>
        <v/>
      </c>
      <c r="K55" s="596">
        <f>'EQUILIBRIO E CORREÇÃO NA CTC'!J3</f>
        <v>43381</v>
      </c>
      <c r="L55" s="597">
        <f>IFERROR(K55,"")</f>
        <v>43381</v>
      </c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</row>
    <row r="56" spans="1:39" ht="14.1" customHeight="1" x14ac:dyDescent="0.2">
      <c r="A56" s="511"/>
      <c r="B56" s="595"/>
      <c r="C56" s="557"/>
      <c r="D56" s="511"/>
      <c r="E56" s="587"/>
      <c r="F56" s="587"/>
      <c r="G56" s="587"/>
      <c r="H56" s="598"/>
      <c r="I56" s="511"/>
      <c r="L56" s="547">
        <f>I45*2.42</f>
        <v>0</v>
      </c>
      <c r="M56" s="518" t="str">
        <f>IF('Memória de cálculo'!E50&gt;0.01,L56,"")</f>
        <v/>
      </c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  <c r="AM56" s="512"/>
    </row>
    <row r="57" spans="1:39" ht="14.1" customHeight="1" x14ac:dyDescent="0.2">
      <c r="A57" s="599"/>
      <c r="B57" s="599"/>
      <c r="C57" s="599"/>
      <c r="D57" s="599"/>
      <c r="E57" s="511"/>
      <c r="F57" s="600"/>
      <c r="G57" s="599"/>
      <c r="H57" s="599"/>
      <c r="I57" s="599"/>
      <c r="J57" s="791" t="str">
        <f>'EQUILIBRIO E CORREÇÃO NA CTC'!C7</f>
        <v>Pedro Cecere Filho</v>
      </c>
      <c r="K57" s="791"/>
      <c r="L57" s="791"/>
      <c r="M57" s="791"/>
      <c r="N57" s="511"/>
      <c r="O57" s="792" t="str">
        <f>B6</f>
        <v>Matheus Martinhão</v>
      </c>
      <c r="P57" s="792"/>
      <c r="Q57" s="792"/>
      <c r="R57" s="79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</row>
    <row r="58" spans="1:39" ht="14.1" customHeight="1" x14ac:dyDescent="0.2">
      <c r="A58" s="793" t="str">
        <f>K58</f>
        <v>Pedro Cecere Filho</v>
      </c>
      <c r="B58" s="793"/>
      <c r="C58" s="793"/>
      <c r="D58" s="793"/>
      <c r="E58" s="435"/>
      <c r="F58" s="794" t="str">
        <f>P58</f>
        <v>Matheus Martinhão</v>
      </c>
      <c r="G58" s="794"/>
      <c r="H58" s="794"/>
      <c r="I58" s="794"/>
      <c r="K58" s="597" t="str">
        <f>IFERROR(J57,"")</f>
        <v>Pedro Cecere Filho</v>
      </c>
      <c r="P58" s="597" t="str">
        <f>IFERROR(O57,"")</f>
        <v>Matheus Martinhão</v>
      </c>
      <c r="T58" s="512"/>
      <c r="U58" s="512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</row>
    <row r="59" spans="1:39" ht="14.1" customHeight="1" x14ac:dyDescent="0.2">
      <c r="A59" s="788" t="s">
        <v>344</v>
      </c>
      <c r="B59" s="788"/>
      <c r="C59" s="788"/>
      <c r="D59" s="788"/>
      <c r="E59" s="133"/>
      <c r="F59" s="789" t="s">
        <v>345</v>
      </c>
      <c r="G59" s="789"/>
      <c r="H59" s="789"/>
      <c r="I59" s="789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512"/>
      <c r="AG59" s="512"/>
      <c r="AH59" s="512"/>
      <c r="AI59" s="512"/>
      <c r="AJ59" s="512"/>
      <c r="AK59" s="512"/>
      <c r="AL59" s="512"/>
      <c r="AM59" s="512"/>
    </row>
    <row r="60" spans="1:39" ht="14.1" customHeight="1" x14ac:dyDescent="0.2">
      <c r="A60" s="519"/>
      <c r="B60" s="519"/>
      <c r="C60" s="519"/>
      <c r="D60" s="519"/>
      <c r="E60" s="519"/>
      <c r="F60" s="519"/>
      <c r="G60" s="519"/>
      <c r="H60" s="519"/>
      <c r="I60" s="519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</row>
    <row r="61" spans="1:39" ht="14.1" customHeight="1" x14ac:dyDescent="0.2">
      <c r="A61" s="519"/>
      <c r="B61" s="519"/>
      <c r="C61" s="519"/>
      <c r="D61" s="519"/>
      <c r="E61" s="519"/>
      <c r="F61" s="519"/>
      <c r="G61" s="519"/>
      <c r="H61" s="519"/>
      <c r="I61" s="519"/>
      <c r="K61" s="550" t="s">
        <v>324</v>
      </c>
      <c r="L61" s="551"/>
      <c r="M61" s="551"/>
      <c r="N61" s="552">
        <f>'Memória de cálculo'!K68</f>
        <v>0</v>
      </c>
      <c r="T61" s="512"/>
      <c r="U61" s="512"/>
      <c r="V61" s="512"/>
      <c r="W61" s="512"/>
      <c r="X61" s="512"/>
      <c r="Y61" s="512"/>
      <c r="Z61" s="512"/>
      <c r="AA61" s="512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2"/>
      <c r="AM61" s="512"/>
    </row>
    <row r="62" spans="1:39" ht="14.1" customHeight="1" x14ac:dyDescent="0.2">
      <c r="A62" s="519"/>
      <c r="B62" s="519"/>
      <c r="C62" s="519"/>
      <c r="D62" s="519"/>
      <c r="E62" s="519"/>
      <c r="F62" s="519"/>
      <c r="G62" s="519"/>
      <c r="H62" s="519"/>
      <c r="I62" s="519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</row>
    <row r="63" spans="1:39" ht="12.75" customHeight="1" x14ac:dyDescent="0.2">
      <c r="A63" s="519"/>
      <c r="B63" s="519"/>
      <c r="C63" s="519"/>
      <c r="D63" s="519"/>
      <c r="E63" s="519"/>
      <c r="F63" s="519"/>
      <c r="G63" s="519"/>
      <c r="H63" s="519"/>
      <c r="I63" s="519"/>
      <c r="J63" t="str">
        <f>IF('EQUILIBRIO E CORREÇÃO NA CTC'!O206&gt;0.001,'EQUILIBRIO E CORREÇÃO NA CTC'!F233,"")</f>
        <v/>
      </c>
      <c r="K63" s="601">
        <f>'EQUILIBRIO E CORREÇÃO NA CTC'!J235</f>
        <v>0</v>
      </c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</row>
    <row r="64" spans="1:39" ht="12.75" customHeight="1" x14ac:dyDescent="0.2">
      <c r="A64" s="519"/>
      <c r="B64" s="519"/>
      <c r="C64" s="519"/>
      <c r="D64" s="519"/>
      <c r="E64" s="519"/>
      <c r="F64" s="519"/>
      <c r="G64" s="519"/>
      <c r="H64" s="519"/>
      <c r="I64" s="519"/>
      <c r="J64" t="str">
        <f>IF('EQUILIBRIO E CORREÇÃO NA CTC'!O206&gt;0.001,'EQUILIBRIO E CORREÇÃO NA CTC'!F235,"")</f>
        <v/>
      </c>
      <c r="T64" s="512"/>
      <c r="U64" s="512"/>
      <c r="V64" s="512"/>
      <c r="W64" s="512"/>
      <c r="X64" s="512"/>
      <c r="Y64" s="512"/>
      <c r="Z64" s="512"/>
      <c r="AA64" s="512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2"/>
      <c r="AM64" s="512"/>
    </row>
    <row r="65" spans="1:39" ht="12.75" customHeight="1" x14ac:dyDescent="0.2">
      <c r="A65" s="519"/>
      <c r="B65" s="519"/>
      <c r="C65" s="519"/>
      <c r="D65" s="519"/>
      <c r="E65" s="519"/>
      <c r="F65" s="519"/>
      <c r="G65" s="519"/>
      <c r="H65" s="519"/>
      <c r="I65" s="519"/>
      <c r="T65" s="512"/>
      <c r="U65" s="512"/>
      <c r="V65" s="512"/>
      <c r="W65" s="512"/>
      <c r="X65" s="512"/>
      <c r="Y65" s="512"/>
      <c r="Z65" s="512"/>
      <c r="AA65" s="512"/>
      <c r="AB65" s="512"/>
      <c r="AC65" s="512"/>
      <c r="AD65" s="512"/>
      <c r="AE65" s="512"/>
      <c r="AF65" s="512"/>
      <c r="AG65" s="512"/>
      <c r="AH65" s="512"/>
      <c r="AI65" s="512"/>
      <c r="AJ65" s="512"/>
      <c r="AK65" s="512"/>
      <c r="AL65" s="512"/>
      <c r="AM65" s="512"/>
    </row>
    <row r="66" spans="1:39" ht="12.75" customHeight="1" x14ac:dyDescent="0.2">
      <c r="A66" s="519"/>
      <c r="B66" s="519"/>
      <c r="C66" s="519"/>
      <c r="D66" s="519"/>
      <c r="E66" s="519"/>
      <c r="F66" s="519"/>
      <c r="G66" s="519"/>
      <c r="H66" s="519"/>
      <c r="I66" s="519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</row>
    <row r="67" spans="1:39" ht="12.75" customHeight="1" x14ac:dyDescent="0.2">
      <c r="A67" s="519"/>
      <c r="B67" s="519"/>
      <c r="C67" s="519"/>
      <c r="D67" s="519"/>
      <c r="E67" s="519"/>
      <c r="F67" s="519"/>
      <c r="G67" s="519"/>
      <c r="H67" s="519"/>
      <c r="I67" s="519"/>
      <c r="T67" s="512"/>
      <c r="U67" s="512"/>
      <c r="V67" s="512"/>
      <c r="W67" s="512"/>
      <c r="X67" s="512"/>
      <c r="Y67" s="512"/>
      <c r="Z67" s="512"/>
      <c r="AA67" s="512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2"/>
      <c r="AM67" s="512"/>
    </row>
    <row r="68" spans="1:39" ht="12.75" customHeight="1" x14ac:dyDescent="0.2">
      <c r="A68" s="519"/>
      <c r="B68" s="519"/>
      <c r="C68" s="519"/>
      <c r="D68" s="519"/>
      <c r="E68" s="519"/>
      <c r="F68" s="519"/>
      <c r="G68" s="519"/>
      <c r="H68" s="519"/>
      <c r="I68" s="519"/>
      <c r="T68" s="512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512"/>
      <c r="AI68" s="512"/>
      <c r="AJ68" s="512"/>
      <c r="AK68" s="512"/>
      <c r="AL68" s="512"/>
      <c r="AM68" s="512"/>
    </row>
    <row r="69" spans="1:39" ht="12.75" customHeight="1" x14ac:dyDescent="0.2">
      <c r="A69" s="519"/>
      <c r="B69" s="519"/>
      <c r="C69" s="519"/>
      <c r="D69" s="519"/>
      <c r="E69" s="519"/>
      <c r="F69" s="519"/>
      <c r="G69" s="519"/>
      <c r="H69" s="519"/>
      <c r="I69" s="519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</row>
    <row r="70" spans="1:39" ht="15.75" customHeight="1" x14ac:dyDescent="0.2"/>
  </sheetData>
  <mergeCells count="29">
    <mergeCell ref="A3:I4"/>
    <mergeCell ref="E6:F6"/>
    <mergeCell ref="C11:D11"/>
    <mergeCell ref="E11:G11"/>
    <mergeCell ref="C13:D13"/>
    <mergeCell ref="E13:G13"/>
    <mergeCell ref="A15:C15"/>
    <mergeCell ref="A16:I19"/>
    <mergeCell ref="C21:D21"/>
    <mergeCell ref="E21:G21"/>
    <mergeCell ref="C23:D23"/>
    <mergeCell ref="E23:G23"/>
    <mergeCell ref="A26:I29"/>
    <mergeCell ref="E32:G32"/>
    <mergeCell ref="E34:G34"/>
    <mergeCell ref="J36:K36"/>
    <mergeCell ref="A37:I40"/>
    <mergeCell ref="M37:N37"/>
    <mergeCell ref="L38:M38"/>
    <mergeCell ref="L39:M39"/>
    <mergeCell ref="F41:G41"/>
    <mergeCell ref="A50:I53"/>
    <mergeCell ref="A59:D59"/>
    <mergeCell ref="F59:I59"/>
    <mergeCell ref="E55:G55"/>
    <mergeCell ref="J57:M57"/>
    <mergeCell ref="O57:R57"/>
    <mergeCell ref="A58:D58"/>
    <mergeCell ref="F58:I58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  <vt:lpstr>'EQUILIBRIO E CORREÇÃO NA CTC'!Area_de_impressao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Felipe Pedroti Raymundo</cp:lastModifiedBy>
  <cp:revision>24</cp:revision>
  <cp:lastPrinted>2018-06-28T10:28:38Z</cp:lastPrinted>
  <dcterms:created xsi:type="dcterms:W3CDTF">2018-06-21T14:09:28Z</dcterms:created>
  <dcterms:modified xsi:type="dcterms:W3CDTF">2021-10-26T17:45:34Z</dcterms:modified>
  <dc:language>pt-BR</dc:language>
</cp:coreProperties>
</file>