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R\Documents\Python\PVE-Python\"/>
    </mc:Choice>
  </mc:AlternateContent>
  <xr:revisionPtr revIDLastSave="0" documentId="13_ncr:1_{F5BC270F-CEC6-4B6A-A8D8-AA348B20B1E5}" xr6:coauthVersionLast="47" xr6:coauthVersionMax="47" xr10:uidLastSave="{00000000-0000-0000-0000-000000000000}"/>
  <bookViews>
    <workbookView xWindow="-108" yWindow="-108" windowWidth="23256" windowHeight="12456" activeTab="2" xr2:uid="{CF268C23-E4F9-432E-8C46-4ACEC305240A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6" i="3" l="1"/>
  <c r="S26" i="3"/>
  <c r="T22" i="3"/>
  <c r="M26" i="3"/>
  <c r="M27" i="3"/>
  <c r="M28" i="3"/>
  <c r="M29" i="3"/>
  <c r="M30" i="3"/>
  <c r="M25" i="3"/>
  <c r="K26" i="3"/>
  <c r="L26" i="3"/>
  <c r="K27" i="3"/>
  <c r="L27" i="3"/>
  <c r="K28" i="3"/>
  <c r="L28" i="3"/>
  <c r="K29" i="3"/>
  <c r="L29" i="3"/>
  <c r="K30" i="3"/>
  <c r="L30" i="3"/>
  <c r="L25" i="3"/>
  <c r="K25" i="3"/>
  <c r="J30" i="3"/>
  <c r="J29" i="3"/>
  <c r="J28" i="3"/>
  <c r="J27" i="3"/>
  <c r="J26" i="3"/>
  <c r="J25" i="3"/>
  <c r="M10" i="3"/>
  <c r="M11" i="3"/>
  <c r="M19" i="3" s="1"/>
  <c r="M12" i="3"/>
  <c r="M20" i="3" s="1"/>
  <c r="M13" i="3"/>
  <c r="M14" i="3"/>
  <c r="M9" i="3"/>
  <c r="K18" i="3"/>
  <c r="L18" i="3"/>
  <c r="M18" i="3"/>
  <c r="K19" i="3"/>
  <c r="L19" i="3"/>
  <c r="K20" i="3"/>
  <c r="L20" i="3"/>
  <c r="K21" i="3"/>
  <c r="L21" i="3"/>
  <c r="M21" i="3"/>
  <c r="K22" i="3"/>
  <c r="L22" i="3"/>
  <c r="M22" i="3"/>
  <c r="L17" i="3"/>
  <c r="M17" i="3"/>
  <c r="K17" i="3"/>
  <c r="J22" i="3"/>
  <c r="J21" i="3"/>
  <c r="J20" i="3"/>
  <c r="J19" i="3"/>
  <c r="J18" i="3"/>
  <c r="J17" i="3"/>
  <c r="Q22" i="3"/>
  <c r="S22" i="3"/>
  <c r="R22" i="3"/>
  <c r="J14" i="3"/>
  <c r="J10" i="3"/>
  <c r="J9" i="3"/>
  <c r="B30" i="3"/>
  <c r="D28" i="3"/>
  <c r="B28" i="3"/>
  <c r="C20" i="3"/>
  <c r="C26" i="3" s="1"/>
  <c r="D20" i="3"/>
  <c r="D26" i="3" s="1"/>
  <c r="E20" i="3"/>
  <c r="E26" i="3" s="1"/>
  <c r="B26" i="3"/>
  <c r="B24" i="3"/>
  <c r="C24" i="3"/>
  <c r="D24" i="3"/>
  <c r="E24" i="3"/>
  <c r="B25" i="3"/>
  <c r="C25" i="3"/>
  <c r="D25" i="3"/>
  <c r="E25" i="3"/>
  <c r="C23" i="3"/>
  <c r="D23" i="3"/>
  <c r="E23" i="3"/>
  <c r="B23" i="3"/>
  <c r="B6" i="3"/>
  <c r="D13" i="3"/>
  <c r="E13" i="3"/>
  <c r="B2" i="3"/>
  <c r="B3" i="3" s="1"/>
  <c r="B4" i="3" s="1"/>
  <c r="C13" i="3"/>
  <c r="B13" i="3"/>
  <c r="B20" i="2"/>
  <c r="H11" i="2"/>
  <c r="I11" i="2" s="1"/>
  <c r="A10" i="2"/>
  <c r="B8" i="2"/>
  <c r="C2" i="2"/>
  <c r="H2" i="2" s="1"/>
  <c r="J2" i="2" s="1"/>
  <c r="C24" i="2" s="1"/>
  <c r="N34" i="1"/>
  <c r="I16" i="1"/>
  <c r="I19" i="1" s="1"/>
  <c r="N33" i="1"/>
  <c r="O20" i="1"/>
  <c r="O21" i="1"/>
  <c r="O22" i="1"/>
  <c r="O23" i="1"/>
  <c r="O24" i="1"/>
  <c r="O25" i="1"/>
  <c r="O26" i="1"/>
  <c r="O27" i="1"/>
  <c r="O28" i="1"/>
  <c r="O29" i="1"/>
  <c r="O19" i="1"/>
  <c r="N20" i="1"/>
  <c r="N21" i="1"/>
  <c r="N22" i="1"/>
  <c r="N23" i="1"/>
  <c r="N24" i="1"/>
  <c r="N25" i="1"/>
  <c r="N26" i="1"/>
  <c r="N27" i="1"/>
  <c r="N28" i="1"/>
  <c r="N29" i="1"/>
  <c r="J33" i="1"/>
  <c r="J20" i="1"/>
  <c r="J21" i="1"/>
  <c r="J22" i="1"/>
  <c r="J23" i="1"/>
  <c r="K23" i="1" s="1"/>
  <c r="J24" i="1"/>
  <c r="K24" i="1" s="1"/>
  <c r="J25" i="1"/>
  <c r="J26" i="1"/>
  <c r="J27" i="1"/>
  <c r="K27" i="1" s="1"/>
  <c r="J28" i="1"/>
  <c r="J29" i="1"/>
  <c r="N19" i="1"/>
  <c r="J19" i="1"/>
  <c r="K26" i="1" s="1"/>
  <c r="H33" i="1"/>
  <c r="H21" i="1"/>
  <c r="H20" i="1"/>
  <c r="H22" i="1"/>
  <c r="H23" i="1"/>
  <c r="H24" i="1"/>
  <c r="H25" i="1"/>
  <c r="H26" i="1"/>
  <c r="H27" i="1"/>
  <c r="H28" i="1"/>
  <c r="H29" i="1"/>
  <c r="H19" i="1"/>
  <c r="F33" i="1"/>
  <c r="F18" i="1"/>
  <c r="F19" i="1"/>
  <c r="E33" i="1"/>
  <c r="E19" i="1"/>
  <c r="E18" i="1"/>
  <c r="D18" i="1"/>
  <c r="G20" i="1"/>
  <c r="G21" i="1"/>
  <c r="G22" i="1"/>
  <c r="G23" i="1"/>
  <c r="G24" i="1"/>
  <c r="G25" i="1"/>
  <c r="G26" i="1"/>
  <c r="G27" i="1"/>
  <c r="G28" i="1"/>
  <c r="G29" i="1"/>
  <c r="G32" i="1" s="1"/>
  <c r="G33" i="1" s="1"/>
  <c r="X19" i="1"/>
  <c r="W19" i="1"/>
  <c r="Y20" i="1"/>
  <c r="Y21" i="1"/>
  <c r="Y22" i="1"/>
  <c r="Y23" i="1"/>
  <c r="Y24" i="1"/>
  <c r="Y25" i="1"/>
  <c r="Y26" i="1"/>
  <c r="Y27" i="1"/>
  <c r="Y28" i="1"/>
  <c r="Y29" i="1"/>
  <c r="Y32" i="1" s="1"/>
  <c r="Y33" i="1" s="1"/>
  <c r="Y19" i="1"/>
  <c r="C33" i="1"/>
  <c r="C19" i="1"/>
  <c r="C18" i="1"/>
  <c r="B33" i="1"/>
  <c r="A20" i="1"/>
  <c r="A21" i="1" s="1"/>
  <c r="A22" i="1" s="1"/>
  <c r="A23" i="1" s="1"/>
  <c r="A24" i="1" s="1"/>
  <c r="A25" i="1" s="1"/>
  <c r="A26" i="1" s="1"/>
  <c r="B19" i="1"/>
  <c r="B18" i="1"/>
  <c r="AA5" i="1"/>
  <c r="AA7" i="1" s="1"/>
  <c r="AJ18" i="1"/>
  <c r="AJ19" i="1"/>
  <c r="W4" i="1"/>
  <c r="W5" i="1"/>
  <c r="W6" i="1"/>
  <c r="W7" i="1"/>
  <c r="W8" i="1"/>
  <c r="W9" i="1"/>
  <c r="W10" i="1"/>
  <c r="W11" i="1"/>
  <c r="W12" i="1"/>
  <c r="W3" i="1"/>
  <c r="J11" i="3" l="1"/>
  <c r="B20" i="3"/>
  <c r="D17" i="3"/>
  <c r="B17" i="3"/>
  <c r="C13" i="2"/>
  <c r="C20" i="2"/>
  <c r="C21" i="2"/>
  <c r="C22" i="2"/>
  <c r="C23" i="2"/>
  <c r="C8" i="2"/>
  <c r="D24" i="2" s="1"/>
  <c r="E24" i="2" s="1"/>
  <c r="F24" i="2" s="1"/>
  <c r="C9" i="2"/>
  <c r="C11" i="2"/>
  <c r="C10" i="2"/>
  <c r="C12" i="2"/>
  <c r="K22" i="1"/>
  <c r="K29" i="1"/>
  <c r="K21" i="1"/>
  <c r="K20" i="1"/>
  <c r="K28" i="1"/>
  <c r="K25" i="1"/>
  <c r="K19" i="1"/>
  <c r="G19" i="1"/>
  <c r="Z19" i="1" s="1"/>
  <c r="AA19" i="1"/>
  <c r="AK18" i="1"/>
  <c r="AA8" i="1"/>
  <c r="A27" i="1"/>
  <c r="A28" i="1" s="1"/>
  <c r="A29" i="1" s="1"/>
  <c r="I29" i="1" s="1"/>
  <c r="I26" i="1"/>
  <c r="I25" i="1"/>
  <c r="I24" i="1"/>
  <c r="I23" i="1"/>
  <c r="I18" i="1"/>
  <c r="I22" i="1"/>
  <c r="I21" i="1"/>
  <c r="I20" i="1"/>
  <c r="J12" i="3" l="1"/>
  <c r="J13" i="3"/>
  <c r="B18" i="3"/>
  <c r="E17" i="3"/>
  <c r="E19" i="3"/>
  <c r="C17" i="3"/>
  <c r="D18" i="3"/>
  <c r="B19" i="3"/>
  <c r="C16" i="3"/>
  <c r="C19" i="3"/>
  <c r="E16" i="3"/>
  <c r="D19" i="3"/>
  <c r="D21" i="2"/>
  <c r="E21" i="2" s="1"/>
  <c r="F21" i="2" s="1"/>
  <c r="D8" i="2"/>
  <c r="D25" i="2"/>
  <c r="E18" i="3"/>
  <c r="B16" i="3"/>
  <c r="D16" i="3"/>
  <c r="C18" i="3"/>
  <c r="D22" i="2"/>
  <c r="E22" i="2" s="1"/>
  <c r="F22" i="2" s="1"/>
  <c r="D12" i="2"/>
  <c r="E12" i="2" s="1"/>
  <c r="F12" i="2" s="1"/>
  <c r="D23" i="2"/>
  <c r="E23" i="2" s="1"/>
  <c r="F23" i="2" s="1"/>
  <c r="D20" i="2"/>
  <c r="D13" i="2"/>
  <c r="E13" i="2" s="1"/>
  <c r="F13" i="2" s="1"/>
  <c r="D10" i="2"/>
  <c r="E10" i="2" s="1"/>
  <c r="F10" i="2" s="1"/>
  <c r="D11" i="2"/>
  <c r="E11" i="2" s="1"/>
  <c r="F11" i="2" s="1"/>
  <c r="D9" i="2"/>
  <c r="I27" i="1"/>
  <c r="Z27" i="1" s="1"/>
  <c r="I28" i="1"/>
  <c r="AA28" i="1" s="1"/>
  <c r="Z23" i="1"/>
  <c r="AA23" i="1"/>
  <c r="Z24" i="1"/>
  <c r="AA24" i="1"/>
  <c r="Z22" i="1"/>
  <c r="AA22" i="1"/>
  <c r="AA25" i="1"/>
  <c r="Z25" i="1"/>
  <c r="AA20" i="1"/>
  <c r="Z20" i="1"/>
  <c r="AA26" i="1"/>
  <c r="Z26" i="1"/>
  <c r="Z29" i="1"/>
  <c r="AA29" i="1"/>
  <c r="Z21" i="1"/>
  <c r="AA21" i="1"/>
  <c r="X9" i="1"/>
  <c r="X10" i="1"/>
  <c r="X11" i="1"/>
  <c r="X4" i="1"/>
  <c r="X12" i="1"/>
  <c r="X5" i="1"/>
  <c r="X3" i="1"/>
  <c r="X6" i="1"/>
  <c r="X7" i="1"/>
  <c r="X8" i="1"/>
  <c r="E9" i="2" l="1"/>
  <c r="F9" i="2" s="1"/>
  <c r="AA27" i="1"/>
  <c r="Z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tc={312C9A6E-1545-402C-B781-94A09B5BD160}</author>
    <author>tc={CFBCC7DC-F86F-42E4-9D7C-D6A1A3A9555B}</author>
  </authors>
  <commentList>
    <comment ref="F15" authorId="0" shapeId="0" xr:uid="{312C9A6E-1545-402C-B781-94A09B5BD16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 mas lineal, R=1</t>
      </text>
    </comment>
    <comment ref="A19" authorId="1" shapeId="0" xr:uid="{CFBCC7DC-F86F-42E4-9D7C-D6A1A3A9555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 precarga</t>
      </text>
    </comment>
  </commentList>
</comments>
</file>

<file path=xl/sharedStrings.xml><?xml version="1.0" encoding="utf-8"?>
<sst xmlns="http://schemas.openxmlformats.org/spreadsheetml/2006/main" count="150" uniqueCount="100">
  <si>
    <t>Sin carga</t>
  </si>
  <si>
    <t>Voltaje iteración #1(mV)</t>
  </si>
  <si>
    <t>Voltaje iteración #2 (mV)</t>
  </si>
  <si>
    <t>Carga</t>
  </si>
  <si>
    <t>peso</t>
  </si>
  <si>
    <t>peso (subida)</t>
  </si>
  <si>
    <t>peso (bajada)</t>
  </si>
  <si>
    <t>señal (mV)</t>
  </si>
  <si>
    <t>Sensibilidad Celda (mV)</t>
  </si>
  <si>
    <t>Voltaje de alimentacion</t>
  </si>
  <si>
    <t>Voltaje maximo (mV)</t>
  </si>
  <si>
    <t>Capacidad Maxima (lb)</t>
  </si>
  <si>
    <t>Ganancia (kg/mV)</t>
  </si>
  <si>
    <t>Out (mV)</t>
  </si>
  <si>
    <t>Pesos (kg)</t>
  </si>
  <si>
    <t>EC_Celda 1, sens=2,999 mV/V</t>
  </si>
  <si>
    <t>Celda 1</t>
  </si>
  <si>
    <t>0,0787x+0,8091</t>
  </si>
  <si>
    <t>Cálculo (mV)</t>
  </si>
  <si>
    <t>Peso prueba
(kg)</t>
  </si>
  <si>
    <t>Medición (mV)</t>
  </si>
  <si>
    <t>Error máximo percibido</t>
  </si>
  <si>
    <t>Celda 2</t>
  </si>
  <si>
    <t>0,0784x+0,6618</t>
  </si>
  <si>
    <t>analisis celda 2_180kg</t>
  </si>
  <si>
    <t>MC1 AZUL</t>
  </si>
  <si>
    <t>Celda 1 y 2</t>
  </si>
  <si>
    <t xml:space="preserve"> 0,0656x-0,5814</t>
  </si>
  <si>
    <t>MC1</t>
  </si>
  <si>
    <t>MC2</t>
  </si>
  <si>
    <t>MC2_Paral</t>
  </si>
  <si>
    <t>MC1_Paral</t>
  </si>
  <si>
    <t>0,0752x - 0,7126</t>
  </si>
  <si>
    <t>diferencia 1 y 2 paralela</t>
  </si>
  <si>
    <t>diferencia 1 y 2 opuesta</t>
  </si>
  <si>
    <t>Celda 4</t>
  </si>
  <si>
    <t>Celda 5</t>
  </si>
  <si>
    <t>0,0684x + 0,7476</t>
  </si>
  <si>
    <t>0,0789x + 0,7349</t>
  </si>
  <si>
    <t>Celda 4 y 5
IGUAL SENT</t>
  </si>
  <si>
    <t>MC3</t>
  </si>
  <si>
    <t>MC4</t>
  </si>
  <si>
    <t>--</t>
  </si>
  <si>
    <t>Celda 3</t>
  </si>
  <si>
    <t>0,0753x + 0,7022</t>
  </si>
  <si>
    <t>Celda 1 y 2 IGUAL SENT</t>
  </si>
  <si>
    <t>Celda 1 y 2
Con modifi</t>
  </si>
  <si>
    <t>Celda 4 y 5
Con modifi</t>
  </si>
  <si>
    <t>0,0783x + 0,6059</t>
  </si>
  <si>
    <t>Celda 1 y 2 con OFFSET</t>
  </si>
  <si>
    <t>Celda 4 y 5
Con OFFSET</t>
  </si>
  <si>
    <t>0,0773x + 1,1278</t>
  </si>
  <si>
    <t>mV/V</t>
  </si>
  <si>
    <t>Vs (V)</t>
  </si>
  <si>
    <t>mV/kg</t>
  </si>
  <si>
    <t>masas (kg)</t>
  </si>
  <si>
    <t>Vo (mV)</t>
  </si>
  <si>
    <t>Vo (kg)</t>
  </si>
  <si>
    <t>señal esperada mv</t>
  </si>
  <si>
    <t>divisiones de resolucion</t>
  </si>
  <si>
    <t>resolucion mv</t>
  </si>
  <si>
    <t>error relativo</t>
  </si>
  <si>
    <t>BASCULA 2</t>
  </si>
  <si>
    <t># rep</t>
  </si>
  <si>
    <t>Báscula 1
RL (mV)</t>
  </si>
  <si>
    <t>Báscula 2
RR (mV)</t>
  </si>
  <si>
    <t>Báscula 1
FL (mV)</t>
  </si>
  <si>
    <t>Báscula 2
FR (mV)</t>
  </si>
  <si>
    <t>Báscula 1
RL  (kg)</t>
  </si>
  <si>
    <t>Báscula 2
RR  (kg)</t>
  </si>
  <si>
    <t>Báscula 1
FL  (kg)</t>
  </si>
  <si>
    <t>Báscula 2
FR  (kg)</t>
  </si>
  <si>
    <t>prom</t>
  </si>
  <si>
    <t>resolución</t>
  </si>
  <si>
    <t>señal esperada</t>
  </si>
  <si>
    <t>divisiones de resolución+</t>
  </si>
  <si>
    <t>Peso del vehículo</t>
  </si>
  <si>
    <t>#</t>
  </si>
  <si>
    <t>hR (mm)</t>
  </si>
  <si>
    <t>hL (mm)</t>
  </si>
  <si>
    <t>h (mm)</t>
  </si>
  <si>
    <t>Nivel combustible: 50%</t>
  </si>
  <si>
    <t>Prueba en interfaz</t>
  </si>
  <si>
    <t>Básculas promedio (mV)</t>
  </si>
  <si>
    <t>Redondeo</t>
  </si>
  <si>
    <t>kg</t>
  </si>
  <si>
    <t>Báscula 1
RL (kg)</t>
  </si>
  <si>
    <t>Báscula 2
RR (kg)</t>
  </si>
  <si>
    <t>Front Axle</t>
  </si>
  <si>
    <t>Rear Axle</t>
  </si>
  <si>
    <t>Rear Axle (mV)</t>
  </si>
  <si>
    <t>Rear Axle (kg)</t>
  </si>
  <si>
    <t>B1</t>
  </si>
  <si>
    <t>B2</t>
  </si>
  <si>
    <t>hL</t>
  </si>
  <si>
    <t>hR</t>
  </si>
  <si>
    <t>h</t>
  </si>
  <si>
    <t>B1+B2</t>
  </si>
  <si>
    <t>sin offset</t>
  </si>
  <si>
    <t>con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</si>
</sst>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#,##0.000"/>
    <numFmt numFmtId="166" formatCode="#,##0.0000"/>
    <numFmt numFmtId="167" formatCode="0.0000"/>
    <numFmt numFmtId="168" formatCode="0.00000"/>
    <numFmt numFmtId="169" formatCode="0.0"/>
    <numFmt numFmtId="170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67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166" fontId="0" fillId="0" borderId="1" xfId="0" applyNumberFormat="1" applyBorder="1" applyAlignment="1">
      <alignment wrapText="1"/>
    </xf>
    <xf numFmtId="3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7" fontId="0" fillId="0" borderId="1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167" fontId="0" fillId="0" borderId="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quotePrefix="1" applyBorder="1" applyAlignment="1">
      <alignment wrapText="1"/>
    </xf>
    <xf numFmtId="3" fontId="0" fillId="0" borderId="0" xfId="0" applyNumberFormat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166" fontId="0" fillId="0" borderId="1" xfId="0" applyNumberFormat="1" applyBorder="1" applyAlignment="1">
      <alignment horizontal="center" vertical="center" wrapText="1"/>
    </xf>
    <xf numFmtId="166" fontId="0" fillId="0" borderId="0" xfId="0" applyNumberForma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quotePrefix="1" applyBorder="1" applyAlignment="1">
      <alignment wrapText="1"/>
    </xf>
    <xf numFmtId="165" fontId="0" fillId="0" borderId="0" xfId="0" applyNumberFormat="1" applyBorder="1" applyAlignment="1">
      <alignment wrapText="1"/>
    </xf>
    <xf numFmtId="166" fontId="0" fillId="0" borderId="0" xfId="0" applyNumberFormat="1" applyBorder="1" applyAlignment="1">
      <alignment wrapText="1"/>
    </xf>
    <xf numFmtId="167" fontId="0" fillId="4" borderId="1" xfId="0" applyNumberFormat="1" applyFill="1" applyBorder="1" applyAlignment="1">
      <alignment wrapText="1"/>
    </xf>
    <xf numFmtId="167" fontId="0" fillId="0" borderId="2" xfId="0" applyNumberFormat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10" fontId="0" fillId="0" borderId="0" xfId="1" applyNumberFormat="1" applyFon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170" fontId="0" fillId="0" borderId="0" xfId="0" applyNumberFormat="1"/>
    <xf numFmtId="170" fontId="0" fillId="0" borderId="0" xfId="0" applyNumberFormat="1" applyAlignment="1">
      <alignment wrapText="1"/>
    </xf>
    <xf numFmtId="169" fontId="0" fillId="0" borderId="1" xfId="0" applyNumberFormat="1" applyBorder="1"/>
    <xf numFmtId="0" fontId="3" fillId="5" borderId="0" xfId="0" applyFont="1" applyFill="1"/>
    <xf numFmtId="0" fontId="0" fillId="0" borderId="1" xfId="0" applyBorder="1"/>
    <xf numFmtId="169" fontId="0" fillId="0" borderId="1" xfId="0" applyNumberForma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6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Hoja1!$I$15</c:f>
              <c:strCache>
                <c:ptCount val="1"/>
                <c:pt idx="0">
                  <c:v>EC_Celda 1, sens=2,999 mV/V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Hoja1!$A$19:$A$29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Hoja1!$I$19:$I$29</c:f>
              <c:numCache>
                <c:formatCode>0.0000</c:formatCode>
                <c:ptCount val="11"/>
                <c:pt idx="0">
                  <c:v>0</c:v>
                </c:pt>
                <c:pt idx="1">
                  <c:v>1.5874306800000002</c:v>
                </c:pt>
                <c:pt idx="2">
                  <c:v>3.1748613600000004</c:v>
                </c:pt>
                <c:pt idx="3">
                  <c:v>4.7622920400000002</c:v>
                </c:pt>
                <c:pt idx="4">
                  <c:v>6.3497227200000008</c:v>
                </c:pt>
                <c:pt idx="5">
                  <c:v>7.9371534000000006</c:v>
                </c:pt>
                <c:pt idx="6">
                  <c:v>9.5245840800000003</c:v>
                </c:pt>
                <c:pt idx="7">
                  <c:v>11.112014760000001</c:v>
                </c:pt>
                <c:pt idx="8">
                  <c:v>12.699445440000002</c:v>
                </c:pt>
                <c:pt idx="9">
                  <c:v>14.286876120000001</c:v>
                </c:pt>
                <c:pt idx="10">
                  <c:v>15.874306800000001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4A6-4FBB-898A-6913586B5A4A}"/>
            </c:ext>
          </c:extLst>
        </c:ser>
        <c:ser>
          <c:idx val="6"/>
          <c:order val="1"/>
          <c:tx>
            <c:strRef>
              <c:f>Hoja1!$Y$15</c:f>
              <c:strCache>
                <c:ptCount val="1"/>
                <c:pt idx="0">
                  <c:v>Celda 1 y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Hoja1!$A$19:$A$29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Hoja1!$Y$19:$Y$29</c:f>
              <c:numCache>
                <c:formatCode>General</c:formatCode>
                <c:ptCount val="11"/>
                <c:pt idx="0">
                  <c:v>-0.71560000000000024</c:v>
                </c:pt>
                <c:pt idx="1">
                  <c:v>0.67640000000000011</c:v>
                </c:pt>
                <c:pt idx="2">
                  <c:v>2.0103</c:v>
                </c:pt>
                <c:pt idx="3">
                  <c:v>3.4581</c:v>
                </c:pt>
                <c:pt idx="4">
                  <c:v>4.7081999999999997</c:v>
                </c:pt>
                <c:pt idx="5">
                  <c:v>6.1200999999999999</c:v>
                </c:pt>
                <c:pt idx="6">
                  <c:v>7.3886000000000003</c:v>
                </c:pt>
                <c:pt idx="7">
                  <c:v>8.6599000000000004</c:v>
                </c:pt>
                <c:pt idx="8">
                  <c:v>9.9085000000000001</c:v>
                </c:pt>
                <c:pt idx="9">
                  <c:v>11.167299999999999</c:v>
                </c:pt>
                <c:pt idx="10">
                  <c:v>12.4116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4A6-4FBB-898A-6913586B5A4A}"/>
            </c:ext>
          </c:extLst>
        </c:ser>
        <c:ser>
          <c:idx val="0"/>
          <c:order val="2"/>
          <c:tx>
            <c:strRef>
              <c:f>Hoja1!$U$15</c:f>
              <c:strCache>
                <c:ptCount val="1"/>
                <c:pt idx="0">
                  <c:v>MC1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Hoja1!$A$19:$A$29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Hoja1!$U$19:$U$29</c:f>
              <c:numCache>
                <c:formatCode>General</c:formatCode>
                <c:ptCount val="11"/>
                <c:pt idx="0">
                  <c:v>-3.1457000000000002</c:v>
                </c:pt>
                <c:pt idx="1">
                  <c:v>-2.3935</c:v>
                </c:pt>
                <c:pt idx="2">
                  <c:v>-1.9867999999999999</c:v>
                </c:pt>
                <c:pt idx="3">
                  <c:v>-1.1840999999999999</c:v>
                </c:pt>
                <c:pt idx="4">
                  <c:v>-0.8155</c:v>
                </c:pt>
                <c:pt idx="5">
                  <c:v>1.18E-2</c:v>
                </c:pt>
                <c:pt idx="6">
                  <c:v>0.38059999999999999</c:v>
                </c:pt>
                <c:pt idx="7">
                  <c:v>1.1796</c:v>
                </c:pt>
                <c:pt idx="8">
                  <c:v>1.5244</c:v>
                </c:pt>
                <c:pt idx="9">
                  <c:v>2.363</c:v>
                </c:pt>
                <c:pt idx="10">
                  <c:v>2.7366999999999999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4A6-4FBB-898A-6913586B5A4A}"/>
            </c:ext>
          </c:extLst>
        </c:ser>
        <c:ser>
          <c:idx val="1"/>
          <c:order val="3"/>
          <c:tx>
            <c:strRef>
              <c:f>Hoja1!$V$15</c:f>
              <c:strCache>
                <c:ptCount val="1"/>
                <c:pt idx="0">
                  <c:v>MC2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Hoja1!$A$19:$A$29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Hoja1!$V$19:$V$29</c:f>
              <c:numCache>
                <c:formatCode>General</c:formatCode>
                <c:ptCount val="11"/>
                <c:pt idx="0">
                  <c:v>2.4300999999999999</c:v>
                </c:pt>
                <c:pt idx="1">
                  <c:v>3.0699000000000001</c:v>
                </c:pt>
                <c:pt idx="2">
                  <c:v>3.9971000000000001</c:v>
                </c:pt>
                <c:pt idx="3">
                  <c:v>4.6421999999999999</c:v>
                </c:pt>
                <c:pt idx="4">
                  <c:v>5.5236999999999998</c:v>
                </c:pt>
                <c:pt idx="5">
                  <c:v>6.1082999999999998</c:v>
                </c:pt>
                <c:pt idx="6">
                  <c:v>7.008</c:v>
                </c:pt>
                <c:pt idx="7">
                  <c:v>7.4802999999999997</c:v>
                </c:pt>
                <c:pt idx="8" formatCode="#,##0.0000">
                  <c:v>8.3841000000000001</c:v>
                </c:pt>
                <c:pt idx="9">
                  <c:v>8.8042999999999996</c:v>
                </c:pt>
                <c:pt idx="10">
                  <c:v>9.6748999999999992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4A6-4FBB-898A-6913586B5A4A}"/>
            </c:ext>
          </c:extLst>
        </c:ser>
        <c:ser>
          <c:idx val="2"/>
          <c:order val="4"/>
          <c:tx>
            <c:strRef>
              <c:f>Hoja1!$G$15</c:f>
              <c:strCache>
                <c:ptCount val="1"/>
                <c:pt idx="0">
                  <c:v>Celda 1 y 2 IGUAL SENT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Hoja1!$A$19:$A$29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Hoja1!$G$19:$G$29</c:f>
              <c:numCache>
                <c:formatCode>0.000</c:formatCode>
                <c:ptCount val="11"/>
                <c:pt idx="0">
                  <c:v>-0.78636666666666666</c:v>
                </c:pt>
                <c:pt idx="1">
                  <c:v>0.88449999999999984</c:v>
                </c:pt>
                <c:pt idx="2">
                  <c:v>2.2377000000000002</c:v>
                </c:pt>
                <c:pt idx="3">
                  <c:v>3.8832000000000004</c:v>
                </c:pt>
                <c:pt idx="4">
                  <c:v>5.2236000000000002</c:v>
                </c:pt>
                <c:pt idx="5">
                  <c:v>6.8686999999999996</c:v>
                </c:pt>
                <c:pt idx="6">
                  <c:v>8.2492000000000001</c:v>
                </c:pt>
                <c:pt idx="7">
                  <c:v>9.8778000000000006</c:v>
                </c:pt>
                <c:pt idx="8">
                  <c:v>11.3162</c:v>
                </c:pt>
                <c:pt idx="9">
                  <c:v>12.923400000000001</c:v>
                </c:pt>
                <c:pt idx="10">
                  <c:v>14.2315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4A6-4FBB-898A-6913586B5A4A}"/>
            </c:ext>
          </c:extLst>
        </c:ser>
        <c:ser>
          <c:idx val="3"/>
          <c:order val="5"/>
          <c:tx>
            <c:strRef>
              <c:f>Hoja1!$E$15</c:f>
              <c:strCache>
                <c:ptCount val="1"/>
                <c:pt idx="0">
                  <c:v>Celda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956194116209038E-3"/>
                  <c:y val="-0.103118110236220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sng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Hoja1!$A$19:$A$29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Hoja1!$E$19:$E$29</c:f>
              <c:numCache>
                <c:formatCode>#,##0.0000</c:formatCode>
                <c:ptCount val="11"/>
                <c:pt idx="0" formatCode="0.0000">
                  <c:v>0.6531499999999999</c:v>
                </c:pt>
                <c:pt idx="1">
                  <c:v>2.1042000000000001</c:v>
                </c:pt>
                <c:pt idx="2" formatCode="General">
                  <c:v>3.4447999999999999</c:v>
                </c:pt>
                <c:pt idx="3">
                  <c:v>4.9028999999999998</c:v>
                </c:pt>
                <c:pt idx="4" formatCode="General">
                  <c:v>6.2390999999999996</c:v>
                </c:pt>
                <c:pt idx="5" formatCode="General">
                  <c:v>7.7039</c:v>
                </c:pt>
                <c:pt idx="6" formatCode="General">
                  <c:v>8.9834999999999994</c:v>
                </c:pt>
                <c:pt idx="7" formatCode="General">
                  <c:v>10.3795</c:v>
                </c:pt>
                <c:pt idx="8" formatCode="General">
                  <c:v>11.6343</c:v>
                </c:pt>
                <c:pt idx="9">
                  <c:v>13.091799999999999</c:v>
                </c:pt>
                <c:pt idx="10" formatCode="General">
                  <c:v>14.292199999999999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48-4CE1-96C0-8740AC1E418B}"/>
            </c:ext>
          </c:extLst>
        </c:ser>
        <c:ser>
          <c:idx val="5"/>
          <c:order val="6"/>
          <c:tx>
            <c:strRef>
              <c:f>Hoja1!$F$15</c:f>
              <c:strCache>
                <c:ptCount val="1"/>
                <c:pt idx="0">
                  <c:v>Celda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312369249243019"/>
                  <c:y val="4.07686865228802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sng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Hoja1!$A$19:$A$29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Hoja1!$F$19:$F$29</c:f>
              <c:numCache>
                <c:formatCode>#,##0.0000</c:formatCode>
                <c:ptCount val="11"/>
                <c:pt idx="0" formatCode="General">
                  <c:v>0.74954999999999994</c:v>
                </c:pt>
                <c:pt idx="1">
                  <c:v>2.306</c:v>
                </c:pt>
                <c:pt idx="2" formatCode="General">
                  <c:v>3.8778999999999999</c:v>
                </c:pt>
                <c:pt idx="3">
                  <c:v>5.4673999999999996</c:v>
                </c:pt>
                <c:pt idx="4" formatCode="General">
                  <c:v>7.0392000000000001</c:v>
                </c:pt>
                <c:pt idx="5" formatCode="General">
                  <c:v>8.5963999999999992</c:v>
                </c:pt>
                <c:pt idx="6" formatCode="General">
                  <c:v>10.2159</c:v>
                </c:pt>
                <c:pt idx="7" formatCode="General">
                  <c:v>11.811199999999999</c:v>
                </c:pt>
                <c:pt idx="8" formatCode="General">
                  <c:v>13.3582</c:v>
                </c:pt>
                <c:pt idx="9" formatCode="General">
                  <c:v>14.9192</c:v>
                </c:pt>
                <c:pt idx="10" formatCode="General">
                  <c:v>16.501000000000001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48-4CE1-96C0-8740AC1E418B}"/>
            </c:ext>
          </c:extLst>
        </c:ser>
        <c:ser>
          <c:idx val="7"/>
          <c:order val="7"/>
          <c:tx>
            <c:strRef>
              <c:f>Hoja1!$H$15</c:f>
              <c:strCache>
                <c:ptCount val="1"/>
                <c:pt idx="0">
                  <c:v>Celda 4 y 5
IGUAL SENT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84137519607692"/>
                  <c:y val="0.138689794210506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sng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Hoja1!$A$19:$A$29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Hoja1!$H$19:$H$29</c:f>
              <c:numCache>
                <c:formatCode>General</c:formatCode>
                <c:ptCount val="11"/>
                <c:pt idx="0">
                  <c:v>0.69769999999999999</c:v>
                </c:pt>
                <c:pt idx="1">
                  <c:v>2.2263000000000002</c:v>
                </c:pt>
                <c:pt idx="2">
                  <c:v>3.7152000000000003</c:v>
                </c:pt>
                <c:pt idx="3">
                  <c:v>5.2401999999999997</c:v>
                </c:pt>
                <c:pt idx="4">
                  <c:v>6.6761999999999997</c:v>
                </c:pt>
                <c:pt idx="5">
                  <c:v>8.2392000000000003</c:v>
                </c:pt>
                <c:pt idx="6">
                  <c:v>9.7128000000000014</c:v>
                </c:pt>
                <c:pt idx="7">
                  <c:v>11.259</c:v>
                </c:pt>
                <c:pt idx="8">
                  <c:v>12.721500000000001</c:v>
                </c:pt>
                <c:pt idx="9">
                  <c:v>14.287100000000001</c:v>
                </c:pt>
                <c:pt idx="10">
                  <c:v>15.7514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48-4CE1-96C0-8740AC1E4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214959"/>
        <c:axId val="1632214127"/>
      </c:scatterChart>
      <c:valAx>
        <c:axId val="163221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2214127"/>
        <c:crosses val="autoZero"/>
        <c:crossBetween val="midCat"/>
      </c:valAx>
      <c:valAx>
        <c:axId val="16322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221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Hoja1!$D$15</c:f>
              <c:strCache>
                <c:ptCount val="1"/>
                <c:pt idx="0">
                  <c:v>Celda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Hoja1!$A$3:$A$12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Hoja1!$B$3:$B$12</c:f>
              <c:numCache>
                <c:formatCode>0.000</c:formatCode>
                <c:ptCount val="10"/>
                <c:pt idx="0">
                  <c:v>0.13420000000000001</c:v>
                </c:pt>
                <c:pt idx="1">
                  <c:v>0.69940000000000002</c:v>
                </c:pt>
                <c:pt idx="2">
                  <c:v>1.7568999999999999</c:v>
                </c:pt>
                <c:pt idx="3">
                  <c:v>2.2240000000000002</c:v>
                </c:pt>
                <c:pt idx="4">
                  <c:v>2.7002000000000002</c:v>
                </c:pt>
                <c:pt idx="5">
                  <c:v>3.1055999999999999</c:v>
                </c:pt>
                <c:pt idx="6" formatCode="#,##0.000">
                  <c:v>3.4426999999999999</c:v>
                </c:pt>
                <c:pt idx="7">
                  <c:v>3.8132999999999999</c:v>
                </c:pt>
                <c:pt idx="8">
                  <c:v>4.1487999999999996</c:v>
                </c:pt>
                <c:pt idx="9" formatCode="#,##0.0000">
                  <c:v>4.4669999999999996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D-49D8-B612-F8652C9A4A91}"/>
            </c:ext>
          </c:extLst>
        </c:ser>
        <c:ser>
          <c:idx val="3"/>
          <c:order val="1"/>
          <c:tx>
            <c:strRef>
              <c:f>Hoja1!$B$15</c:f>
              <c:strCache>
                <c:ptCount val="1"/>
                <c:pt idx="0">
                  <c:v>Celda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Hoja1!$A$19:$A$29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Hoja1!$B$19:$B$29</c:f>
              <c:numCache>
                <c:formatCode>General</c:formatCode>
                <c:ptCount val="11"/>
                <c:pt idx="0">
                  <c:v>0.81364999999999998</c:v>
                </c:pt>
                <c:pt idx="1">
                  <c:v>2.3656999999999999</c:v>
                </c:pt>
                <c:pt idx="2">
                  <c:v>3.9769999999999999</c:v>
                </c:pt>
                <c:pt idx="3">
                  <c:v>5.5118</c:v>
                </c:pt>
                <c:pt idx="4">
                  <c:v>7.0669000000000004</c:v>
                </c:pt>
                <c:pt idx="5">
                  <c:v>8.6905000000000001</c:v>
                </c:pt>
                <c:pt idx="6">
                  <c:v>10.215</c:v>
                </c:pt>
                <c:pt idx="7">
                  <c:v>11.901199999999999</c:v>
                </c:pt>
                <c:pt idx="8" formatCode="#,##0">
                  <c:v>13.4137</c:v>
                </c:pt>
                <c:pt idx="9" formatCode="#,##0">
                  <c:v>15.0404</c:v>
                </c:pt>
                <c:pt idx="10">
                  <c:v>16.441199999999998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B3-4351-ACA2-3597B8F09663}"/>
            </c:ext>
          </c:extLst>
        </c:ser>
        <c:ser>
          <c:idx val="4"/>
          <c:order val="2"/>
          <c:tx>
            <c:strRef>
              <c:f>Hoja1!$I$15</c:f>
              <c:strCache>
                <c:ptCount val="1"/>
                <c:pt idx="0">
                  <c:v>EC_Celda 1, sens=2,999 mV/V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Hoja1!$A$19:$A$29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Hoja1!$I$19:$I$29</c:f>
              <c:numCache>
                <c:formatCode>0.0000</c:formatCode>
                <c:ptCount val="11"/>
                <c:pt idx="0">
                  <c:v>0</c:v>
                </c:pt>
                <c:pt idx="1">
                  <c:v>1.5874306800000002</c:v>
                </c:pt>
                <c:pt idx="2">
                  <c:v>3.1748613600000004</c:v>
                </c:pt>
                <c:pt idx="3">
                  <c:v>4.7622920400000002</c:v>
                </c:pt>
                <c:pt idx="4">
                  <c:v>6.3497227200000008</c:v>
                </c:pt>
                <c:pt idx="5">
                  <c:v>7.9371534000000006</c:v>
                </c:pt>
                <c:pt idx="6">
                  <c:v>9.5245840800000003</c:v>
                </c:pt>
                <c:pt idx="7">
                  <c:v>11.112014760000001</c:v>
                </c:pt>
                <c:pt idx="8">
                  <c:v>12.699445440000002</c:v>
                </c:pt>
                <c:pt idx="9">
                  <c:v>14.286876120000001</c:v>
                </c:pt>
                <c:pt idx="10">
                  <c:v>15.874306800000001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B3-4351-ACA2-3597B8F09663}"/>
            </c:ext>
          </c:extLst>
        </c:ser>
        <c:ser>
          <c:idx val="5"/>
          <c:order val="3"/>
          <c:tx>
            <c:strRef>
              <c:f>Hoja1!$C$15</c:f>
              <c:strCache>
                <c:ptCount val="1"/>
                <c:pt idx="0">
                  <c:v>Celda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Hoja1!$A$19:$A$29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Hoja1!$C$19:$C$29</c:f>
              <c:numCache>
                <c:formatCode>#,##0.0000</c:formatCode>
                <c:ptCount val="11"/>
                <c:pt idx="0" formatCode="General">
                  <c:v>0.64305000000000001</c:v>
                </c:pt>
                <c:pt idx="1">
                  <c:v>2.2557</c:v>
                </c:pt>
                <c:pt idx="2" formatCode="General">
                  <c:v>3.7155</c:v>
                </c:pt>
                <c:pt idx="3">
                  <c:v>5.3933999999999997</c:v>
                </c:pt>
                <c:pt idx="4" formatCode="General">
                  <c:v>6.9484000000000004</c:v>
                </c:pt>
                <c:pt idx="5" formatCode="General">
                  <c:v>8.5520999999999994</c:v>
                </c:pt>
                <c:pt idx="6" formatCode="General">
                  <c:v>10.058</c:v>
                </c:pt>
                <c:pt idx="7" formatCode="General">
                  <c:v>11.683999999999999</c:v>
                </c:pt>
                <c:pt idx="8" formatCode="General">
                  <c:v>13.1591</c:v>
                </c:pt>
                <c:pt idx="9" formatCode="General">
                  <c:v>14.804399999999999</c:v>
                </c:pt>
                <c:pt idx="10" formatCode="General">
                  <c:v>16.288599999999999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B3-4351-ACA2-3597B8F09663}"/>
            </c:ext>
          </c:extLst>
        </c:ser>
        <c:ser>
          <c:idx val="7"/>
          <c:order val="4"/>
          <c:tx>
            <c:strRef>
              <c:f>Hoja1!$G$15</c:f>
              <c:strCache>
                <c:ptCount val="1"/>
                <c:pt idx="0">
                  <c:v>Celda 1 y 2 IGUAL SENT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Hoja1!$A$19:$A$29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Hoja1!$G$19:$G$29</c:f>
              <c:numCache>
                <c:formatCode>0.000</c:formatCode>
                <c:ptCount val="11"/>
                <c:pt idx="0">
                  <c:v>-0.78636666666666666</c:v>
                </c:pt>
                <c:pt idx="1">
                  <c:v>0.88449999999999984</c:v>
                </c:pt>
                <c:pt idx="2">
                  <c:v>2.2377000000000002</c:v>
                </c:pt>
                <c:pt idx="3">
                  <c:v>3.8832000000000004</c:v>
                </c:pt>
                <c:pt idx="4">
                  <c:v>5.2236000000000002</c:v>
                </c:pt>
                <c:pt idx="5">
                  <c:v>6.8686999999999996</c:v>
                </c:pt>
                <c:pt idx="6">
                  <c:v>8.2492000000000001</c:v>
                </c:pt>
                <c:pt idx="7">
                  <c:v>9.8778000000000006</c:v>
                </c:pt>
                <c:pt idx="8">
                  <c:v>11.3162</c:v>
                </c:pt>
                <c:pt idx="9">
                  <c:v>12.923400000000001</c:v>
                </c:pt>
                <c:pt idx="10">
                  <c:v>14.2315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9B3-4351-ACA2-3597B8F09663}"/>
            </c:ext>
          </c:extLst>
        </c:ser>
        <c:ser>
          <c:idx val="8"/>
          <c:order val="5"/>
          <c:tx>
            <c:strRef>
              <c:f>Hoja1!$E$15</c:f>
              <c:strCache>
                <c:ptCount val="1"/>
                <c:pt idx="0">
                  <c:v>Celda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Hoja1!$A$19:$A$29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Hoja1!$E$19:$E$29</c:f>
              <c:numCache>
                <c:formatCode>#,##0.0000</c:formatCode>
                <c:ptCount val="11"/>
                <c:pt idx="0" formatCode="0.0000">
                  <c:v>0.6531499999999999</c:v>
                </c:pt>
                <c:pt idx="1">
                  <c:v>2.1042000000000001</c:v>
                </c:pt>
                <c:pt idx="2" formatCode="General">
                  <c:v>3.4447999999999999</c:v>
                </c:pt>
                <c:pt idx="3">
                  <c:v>4.9028999999999998</c:v>
                </c:pt>
                <c:pt idx="4" formatCode="General">
                  <c:v>6.2390999999999996</c:v>
                </c:pt>
                <c:pt idx="5" formatCode="General">
                  <c:v>7.7039</c:v>
                </c:pt>
                <c:pt idx="6" formatCode="General">
                  <c:v>8.9834999999999994</c:v>
                </c:pt>
                <c:pt idx="7" formatCode="General">
                  <c:v>10.3795</c:v>
                </c:pt>
                <c:pt idx="8" formatCode="General">
                  <c:v>11.6343</c:v>
                </c:pt>
                <c:pt idx="9">
                  <c:v>13.091799999999999</c:v>
                </c:pt>
                <c:pt idx="10" formatCode="General">
                  <c:v>14.292199999999999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C6-444D-ACA9-EDE66B609560}"/>
            </c:ext>
          </c:extLst>
        </c:ser>
        <c:ser>
          <c:idx val="9"/>
          <c:order val="6"/>
          <c:tx>
            <c:strRef>
              <c:f>Hoja1!$F$15</c:f>
              <c:strCache>
                <c:ptCount val="1"/>
                <c:pt idx="0">
                  <c:v>Celda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Hoja1!$A$19:$A$29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Hoja1!$F$19:$F$29</c:f>
              <c:numCache>
                <c:formatCode>#,##0.0000</c:formatCode>
                <c:ptCount val="11"/>
                <c:pt idx="0" formatCode="General">
                  <c:v>0.74954999999999994</c:v>
                </c:pt>
                <c:pt idx="1">
                  <c:v>2.306</c:v>
                </c:pt>
                <c:pt idx="2" formatCode="General">
                  <c:v>3.8778999999999999</c:v>
                </c:pt>
                <c:pt idx="3">
                  <c:v>5.4673999999999996</c:v>
                </c:pt>
                <c:pt idx="4" formatCode="General">
                  <c:v>7.0392000000000001</c:v>
                </c:pt>
                <c:pt idx="5" formatCode="General">
                  <c:v>8.5963999999999992</c:v>
                </c:pt>
                <c:pt idx="6" formatCode="General">
                  <c:v>10.2159</c:v>
                </c:pt>
                <c:pt idx="7" formatCode="General">
                  <c:v>11.811199999999999</c:v>
                </c:pt>
                <c:pt idx="8" formatCode="General">
                  <c:v>13.3582</c:v>
                </c:pt>
                <c:pt idx="9" formatCode="General">
                  <c:v>14.9192</c:v>
                </c:pt>
                <c:pt idx="10" formatCode="General">
                  <c:v>16.501000000000001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C6-444D-ACA9-EDE66B609560}"/>
            </c:ext>
          </c:extLst>
        </c:ser>
        <c:ser>
          <c:idx val="10"/>
          <c:order val="7"/>
          <c:tx>
            <c:strRef>
              <c:f>Hoja1!$H$15</c:f>
              <c:strCache>
                <c:ptCount val="1"/>
                <c:pt idx="0">
                  <c:v>Celda 4 y 5
IGUAL SENT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Hoja1!$A$19:$A$29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Hoja1!$H$19:$H$29</c:f>
              <c:numCache>
                <c:formatCode>General</c:formatCode>
                <c:ptCount val="11"/>
                <c:pt idx="0">
                  <c:v>0.69769999999999999</c:v>
                </c:pt>
                <c:pt idx="1">
                  <c:v>2.2263000000000002</c:v>
                </c:pt>
                <c:pt idx="2">
                  <c:v>3.7152000000000003</c:v>
                </c:pt>
                <c:pt idx="3">
                  <c:v>5.2401999999999997</c:v>
                </c:pt>
                <c:pt idx="4">
                  <c:v>6.6761999999999997</c:v>
                </c:pt>
                <c:pt idx="5">
                  <c:v>8.2392000000000003</c:v>
                </c:pt>
                <c:pt idx="6">
                  <c:v>9.7128000000000014</c:v>
                </c:pt>
                <c:pt idx="7">
                  <c:v>11.259</c:v>
                </c:pt>
                <c:pt idx="8">
                  <c:v>12.721500000000001</c:v>
                </c:pt>
                <c:pt idx="9">
                  <c:v>14.287100000000001</c:v>
                </c:pt>
                <c:pt idx="10">
                  <c:v>15.7514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C6-444D-ACA9-EDE66B609560}"/>
            </c:ext>
          </c:extLst>
        </c:ser>
        <c:ser>
          <c:idx val="1"/>
          <c:order val="8"/>
          <c:tx>
            <c:strRef>
              <c:f>Hoja1!$J$15</c:f>
              <c:strCache>
                <c:ptCount val="1"/>
                <c:pt idx="0">
                  <c:v>Celda 1 y 2
Con modifi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Hoja1!$A$19:$A$29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Hoja1!$J$19:$J$29</c:f>
              <c:numCache>
                <c:formatCode>General</c:formatCode>
                <c:ptCount val="11"/>
                <c:pt idx="0">
                  <c:v>0.6258999999999999</c:v>
                </c:pt>
                <c:pt idx="1">
                  <c:v>2.2174</c:v>
                </c:pt>
                <c:pt idx="2">
                  <c:v>3.7044999999999999</c:v>
                </c:pt>
                <c:pt idx="3">
                  <c:v>5.2979000000000003</c:v>
                </c:pt>
                <c:pt idx="4">
                  <c:v>6.7223000000000006</c:v>
                </c:pt>
                <c:pt idx="5">
                  <c:v>8.5021000000000004</c:v>
                </c:pt>
                <c:pt idx="6">
                  <c:v>9.992799999999999</c:v>
                </c:pt>
                <c:pt idx="7">
                  <c:v>11.6701</c:v>
                </c:pt>
                <c:pt idx="8">
                  <c:v>13.093</c:v>
                </c:pt>
                <c:pt idx="9">
                  <c:v>14.7469</c:v>
                </c:pt>
                <c:pt idx="10">
                  <c:v>16.215900000000001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EF-4373-82C5-C6FF053F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214959"/>
        <c:axId val="1632214127"/>
      </c:scatterChart>
      <c:valAx>
        <c:axId val="163221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2214127"/>
        <c:crosses val="autoZero"/>
        <c:crossBetween val="midCat"/>
      </c:valAx>
      <c:valAx>
        <c:axId val="16322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221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Hoja1!$I$15</c:f>
              <c:strCache>
                <c:ptCount val="1"/>
                <c:pt idx="0">
                  <c:v>EC_Celda 1, sens=2,999 mV/V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Hoja1!$A$19:$A$29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Hoja1!$I$19:$I$29</c:f>
              <c:numCache>
                <c:formatCode>0.0000</c:formatCode>
                <c:ptCount val="11"/>
                <c:pt idx="0">
                  <c:v>0</c:v>
                </c:pt>
                <c:pt idx="1">
                  <c:v>1.5874306800000002</c:v>
                </c:pt>
                <c:pt idx="2">
                  <c:v>3.1748613600000004</c:v>
                </c:pt>
                <c:pt idx="3">
                  <c:v>4.7622920400000002</c:v>
                </c:pt>
                <c:pt idx="4">
                  <c:v>6.3497227200000008</c:v>
                </c:pt>
                <c:pt idx="5">
                  <c:v>7.9371534000000006</c:v>
                </c:pt>
                <c:pt idx="6">
                  <c:v>9.5245840800000003</c:v>
                </c:pt>
                <c:pt idx="7">
                  <c:v>11.112014760000001</c:v>
                </c:pt>
                <c:pt idx="8">
                  <c:v>12.699445440000002</c:v>
                </c:pt>
                <c:pt idx="9">
                  <c:v>14.286876120000001</c:v>
                </c:pt>
                <c:pt idx="10">
                  <c:v>15.874306800000001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7C-48AB-A8DD-A78D30F08CEE}"/>
            </c:ext>
          </c:extLst>
        </c:ser>
        <c:ser>
          <c:idx val="2"/>
          <c:order val="1"/>
          <c:tx>
            <c:strRef>
              <c:f>Hoja1!$N$15</c:f>
              <c:strCache>
                <c:ptCount val="1"/>
                <c:pt idx="0">
                  <c:v>Celda 4 y 5
Con modifi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705697932153293"/>
                  <c:y val="7.66385190129215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sng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Hoja1!$A$19:$A$29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Hoja1!$N$19:$N$29</c:f>
              <c:numCache>
                <c:formatCode>General</c:formatCode>
                <c:ptCount val="11"/>
                <c:pt idx="0">
                  <c:v>1.0574999999999999</c:v>
                </c:pt>
                <c:pt idx="1">
                  <c:v>2.6375999999999999</c:v>
                </c:pt>
                <c:pt idx="2">
                  <c:v>4.2038000000000002</c:v>
                </c:pt>
                <c:pt idx="3">
                  <c:v>5.8010000000000002</c:v>
                </c:pt>
                <c:pt idx="4">
                  <c:v>7.3273000000000001</c:v>
                </c:pt>
                <c:pt idx="5">
                  <c:v>8.9314</c:v>
                </c:pt>
                <c:pt idx="6">
                  <c:v>10.442</c:v>
                </c:pt>
                <c:pt idx="7">
                  <c:v>12.0299</c:v>
                </c:pt>
                <c:pt idx="8">
                  <c:v>13.469899999999999</c:v>
                </c:pt>
                <c:pt idx="9">
                  <c:v>15.035299999999999</c:v>
                </c:pt>
                <c:pt idx="10">
                  <c:v>16.4618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37C-48AB-A8DD-A78D30F08CEE}"/>
            </c:ext>
          </c:extLst>
        </c:ser>
        <c:ser>
          <c:idx val="3"/>
          <c:order val="2"/>
          <c:tx>
            <c:strRef>
              <c:f>Hoja1!$O$15</c:f>
              <c:strCache>
                <c:ptCount val="1"/>
                <c:pt idx="0">
                  <c:v>Celda 4 y 5
Con OFFSET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247393763303356E-2"/>
                  <c:y val="0.17507069701850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sng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Hoja1!$A$19:$A$29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Hoja1!$O$19:$O$29</c:f>
              <c:numCache>
                <c:formatCode>General</c:formatCode>
                <c:ptCount val="11"/>
                <c:pt idx="0">
                  <c:v>0</c:v>
                </c:pt>
                <c:pt idx="1">
                  <c:v>1.5801000000000001</c:v>
                </c:pt>
                <c:pt idx="2">
                  <c:v>3.1463000000000001</c:v>
                </c:pt>
                <c:pt idx="3">
                  <c:v>4.7435</c:v>
                </c:pt>
                <c:pt idx="4">
                  <c:v>6.2698</c:v>
                </c:pt>
                <c:pt idx="5">
                  <c:v>7.8738999999999999</c:v>
                </c:pt>
                <c:pt idx="6">
                  <c:v>9.384500000000001</c:v>
                </c:pt>
                <c:pt idx="7">
                  <c:v>10.9724</c:v>
                </c:pt>
                <c:pt idx="8">
                  <c:v>12.4124</c:v>
                </c:pt>
                <c:pt idx="9">
                  <c:v>13.9778</c:v>
                </c:pt>
                <c:pt idx="10">
                  <c:v>15.404300000000001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37C-48AB-A8DD-A78D30F08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214959"/>
        <c:axId val="1632214127"/>
      </c:scatterChart>
      <c:valAx>
        <c:axId val="163221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Pesos calibrados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2214127"/>
        <c:crosses val="autoZero"/>
        <c:crossBetween val="midCat"/>
      </c:valAx>
      <c:valAx>
        <c:axId val="16322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Output 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221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u="sng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276226</xdr:colOff>
      <xdr:row>23</xdr:row>
      <xdr:rowOff>152400</xdr:rowOff>
    </xdr:from>
    <xdr:to>
      <xdr:col>31</xdr:col>
      <xdr:colOff>419100</xdr:colOff>
      <xdr:row>35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EDFAA4-1496-4CB4-8C36-85ECB4267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281940</xdr:colOff>
      <xdr:row>18</xdr:row>
      <xdr:rowOff>150496</xdr:rowOff>
    </xdr:from>
    <xdr:to>
      <xdr:col>34</xdr:col>
      <xdr:colOff>0</xdr:colOff>
      <xdr:row>34</xdr:row>
      <xdr:rowOff>112395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33382A-FC80-6FA7-308C-D417C70DD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502920</xdr:colOff>
      <xdr:row>33</xdr:row>
      <xdr:rowOff>350520</xdr:rowOff>
    </xdr:from>
    <xdr:to>
      <xdr:col>15</xdr:col>
      <xdr:colOff>22861</xdr:colOff>
      <xdr:row>54</xdr:row>
      <xdr:rowOff>129539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43F5B6-F3B8-463D-A549-9C45FF54A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UBEN D. MUELAS H." id="{FD2E4E10-907C-49F9-8456-A06EC376F2B2}" userId="RUBEN D. MUELAS H.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5" dT="2022-08-26T15:30:38.08" personId="{FD2E4E10-907C-49F9-8456-A06EC376F2B2}" id="{312C9A6E-1545-402C-B781-94A09B5BD160}">
    <text>La mas lineal, R=1</text>
  </threadedComment>
  <threadedComment ref="A19" dT="2022-08-25T14:27:42.60" personId="{FD2E4E10-907C-49F9-8456-A06EC376F2B2}" id="{CFBCC7DC-F86F-42E4-9D7C-D6A1A3A9555B}">
    <text>con precarga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741C-EE2E-4AA5-B4B5-2A9A3879AB40}">
  <dimension ref="A1:AK38"/>
  <sheetViews>
    <sheetView topLeftCell="A16" workbookViewId="0">
      <selection activeCell="I16" sqref="I16"/>
    </sheetView>
  </sheetViews>
  <sheetFormatPr baseColWidth="10" defaultColWidth="11.44140625" defaultRowHeight="14.4" x14ac:dyDescent="0.3"/>
  <cols>
    <col min="1" max="1" width="11.44140625" style="1"/>
    <col min="2" max="2" width="14.88671875" style="1" customWidth="1"/>
    <col min="3" max="6" width="13" style="1" customWidth="1"/>
    <col min="7" max="7" width="14.6640625" style="1" customWidth="1"/>
    <col min="8" max="10" width="11.44140625" style="1"/>
    <col min="11" max="13" width="0" style="1" hidden="1" customWidth="1"/>
    <col min="14" max="20" width="11.44140625" style="1"/>
    <col min="21" max="21" width="9.6640625" style="1" bestFit="1" customWidth="1"/>
    <col min="22" max="22" width="15.6640625" style="1" bestFit="1" customWidth="1"/>
    <col min="23" max="23" width="11" style="1" customWidth="1"/>
    <col min="24" max="25" width="11.44140625" style="1"/>
    <col min="26" max="26" width="9.6640625" style="1" customWidth="1"/>
    <col min="27" max="16384" width="11.44140625" style="1"/>
  </cols>
  <sheetData>
    <row r="1" spans="1:36" ht="43.2" x14ac:dyDescent="0.3">
      <c r="A1" s="1" t="s">
        <v>3</v>
      </c>
      <c r="B1" s="1" t="s">
        <v>1</v>
      </c>
      <c r="C1" s="1" t="s">
        <v>2</v>
      </c>
      <c r="G1" s="1" t="s">
        <v>2</v>
      </c>
      <c r="U1" s="1" t="s">
        <v>3</v>
      </c>
      <c r="V1" s="1" t="s">
        <v>1</v>
      </c>
    </row>
    <row r="2" spans="1:36" x14ac:dyDescent="0.3">
      <c r="A2" s="1">
        <v>0</v>
      </c>
      <c r="B2" s="2">
        <v>-7.6899999999999996E-2</v>
      </c>
      <c r="C2" s="1">
        <v>-7.4399999999999994E-2</v>
      </c>
      <c r="U2" s="1" t="s">
        <v>0</v>
      </c>
      <c r="V2" s="2"/>
    </row>
    <row r="3" spans="1:36" ht="43.2" x14ac:dyDescent="0.3">
      <c r="A3" s="1">
        <v>0</v>
      </c>
      <c r="B3" s="2">
        <v>0.13420000000000001</v>
      </c>
      <c r="C3" s="1">
        <v>0.1187</v>
      </c>
      <c r="G3" s="1">
        <v>7.2499999999999995E-2</v>
      </c>
      <c r="U3" s="1">
        <v>0</v>
      </c>
      <c r="V3" s="2">
        <v>8.3099999999999993E-2</v>
      </c>
      <c r="W3" s="2">
        <f t="shared" ref="W3:W12" si="0">+AVERAGE(V3:V3)</f>
        <v>8.3099999999999993E-2</v>
      </c>
      <c r="X3" s="2">
        <f t="shared" ref="X3:X12" si="1">+$AA$8*U3</f>
        <v>0</v>
      </c>
      <c r="Z3" s="1" t="s">
        <v>8</v>
      </c>
      <c r="AA3" s="1">
        <v>2.9990000000000001</v>
      </c>
    </row>
    <row r="4" spans="1:36" ht="43.2" x14ac:dyDescent="0.3">
      <c r="A4" s="1">
        <v>20</v>
      </c>
      <c r="B4" s="2">
        <v>0.69940000000000002</v>
      </c>
      <c r="G4" s="1">
        <v>0.53859999999999997</v>
      </c>
      <c r="U4" s="1">
        <v>20</v>
      </c>
      <c r="V4" s="2">
        <v>0.55620000000000003</v>
      </c>
      <c r="W4" s="2">
        <f t="shared" si="0"/>
        <v>0.55620000000000003</v>
      </c>
      <c r="X4" s="2">
        <f t="shared" si="1"/>
        <v>1.5676372800000002</v>
      </c>
      <c r="Z4" s="1" t="s">
        <v>9</v>
      </c>
      <c r="AA4" s="1">
        <v>11.88</v>
      </c>
    </row>
    <row r="5" spans="1:36" ht="43.2" x14ac:dyDescent="0.3">
      <c r="A5" s="1">
        <v>60</v>
      </c>
      <c r="B5" s="2">
        <v>1.7568999999999999</v>
      </c>
      <c r="G5" s="1">
        <v>1.4819</v>
      </c>
      <c r="U5" s="1">
        <v>60</v>
      </c>
      <c r="V5" s="2">
        <v>1.4863999999999999</v>
      </c>
      <c r="W5" s="2">
        <f t="shared" si="0"/>
        <v>1.4863999999999999</v>
      </c>
      <c r="X5" s="2">
        <f t="shared" si="1"/>
        <v>4.7029118400000005</v>
      </c>
      <c r="Z5" s="1" t="s">
        <v>10</v>
      </c>
      <c r="AA5" s="1">
        <f>+AA3*AA4</f>
        <v>35.628120000000003</v>
      </c>
    </row>
    <row r="6" spans="1:36" ht="43.2" x14ac:dyDescent="0.3">
      <c r="A6" s="1">
        <v>80</v>
      </c>
      <c r="B6" s="2">
        <v>2.2240000000000002</v>
      </c>
      <c r="G6" s="3">
        <v>1.9247000000000001</v>
      </c>
      <c r="U6" s="1">
        <v>80</v>
      </c>
      <c r="V6" s="2">
        <v>1.9222999999999999</v>
      </c>
      <c r="W6" s="2">
        <f t="shared" si="0"/>
        <v>1.9222999999999999</v>
      </c>
      <c r="X6" s="2">
        <f t="shared" si="1"/>
        <v>6.270549120000001</v>
      </c>
      <c r="Z6" s="1" t="s">
        <v>11</v>
      </c>
      <c r="AA6" s="1">
        <v>1000</v>
      </c>
    </row>
    <row r="7" spans="1:36" ht="28.8" x14ac:dyDescent="0.3">
      <c r="A7" s="1">
        <v>100</v>
      </c>
      <c r="B7" s="2">
        <v>2.7002000000000002</v>
      </c>
      <c r="G7" s="1">
        <v>2.3599000000000001</v>
      </c>
      <c r="U7" s="1">
        <v>100</v>
      </c>
      <c r="V7" s="2">
        <v>2.3711000000000002</v>
      </c>
      <c r="W7" s="2">
        <f t="shared" si="0"/>
        <v>2.3711000000000002</v>
      </c>
      <c r="X7" s="2">
        <f t="shared" si="1"/>
        <v>7.8381864000000006</v>
      </c>
      <c r="Z7" s="1" t="s">
        <v>12</v>
      </c>
      <c r="AA7" s="1">
        <f>+AA6/2.2/AA5</f>
        <v>12.758053317027519</v>
      </c>
    </row>
    <row r="8" spans="1:36" x14ac:dyDescent="0.3">
      <c r="A8" s="1">
        <v>120</v>
      </c>
      <c r="B8" s="2">
        <v>3.1055999999999999</v>
      </c>
      <c r="C8" s="1">
        <v>3.0638000000000001</v>
      </c>
      <c r="G8" s="1">
        <v>2.7801999999999998</v>
      </c>
      <c r="U8" s="1">
        <v>120</v>
      </c>
      <c r="V8" s="4">
        <v>2.8050999999999999</v>
      </c>
      <c r="W8" s="2">
        <f t="shared" si="0"/>
        <v>2.8050999999999999</v>
      </c>
      <c r="X8" s="2">
        <f t="shared" si="1"/>
        <v>9.405823680000001</v>
      </c>
      <c r="AA8" s="1">
        <f>1/AA7</f>
        <v>7.8381864000000009E-2</v>
      </c>
    </row>
    <row r="9" spans="1:36" x14ac:dyDescent="0.3">
      <c r="A9" s="1">
        <v>140</v>
      </c>
      <c r="B9" s="5">
        <v>3.4426999999999999</v>
      </c>
      <c r="G9" s="1">
        <v>3.1612</v>
      </c>
      <c r="U9" s="1">
        <v>140</v>
      </c>
      <c r="V9" s="6">
        <v>3.1488</v>
      </c>
      <c r="W9" s="2">
        <f t="shared" si="0"/>
        <v>3.1488</v>
      </c>
      <c r="X9" s="2">
        <f t="shared" si="1"/>
        <v>10.973460960000001</v>
      </c>
    </row>
    <row r="10" spans="1:36" x14ac:dyDescent="0.3">
      <c r="A10" s="1">
        <v>160</v>
      </c>
      <c r="B10" s="2">
        <v>3.8132999999999999</v>
      </c>
      <c r="C10" s="1">
        <v>3.7814999999999999</v>
      </c>
      <c r="G10" s="4">
        <v>3.5333000000000001</v>
      </c>
      <c r="U10" s="1">
        <v>160</v>
      </c>
      <c r="V10" s="4">
        <v>3.54</v>
      </c>
      <c r="W10" s="2">
        <f t="shared" si="0"/>
        <v>3.54</v>
      </c>
      <c r="X10" s="2">
        <f t="shared" si="1"/>
        <v>12.541098240000002</v>
      </c>
    </row>
    <row r="11" spans="1:36" x14ac:dyDescent="0.3">
      <c r="A11" s="1">
        <v>180</v>
      </c>
      <c r="B11" s="2">
        <v>4.1487999999999996</v>
      </c>
      <c r="C11" s="1">
        <v>4.1607000000000003</v>
      </c>
      <c r="G11" s="4">
        <v>3.9531999999999998</v>
      </c>
      <c r="U11" s="1">
        <v>180</v>
      </c>
      <c r="V11" s="4">
        <v>3.9573999999999998</v>
      </c>
      <c r="W11" s="2">
        <f t="shared" si="0"/>
        <v>3.9573999999999998</v>
      </c>
      <c r="X11" s="2">
        <f t="shared" si="1"/>
        <v>14.108735520000002</v>
      </c>
    </row>
    <row r="12" spans="1:36" x14ac:dyDescent="0.3">
      <c r="A12" s="1">
        <v>200</v>
      </c>
      <c r="B12" s="6">
        <v>4.4669999999999996</v>
      </c>
      <c r="C12" s="6">
        <v>4.4149000000000003</v>
      </c>
      <c r="D12" s="6"/>
      <c r="E12" s="6"/>
      <c r="F12" s="6"/>
      <c r="G12" s="6">
        <v>4.3259999999999996</v>
      </c>
      <c r="U12" s="1">
        <v>200</v>
      </c>
      <c r="V12" s="6">
        <v>4.3608000000000002</v>
      </c>
      <c r="W12" s="2">
        <f t="shared" si="0"/>
        <v>4.3608000000000002</v>
      </c>
      <c r="X12" s="2">
        <f t="shared" si="1"/>
        <v>15.676372800000001</v>
      </c>
    </row>
    <row r="15" spans="1:36" ht="43.2" x14ac:dyDescent="0.3">
      <c r="B15" s="8" t="s">
        <v>16</v>
      </c>
      <c r="C15" s="8" t="s">
        <v>22</v>
      </c>
      <c r="D15" s="8" t="s">
        <v>43</v>
      </c>
      <c r="E15" s="8" t="s">
        <v>35</v>
      </c>
      <c r="F15" s="8" t="s">
        <v>36</v>
      </c>
      <c r="G15" s="8" t="s">
        <v>45</v>
      </c>
      <c r="H15" s="31" t="s">
        <v>39</v>
      </c>
      <c r="I15" s="8" t="s">
        <v>15</v>
      </c>
      <c r="J15" s="8" t="s">
        <v>46</v>
      </c>
      <c r="K15" s="19" t="s">
        <v>49</v>
      </c>
      <c r="L15" s="19" t="s">
        <v>28</v>
      </c>
      <c r="M15" s="19" t="s">
        <v>29</v>
      </c>
      <c r="N15" s="8" t="s">
        <v>47</v>
      </c>
      <c r="O15" s="8" t="s">
        <v>50</v>
      </c>
      <c r="P15" s="19" t="s">
        <v>40</v>
      </c>
      <c r="Q15" s="19" t="s">
        <v>41</v>
      </c>
      <c r="R15" s="19"/>
      <c r="S15" s="19" t="s">
        <v>40</v>
      </c>
      <c r="T15" s="19" t="s">
        <v>41</v>
      </c>
      <c r="U15" s="1" t="s">
        <v>28</v>
      </c>
      <c r="V15" s="1" t="s">
        <v>29</v>
      </c>
      <c r="W15" s="1" t="s">
        <v>31</v>
      </c>
      <c r="X15" s="1" t="s">
        <v>30</v>
      </c>
      <c r="Y15" s="8" t="s">
        <v>26</v>
      </c>
      <c r="Z15" s="8" t="s">
        <v>33</v>
      </c>
      <c r="AA15" s="8" t="s">
        <v>34</v>
      </c>
      <c r="AI15" s="7" t="s">
        <v>4</v>
      </c>
      <c r="AJ15" s="1">
        <v>60</v>
      </c>
    </row>
    <row r="16" spans="1:36" ht="28.8" x14ac:dyDescent="0.3">
      <c r="B16" s="9" t="s">
        <v>17</v>
      </c>
      <c r="C16" s="9" t="s">
        <v>23</v>
      </c>
      <c r="D16" s="9"/>
      <c r="E16" s="9" t="s">
        <v>37</v>
      </c>
      <c r="F16" s="9" t="s">
        <v>38</v>
      </c>
      <c r="G16" s="9" t="s">
        <v>32</v>
      </c>
      <c r="H16" s="27" t="s">
        <v>44</v>
      </c>
      <c r="I16" s="35">
        <f>+(2.999*12.03)/(1000/2.2)</f>
        <v>7.9371534000000007E-2</v>
      </c>
      <c r="J16" s="9" t="s">
        <v>48</v>
      </c>
      <c r="K16" s="27"/>
      <c r="L16" s="27"/>
      <c r="M16" s="27"/>
      <c r="N16" s="37" t="s">
        <v>51</v>
      </c>
      <c r="O16" s="27"/>
      <c r="P16" s="27"/>
      <c r="Q16" s="27"/>
      <c r="R16" s="27"/>
      <c r="S16" s="23"/>
      <c r="T16" s="23"/>
      <c r="U16" s="24"/>
      <c r="Y16" s="10" t="s">
        <v>27</v>
      </c>
      <c r="Z16" s="8"/>
      <c r="AA16" s="8"/>
      <c r="AI16" s="7"/>
    </row>
    <row r="17" spans="1:37" x14ac:dyDescent="0.3">
      <c r="A17" s="1" t="s">
        <v>14</v>
      </c>
      <c r="B17" s="8" t="s">
        <v>13</v>
      </c>
      <c r="C17" s="8" t="s">
        <v>13</v>
      </c>
      <c r="D17" s="8" t="s">
        <v>13</v>
      </c>
      <c r="E17" s="8" t="s">
        <v>13</v>
      </c>
      <c r="F17" s="8" t="s">
        <v>13</v>
      </c>
      <c r="G17" s="8" t="s">
        <v>13</v>
      </c>
      <c r="H17" s="31" t="s">
        <v>13</v>
      </c>
      <c r="I17" s="8" t="s">
        <v>13</v>
      </c>
      <c r="J17" s="8" t="s">
        <v>13</v>
      </c>
      <c r="K17" s="19"/>
      <c r="L17" s="19"/>
      <c r="M17" s="19"/>
      <c r="N17" s="8"/>
      <c r="O17" s="19"/>
      <c r="P17" s="19"/>
      <c r="Q17" s="19"/>
      <c r="R17" s="19"/>
      <c r="S17" s="19"/>
      <c r="T17" s="19"/>
      <c r="U17" s="1" t="s">
        <v>13</v>
      </c>
      <c r="V17" s="1" t="s">
        <v>13</v>
      </c>
      <c r="W17" s="1" t="s">
        <v>13</v>
      </c>
      <c r="X17" s="1" t="s">
        <v>13</v>
      </c>
      <c r="Y17" s="8" t="s">
        <v>13</v>
      </c>
      <c r="Z17" s="8" t="s">
        <v>13</v>
      </c>
      <c r="AA17" s="8" t="s">
        <v>13</v>
      </c>
      <c r="AI17" s="7" t="s">
        <v>7</v>
      </c>
      <c r="AJ17" s="1">
        <v>0.43640000000000001</v>
      </c>
    </row>
    <row r="18" spans="1:37" ht="28.8" x14ac:dyDescent="0.3">
      <c r="A18" s="1">
        <v>0</v>
      </c>
      <c r="B18" s="8">
        <f>+AVERAGE(-0.0316,-0.0399)</f>
        <v>-3.5750000000000004E-2</v>
      </c>
      <c r="C18" s="8">
        <f>+AVERAGE(-0.0914,-0.095)</f>
        <v>-9.3200000000000005E-2</v>
      </c>
      <c r="D18" s="8">
        <f>+AVERAGE(0,0)</f>
        <v>0</v>
      </c>
      <c r="E18" s="8">
        <f>+AVERAGE(0.0293, 0.003, 0.0112)</f>
        <v>1.4500000000000001E-2</v>
      </c>
      <c r="F18" s="8">
        <f>+AVERAGE(-0.0969,  -0.1078)</f>
        <v>-0.10235</v>
      </c>
      <c r="G18" s="8"/>
      <c r="H18" s="32" t="s">
        <v>42</v>
      </c>
      <c r="I18" s="18">
        <f t="shared" ref="I18:I29" si="2">+$I$16*A18</f>
        <v>0</v>
      </c>
      <c r="J18" s="28" t="s">
        <v>42</v>
      </c>
      <c r="K18" s="25"/>
      <c r="L18" s="25"/>
      <c r="M18" s="25"/>
      <c r="N18" s="28"/>
      <c r="O18" s="25"/>
      <c r="P18" s="25"/>
      <c r="Q18" s="25"/>
      <c r="R18" s="25"/>
      <c r="S18" s="25" t="s">
        <v>42</v>
      </c>
      <c r="T18" s="25" t="s">
        <v>42</v>
      </c>
      <c r="Y18" s="8"/>
      <c r="Z18" s="8"/>
      <c r="AA18" s="8"/>
      <c r="AI18" s="7" t="s">
        <v>5</v>
      </c>
      <c r="AJ18" s="1">
        <f>45.836*AJ17-15.43</f>
        <v>4.5728304000000009</v>
      </c>
      <c r="AK18" s="1">
        <f>+AJ17*AA7</f>
        <v>5.5676144675508095</v>
      </c>
    </row>
    <row r="19" spans="1:37" ht="28.8" x14ac:dyDescent="0.3">
      <c r="A19" s="1">
        <v>0</v>
      </c>
      <c r="B19" s="8">
        <f>+AVERAGE(0.8166,0.8107)</f>
        <v>0.81364999999999998</v>
      </c>
      <c r="C19" s="8">
        <f>+AVERAGE(  0.6439,   0.6422)</f>
        <v>0.64305000000000001</v>
      </c>
      <c r="D19" s="8"/>
      <c r="E19" s="18">
        <f>+AVERAGE(  0.6527, 0.6536)</f>
        <v>0.6531499999999999</v>
      </c>
      <c r="F19" s="8">
        <f>+AVERAGE(   0.7535, 0.7456)</f>
        <v>0.74954999999999994</v>
      </c>
      <c r="G19" s="13">
        <f t="shared" ref="G19:G29" si="3">+W19+X19</f>
        <v>-0.78636666666666666</v>
      </c>
      <c r="H19" s="31">
        <f>+S19+T19</f>
        <v>0.69769999999999999</v>
      </c>
      <c r="I19" s="18">
        <f t="shared" si="2"/>
        <v>0</v>
      </c>
      <c r="J19" s="8">
        <f>+L19+M19</f>
        <v>0.6258999999999999</v>
      </c>
      <c r="K19" s="19">
        <f>+J19-J19</f>
        <v>0</v>
      </c>
      <c r="L19" s="19">
        <v>-0.20100000000000001</v>
      </c>
      <c r="M19" s="19">
        <v>0.82689999999999997</v>
      </c>
      <c r="N19" s="8">
        <f>+P19+Q19</f>
        <v>1.0574999999999999</v>
      </c>
      <c r="O19" s="19">
        <f>N19-$N$19</f>
        <v>0</v>
      </c>
      <c r="P19" s="19">
        <v>-1.5610999999999999</v>
      </c>
      <c r="Q19" s="19">
        <v>2.6185999999999998</v>
      </c>
      <c r="R19" s="19"/>
      <c r="S19" s="19">
        <v>0.84619999999999995</v>
      </c>
      <c r="T19" s="19">
        <v>-0.14849999999999999</v>
      </c>
      <c r="U19" s="1">
        <v>-3.1457000000000002</v>
      </c>
      <c r="V19" s="1">
        <v>2.4300999999999999</v>
      </c>
      <c r="W19" s="1">
        <f>+AVERAGE(  -2.6373,  -2.6376,-2.6427 )</f>
        <v>-2.6392000000000002</v>
      </c>
      <c r="X19" s="4">
        <f>+AVERAGE(   1.8439,1.8527,1.8619)</f>
        <v>1.8528333333333336</v>
      </c>
      <c r="Y19" s="8">
        <f t="shared" ref="Y19:Y29" si="4">+U19+V19</f>
        <v>-0.71560000000000024</v>
      </c>
      <c r="Z19" s="13">
        <f>+$I19-G19</f>
        <v>0.78636666666666666</v>
      </c>
      <c r="AA19" s="13">
        <f t="shared" ref="AA19:AA29" si="5">+$I19-Y19</f>
        <v>0.71560000000000024</v>
      </c>
      <c r="AI19" s="7" t="s">
        <v>6</v>
      </c>
      <c r="AJ19" s="1">
        <f>46.989*AJ17-7.6257</f>
        <v>12.880299599999999</v>
      </c>
    </row>
    <row r="20" spans="1:37" x14ac:dyDescent="0.3">
      <c r="A20" s="1">
        <f>20+A19</f>
        <v>20</v>
      </c>
      <c r="B20" s="8">
        <v>2.3656999999999999</v>
      </c>
      <c r="C20" s="11">
        <v>2.2557</v>
      </c>
      <c r="D20" s="11"/>
      <c r="E20" s="11">
        <v>2.1042000000000001</v>
      </c>
      <c r="F20" s="11">
        <v>2.306</v>
      </c>
      <c r="G20" s="13">
        <f t="shared" si="3"/>
        <v>0.88449999999999984</v>
      </c>
      <c r="H20" s="31">
        <f t="shared" ref="H20:H29" si="6">+S20+T20</f>
        <v>2.2263000000000002</v>
      </c>
      <c r="I20" s="18">
        <f t="shared" si="2"/>
        <v>1.5874306800000002</v>
      </c>
      <c r="J20" s="8">
        <f t="shared" ref="J20:J29" si="7">+L20+M20</f>
        <v>2.2174</v>
      </c>
      <c r="K20" s="19">
        <f t="shared" ref="K20:K29" si="8">+J20-$J$19</f>
        <v>1.5915000000000001</v>
      </c>
      <c r="L20" s="19">
        <v>0.52310000000000001</v>
      </c>
      <c r="M20" s="33">
        <v>1.6942999999999999</v>
      </c>
      <c r="N20" s="8">
        <f t="shared" ref="N20:N29" si="9">+P20+Q20</f>
        <v>2.6375999999999999</v>
      </c>
      <c r="O20" s="19">
        <f t="shared" ref="O20:O29" si="10">N20-$N$19</f>
        <v>1.5801000000000001</v>
      </c>
      <c r="P20" s="34">
        <v>-0.8518</v>
      </c>
      <c r="Q20" s="34">
        <v>3.4893999999999998</v>
      </c>
      <c r="R20" s="19"/>
      <c r="S20" s="19">
        <v>1.5045999999999999</v>
      </c>
      <c r="T20" s="19">
        <v>0.72170000000000001</v>
      </c>
      <c r="U20" s="1">
        <v>-2.3935</v>
      </c>
      <c r="V20" s="1">
        <v>3.0699000000000001</v>
      </c>
      <c r="W20" s="1">
        <v>-1.6935</v>
      </c>
      <c r="X20" s="3">
        <v>2.5779999999999998</v>
      </c>
      <c r="Y20" s="8">
        <f t="shared" si="4"/>
        <v>0.67640000000000011</v>
      </c>
      <c r="Z20" s="13">
        <f t="shared" ref="Z20:Z29" si="11">+I20-G20</f>
        <v>0.70293068000000036</v>
      </c>
      <c r="AA20" s="13">
        <f t="shared" si="5"/>
        <v>0.91103068000000009</v>
      </c>
    </row>
    <row r="21" spans="1:37" x14ac:dyDescent="0.3">
      <c r="A21" s="1">
        <f t="shared" ref="A21:A29" si="12">20+A20</f>
        <v>40</v>
      </c>
      <c r="B21" s="8">
        <v>3.9769999999999999</v>
      </c>
      <c r="C21" s="8">
        <v>3.7155</v>
      </c>
      <c r="D21" s="8"/>
      <c r="E21" s="8">
        <v>3.4447999999999999</v>
      </c>
      <c r="F21" s="8">
        <v>3.8778999999999999</v>
      </c>
      <c r="G21" s="13">
        <f t="shared" si="3"/>
        <v>2.2377000000000002</v>
      </c>
      <c r="H21" s="31">
        <f>+S21+T21</f>
        <v>3.7152000000000003</v>
      </c>
      <c r="I21" s="18">
        <f t="shared" si="2"/>
        <v>3.1748613600000004</v>
      </c>
      <c r="J21" s="8">
        <f t="shared" si="7"/>
        <v>3.7044999999999999</v>
      </c>
      <c r="K21" s="19">
        <f t="shared" si="8"/>
        <v>3.0785999999999998</v>
      </c>
      <c r="L21" s="33">
        <v>1.3079000000000001</v>
      </c>
      <c r="M21" s="33">
        <v>2.3965999999999998</v>
      </c>
      <c r="N21" s="8">
        <f t="shared" si="9"/>
        <v>4.2038000000000002</v>
      </c>
      <c r="O21" s="19">
        <f t="shared" si="10"/>
        <v>3.1463000000000001</v>
      </c>
      <c r="P21" s="19">
        <v>2.7000000000000001E-3</v>
      </c>
      <c r="Q21" s="19">
        <v>4.2011000000000003</v>
      </c>
      <c r="R21" s="19"/>
      <c r="S21" s="19">
        <v>2.2673000000000001</v>
      </c>
      <c r="T21" s="19">
        <v>1.4479</v>
      </c>
      <c r="U21" s="1">
        <v>-1.9867999999999999</v>
      </c>
      <c r="V21" s="1">
        <v>3.9971000000000001</v>
      </c>
      <c r="W21" s="1">
        <v>-0.99760000000000004</v>
      </c>
      <c r="X21" s="1">
        <v>3.2353000000000001</v>
      </c>
      <c r="Y21" s="8">
        <f t="shared" si="4"/>
        <v>2.0103</v>
      </c>
      <c r="Z21" s="13">
        <f t="shared" si="11"/>
        <v>0.93716136000000017</v>
      </c>
      <c r="AA21" s="13">
        <f t="shared" si="5"/>
        <v>1.1645613600000004</v>
      </c>
    </row>
    <row r="22" spans="1:37" x14ac:dyDescent="0.3">
      <c r="A22" s="1">
        <f t="shared" si="12"/>
        <v>60</v>
      </c>
      <c r="B22" s="8">
        <v>5.5118</v>
      </c>
      <c r="C22" s="11">
        <v>5.3933999999999997</v>
      </c>
      <c r="D22" s="11"/>
      <c r="E22" s="11">
        <v>4.9028999999999998</v>
      </c>
      <c r="F22" s="11">
        <v>5.4673999999999996</v>
      </c>
      <c r="G22" s="13">
        <f t="shared" si="3"/>
        <v>3.8832000000000004</v>
      </c>
      <c r="H22" s="31">
        <f t="shared" si="6"/>
        <v>5.2401999999999997</v>
      </c>
      <c r="I22" s="18">
        <f t="shared" si="2"/>
        <v>4.7622920400000002</v>
      </c>
      <c r="J22" s="8">
        <f t="shared" si="7"/>
        <v>5.2979000000000003</v>
      </c>
      <c r="K22" s="19">
        <f t="shared" si="8"/>
        <v>4.6720000000000006</v>
      </c>
      <c r="L22" s="26">
        <v>2.0419</v>
      </c>
      <c r="M22" s="26">
        <v>3.2559999999999998</v>
      </c>
      <c r="N22" s="8">
        <f t="shared" si="9"/>
        <v>5.8010000000000002</v>
      </c>
      <c r="O22" s="19">
        <f t="shared" si="10"/>
        <v>4.7435</v>
      </c>
      <c r="P22" s="19">
        <v>0.64710000000000001</v>
      </c>
      <c r="Q22" s="19">
        <v>5.1539000000000001</v>
      </c>
      <c r="R22" s="19"/>
      <c r="S22" s="26">
        <v>2.9226999999999999</v>
      </c>
      <c r="T22" s="19">
        <v>2.3174999999999999</v>
      </c>
      <c r="U22" s="1">
        <v>-1.1840999999999999</v>
      </c>
      <c r="V22" s="1">
        <v>4.6421999999999999</v>
      </c>
      <c r="W22" s="3">
        <v>-0.19900000000000001</v>
      </c>
      <c r="X22" s="6">
        <v>4.0822000000000003</v>
      </c>
      <c r="Y22" s="8">
        <f t="shared" si="4"/>
        <v>3.4581</v>
      </c>
      <c r="Z22" s="13">
        <f t="shared" si="11"/>
        <v>0.87909203999999974</v>
      </c>
      <c r="AA22" s="13">
        <f t="shared" si="5"/>
        <v>1.3041920400000002</v>
      </c>
    </row>
    <row r="23" spans="1:37" x14ac:dyDescent="0.3">
      <c r="A23" s="1">
        <f t="shared" si="12"/>
        <v>80</v>
      </c>
      <c r="B23" s="8">
        <v>7.0669000000000004</v>
      </c>
      <c r="C23" s="8">
        <v>6.9484000000000004</v>
      </c>
      <c r="D23" s="8"/>
      <c r="E23" s="8">
        <v>6.2390999999999996</v>
      </c>
      <c r="F23" s="8">
        <v>7.0392000000000001</v>
      </c>
      <c r="G23" s="13">
        <f t="shared" si="3"/>
        <v>5.2236000000000002</v>
      </c>
      <c r="H23" s="31">
        <f t="shared" si="6"/>
        <v>6.6761999999999997</v>
      </c>
      <c r="I23" s="18">
        <f t="shared" si="2"/>
        <v>6.3497227200000008</v>
      </c>
      <c r="J23" s="8">
        <f t="shared" si="7"/>
        <v>6.7223000000000006</v>
      </c>
      <c r="K23" s="19">
        <f t="shared" si="8"/>
        <v>6.0964000000000009</v>
      </c>
      <c r="L23" s="26">
        <v>2.7416</v>
      </c>
      <c r="M23" s="26">
        <v>3.9807000000000001</v>
      </c>
      <c r="N23" s="8">
        <f t="shared" si="9"/>
        <v>7.3273000000000001</v>
      </c>
      <c r="O23" s="19">
        <f t="shared" si="10"/>
        <v>6.2698</v>
      </c>
      <c r="P23" s="19">
        <v>1.5208999999999999</v>
      </c>
      <c r="Q23" s="19">
        <v>5.8064</v>
      </c>
      <c r="R23" s="19"/>
      <c r="S23" s="19">
        <v>3.6368</v>
      </c>
      <c r="T23" s="19">
        <v>3.0394000000000001</v>
      </c>
      <c r="U23" s="1">
        <v>-0.8155</v>
      </c>
      <c r="V23" s="1">
        <v>5.5236999999999998</v>
      </c>
      <c r="W23" s="1">
        <v>0.38169999999999998</v>
      </c>
      <c r="X23" s="3">
        <v>4.8418999999999999</v>
      </c>
      <c r="Y23" s="8">
        <f t="shared" si="4"/>
        <v>4.7081999999999997</v>
      </c>
      <c r="Z23" s="13">
        <f t="shared" si="11"/>
        <v>1.1261227200000006</v>
      </c>
      <c r="AA23" s="13">
        <f t="shared" si="5"/>
        <v>1.6415227200000011</v>
      </c>
    </row>
    <row r="24" spans="1:37" x14ac:dyDescent="0.3">
      <c r="A24" s="1">
        <f t="shared" si="12"/>
        <v>100</v>
      </c>
      <c r="B24" s="8">
        <v>8.6905000000000001</v>
      </c>
      <c r="C24" s="8">
        <v>8.5520999999999994</v>
      </c>
      <c r="D24" s="8"/>
      <c r="E24" s="8">
        <v>7.7039</v>
      </c>
      <c r="F24" s="8">
        <v>8.5963999999999992</v>
      </c>
      <c r="G24" s="13">
        <f t="shared" si="3"/>
        <v>6.8686999999999996</v>
      </c>
      <c r="H24" s="31">
        <f t="shared" si="6"/>
        <v>8.2392000000000003</v>
      </c>
      <c r="I24" s="18">
        <f t="shared" si="2"/>
        <v>7.9371534000000006</v>
      </c>
      <c r="J24" s="8">
        <f t="shared" si="7"/>
        <v>8.5021000000000004</v>
      </c>
      <c r="K24" s="19">
        <f t="shared" si="8"/>
        <v>7.8762000000000008</v>
      </c>
      <c r="L24" s="26">
        <v>3.5640000000000001</v>
      </c>
      <c r="M24" s="26">
        <v>4.9381000000000004</v>
      </c>
      <c r="N24" s="8">
        <f t="shared" si="9"/>
        <v>8.9314</v>
      </c>
      <c r="O24" s="19">
        <f t="shared" si="10"/>
        <v>7.8738999999999999</v>
      </c>
      <c r="P24" s="19">
        <v>2.1819000000000002</v>
      </c>
      <c r="Q24" s="19">
        <v>6.7495000000000003</v>
      </c>
      <c r="R24" s="19"/>
      <c r="S24" s="19">
        <v>4.3464999999999998</v>
      </c>
      <c r="T24" s="19">
        <v>3.8927</v>
      </c>
      <c r="U24" s="1">
        <v>1.18E-2</v>
      </c>
      <c r="V24" s="1">
        <v>6.1082999999999998</v>
      </c>
      <c r="W24" s="1">
        <v>1.1536</v>
      </c>
      <c r="X24" s="1">
        <v>5.7150999999999996</v>
      </c>
      <c r="Y24" s="8">
        <f t="shared" si="4"/>
        <v>6.1200999999999999</v>
      </c>
      <c r="Z24" s="13">
        <f t="shared" si="11"/>
        <v>1.068453400000001</v>
      </c>
      <c r="AA24" s="13">
        <f t="shared" si="5"/>
        <v>1.8170534000000007</v>
      </c>
    </row>
    <row r="25" spans="1:37" x14ac:dyDescent="0.3">
      <c r="A25" s="1">
        <f t="shared" si="12"/>
        <v>120</v>
      </c>
      <c r="B25" s="8">
        <v>10.215</v>
      </c>
      <c r="C25" s="8">
        <v>10.058</v>
      </c>
      <c r="D25" s="8"/>
      <c r="E25" s="8">
        <v>8.9834999999999994</v>
      </c>
      <c r="F25" s="8">
        <v>10.2159</v>
      </c>
      <c r="G25" s="13">
        <f t="shared" si="3"/>
        <v>8.2492000000000001</v>
      </c>
      <c r="H25" s="31">
        <f t="shared" si="6"/>
        <v>9.7128000000000014</v>
      </c>
      <c r="I25" s="18">
        <f t="shared" si="2"/>
        <v>9.5245840800000003</v>
      </c>
      <c r="J25" s="8">
        <f t="shared" si="7"/>
        <v>9.992799999999999</v>
      </c>
      <c r="K25" s="19">
        <f t="shared" si="8"/>
        <v>9.3668999999999993</v>
      </c>
      <c r="L25" s="26">
        <v>4.2644000000000002</v>
      </c>
      <c r="M25" s="26">
        <v>5.7283999999999997</v>
      </c>
      <c r="N25" s="8">
        <f t="shared" si="9"/>
        <v>10.442</v>
      </c>
      <c r="O25" s="19">
        <f t="shared" si="10"/>
        <v>9.384500000000001</v>
      </c>
      <c r="P25" s="19">
        <v>3.0207000000000002</v>
      </c>
      <c r="Q25" s="19">
        <v>7.4212999999999996</v>
      </c>
      <c r="R25" s="19"/>
      <c r="S25" s="19">
        <v>5.1173000000000002</v>
      </c>
      <c r="T25" s="19">
        <v>4.5955000000000004</v>
      </c>
      <c r="U25" s="1">
        <v>0.38059999999999999</v>
      </c>
      <c r="V25" s="1">
        <v>7.008</v>
      </c>
      <c r="W25" s="1">
        <v>1.8294999999999999</v>
      </c>
      <c r="X25" s="1">
        <v>6.4196999999999997</v>
      </c>
      <c r="Y25" s="8">
        <f t="shared" si="4"/>
        <v>7.3886000000000003</v>
      </c>
      <c r="Z25" s="13">
        <f t="shared" si="11"/>
        <v>1.2753840800000003</v>
      </c>
      <c r="AA25" s="13">
        <f t="shared" si="5"/>
        <v>2.1359840800000001</v>
      </c>
    </row>
    <row r="26" spans="1:37" x14ac:dyDescent="0.3">
      <c r="A26" s="1">
        <f t="shared" si="12"/>
        <v>140</v>
      </c>
      <c r="B26" s="8">
        <v>11.901199999999999</v>
      </c>
      <c r="C26" s="8">
        <v>11.683999999999999</v>
      </c>
      <c r="D26" s="8"/>
      <c r="E26" s="8">
        <v>10.3795</v>
      </c>
      <c r="F26" s="8">
        <v>11.811199999999999</v>
      </c>
      <c r="G26" s="13">
        <f t="shared" si="3"/>
        <v>9.8778000000000006</v>
      </c>
      <c r="H26" s="31">
        <f t="shared" si="6"/>
        <v>11.259</v>
      </c>
      <c r="I26" s="18">
        <f t="shared" si="2"/>
        <v>11.112014760000001</v>
      </c>
      <c r="J26" s="8">
        <f t="shared" si="7"/>
        <v>11.6701</v>
      </c>
      <c r="K26" s="19">
        <f t="shared" si="8"/>
        <v>11.0442</v>
      </c>
      <c r="L26" s="26">
        <v>4.9935</v>
      </c>
      <c r="M26" s="26">
        <v>6.6765999999999996</v>
      </c>
      <c r="N26" s="8">
        <f t="shared" si="9"/>
        <v>12.0299</v>
      </c>
      <c r="O26" s="19">
        <f t="shared" si="10"/>
        <v>10.9724</v>
      </c>
      <c r="P26" s="26">
        <v>3.6278999999999999</v>
      </c>
      <c r="Q26" s="19">
        <v>8.4019999999999992</v>
      </c>
      <c r="R26" s="19"/>
      <c r="S26" s="19">
        <v>5.8353999999999999</v>
      </c>
      <c r="T26" s="19">
        <v>5.4236000000000004</v>
      </c>
      <c r="U26" s="1">
        <v>1.1796</v>
      </c>
      <c r="V26" s="1">
        <v>7.4802999999999997</v>
      </c>
      <c r="W26" s="1">
        <v>2.6387999999999998</v>
      </c>
      <c r="X26" s="1">
        <v>7.2389999999999999</v>
      </c>
      <c r="Y26" s="8">
        <f t="shared" si="4"/>
        <v>8.6599000000000004</v>
      </c>
      <c r="Z26" s="13">
        <f t="shared" si="11"/>
        <v>1.2342147600000004</v>
      </c>
      <c r="AA26" s="13">
        <f t="shared" si="5"/>
        <v>2.4521147600000006</v>
      </c>
    </row>
    <row r="27" spans="1:37" x14ac:dyDescent="0.3">
      <c r="A27" s="1">
        <f t="shared" si="12"/>
        <v>160</v>
      </c>
      <c r="B27" s="12">
        <v>13.4137</v>
      </c>
      <c r="C27" s="8">
        <v>13.1591</v>
      </c>
      <c r="D27" s="8"/>
      <c r="E27" s="8">
        <v>11.6343</v>
      </c>
      <c r="F27" s="8">
        <v>13.3582</v>
      </c>
      <c r="G27" s="13">
        <f t="shared" si="3"/>
        <v>11.3162</v>
      </c>
      <c r="H27" s="31">
        <f t="shared" si="6"/>
        <v>12.721500000000001</v>
      </c>
      <c r="I27" s="18">
        <f t="shared" si="2"/>
        <v>12.699445440000002</v>
      </c>
      <c r="J27" s="8">
        <f t="shared" si="7"/>
        <v>13.093</v>
      </c>
      <c r="K27" s="19">
        <f t="shared" si="8"/>
        <v>12.4671</v>
      </c>
      <c r="L27" s="26">
        <v>5.7415000000000003</v>
      </c>
      <c r="M27" s="26">
        <v>7.3514999999999997</v>
      </c>
      <c r="N27" s="8">
        <f t="shared" si="9"/>
        <v>13.469899999999999</v>
      </c>
      <c r="O27" s="19">
        <f t="shared" si="10"/>
        <v>12.4124</v>
      </c>
      <c r="P27" s="19">
        <v>4.4485999999999999</v>
      </c>
      <c r="Q27" s="19">
        <v>9.0213000000000001</v>
      </c>
      <c r="R27" s="19"/>
      <c r="S27" s="19">
        <v>6.6161000000000003</v>
      </c>
      <c r="T27" s="19">
        <v>6.1054000000000004</v>
      </c>
      <c r="U27" s="1">
        <v>1.5244</v>
      </c>
      <c r="V27" s="6">
        <v>8.3841000000000001</v>
      </c>
      <c r="W27" s="3">
        <v>3.5365000000000002</v>
      </c>
      <c r="X27" s="1">
        <v>7.7797000000000001</v>
      </c>
      <c r="Y27" s="8">
        <f t="shared" si="4"/>
        <v>9.9085000000000001</v>
      </c>
      <c r="Z27" s="13">
        <f t="shared" si="11"/>
        <v>1.3832454400000014</v>
      </c>
      <c r="AA27" s="13">
        <f t="shared" si="5"/>
        <v>2.7909454400000016</v>
      </c>
    </row>
    <row r="28" spans="1:37" x14ac:dyDescent="0.3">
      <c r="A28" s="1">
        <f t="shared" si="12"/>
        <v>180</v>
      </c>
      <c r="B28" s="12">
        <v>15.0404</v>
      </c>
      <c r="C28" s="8">
        <v>14.804399999999999</v>
      </c>
      <c r="D28" s="8"/>
      <c r="E28" s="11">
        <v>13.091799999999999</v>
      </c>
      <c r="F28" s="8">
        <v>14.9192</v>
      </c>
      <c r="G28" s="13">
        <f t="shared" si="3"/>
        <v>12.923400000000001</v>
      </c>
      <c r="H28" s="31">
        <f t="shared" si="6"/>
        <v>14.287100000000001</v>
      </c>
      <c r="I28" s="18">
        <f t="shared" si="2"/>
        <v>14.286876120000001</v>
      </c>
      <c r="J28" s="8">
        <f t="shared" si="7"/>
        <v>14.7469</v>
      </c>
      <c r="K28" s="19">
        <f t="shared" si="8"/>
        <v>14.121</v>
      </c>
      <c r="L28" s="26">
        <v>6.4831000000000003</v>
      </c>
      <c r="M28" s="26">
        <v>8.2637999999999998</v>
      </c>
      <c r="N28" s="8">
        <f t="shared" si="9"/>
        <v>15.035299999999999</v>
      </c>
      <c r="O28" s="19">
        <f t="shared" si="10"/>
        <v>13.9778</v>
      </c>
      <c r="P28" s="19">
        <v>5.0690999999999997</v>
      </c>
      <c r="Q28" s="19">
        <v>9.9662000000000006</v>
      </c>
      <c r="R28" s="19"/>
      <c r="S28" s="19">
        <v>7.4035000000000002</v>
      </c>
      <c r="T28" s="19">
        <v>6.8836000000000004</v>
      </c>
      <c r="U28" s="1">
        <v>2.363</v>
      </c>
      <c r="V28" s="1">
        <v>8.8042999999999996</v>
      </c>
      <c r="W28" s="1">
        <v>4.2977999999999996</v>
      </c>
      <c r="X28" s="1">
        <v>8.6256000000000004</v>
      </c>
      <c r="Y28" s="8">
        <f t="shared" si="4"/>
        <v>11.167299999999999</v>
      </c>
      <c r="Z28" s="13">
        <f t="shared" si="11"/>
        <v>1.3634761199999996</v>
      </c>
      <c r="AA28" s="13">
        <f t="shared" si="5"/>
        <v>3.1195761200000014</v>
      </c>
    </row>
    <row r="29" spans="1:37" x14ac:dyDescent="0.3">
      <c r="A29" s="1">
        <f t="shared" si="12"/>
        <v>200</v>
      </c>
      <c r="B29" s="8">
        <v>16.441199999999998</v>
      </c>
      <c r="C29" s="8">
        <v>16.288599999999999</v>
      </c>
      <c r="D29" s="8"/>
      <c r="E29" s="8">
        <v>14.292199999999999</v>
      </c>
      <c r="F29" s="8">
        <v>16.501000000000001</v>
      </c>
      <c r="G29" s="13">
        <f t="shared" si="3"/>
        <v>14.2315</v>
      </c>
      <c r="H29" s="31">
        <f t="shared" si="6"/>
        <v>15.7514</v>
      </c>
      <c r="I29" s="18">
        <f t="shared" si="2"/>
        <v>15.874306800000001</v>
      </c>
      <c r="J29" s="8">
        <f t="shared" si="7"/>
        <v>16.215900000000001</v>
      </c>
      <c r="K29" s="19">
        <f t="shared" si="8"/>
        <v>15.590000000000002</v>
      </c>
      <c r="L29" s="26">
        <v>7.2267999999999999</v>
      </c>
      <c r="M29" s="26">
        <v>8.9891000000000005</v>
      </c>
      <c r="N29" s="8">
        <f t="shared" si="9"/>
        <v>16.4618</v>
      </c>
      <c r="O29" s="19">
        <f t="shared" si="10"/>
        <v>15.404300000000001</v>
      </c>
      <c r="P29" s="19">
        <v>5.8411999999999997</v>
      </c>
      <c r="Q29" s="19">
        <v>10.6206</v>
      </c>
      <c r="R29" s="19"/>
      <c r="S29" s="19">
        <v>8.1488999999999994</v>
      </c>
      <c r="T29" s="19">
        <v>7.6025</v>
      </c>
      <c r="U29" s="1">
        <v>2.7366999999999999</v>
      </c>
      <c r="V29" s="1">
        <v>9.6748999999999992</v>
      </c>
      <c r="W29" s="1">
        <v>5.0170000000000003</v>
      </c>
      <c r="X29" s="1">
        <v>9.2144999999999992</v>
      </c>
      <c r="Y29" s="8">
        <f t="shared" si="4"/>
        <v>12.4116</v>
      </c>
      <c r="Z29" s="13">
        <f t="shared" si="11"/>
        <v>1.6428068000000007</v>
      </c>
      <c r="AA29" s="13">
        <f t="shared" si="5"/>
        <v>3.4627068000000012</v>
      </c>
    </row>
    <row r="31" spans="1:37" ht="28.8" x14ac:dyDescent="0.3">
      <c r="A31" s="1" t="s">
        <v>19</v>
      </c>
      <c r="B31" s="14">
        <v>200</v>
      </c>
      <c r="C31" s="14">
        <v>200</v>
      </c>
      <c r="D31" s="14"/>
      <c r="E31" s="14">
        <v>140</v>
      </c>
      <c r="F31" s="14">
        <v>200</v>
      </c>
      <c r="G31" s="14">
        <v>200</v>
      </c>
      <c r="H31" s="14">
        <v>200</v>
      </c>
      <c r="J31" s="14">
        <v>160</v>
      </c>
      <c r="K31" s="20"/>
      <c r="L31" s="30"/>
      <c r="M31" s="20"/>
      <c r="N31" s="20"/>
      <c r="O31" s="20"/>
      <c r="P31" s="20"/>
      <c r="Q31" s="20"/>
      <c r="R31" s="20"/>
      <c r="S31" s="20"/>
      <c r="T31" s="20"/>
      <c r="Y31" s="14">
        <v>200</v>
      </c>
      <c r="Z31" s="1">
        <v>6.6500000000000004E-2</v>
      </c>
    </row>
    <row r="32" spans="1:37" ht="28.8" x14ac:dyDescent="0.3">
      <c r="A32" s="1" t="s">
        <v>20</v>
      </c>
      <c r="B32" s="14">
        <v>16.5166</v>
      </c>
      <c r="C32" s="14">
        <v>16.149699999999999</v>
      </c>
      <c r="D32" s="14"/>
      <c r="E32" s="14">
        <v>10.378</v>
      </c>
      <c r="F32" s="14">
        <v>16.524899999999999</v>
      </c>
      <c r="G32" s="17">
        <f>+G29</f>
        <v>14.2315</v>
      </c>
      <c r="H32" s="29">
        <v>15.749000000000001</v>
      </c>
      <c r="J32" s="29">
        <v>13.0741</v>
      </c>
      <c r="K32" s="30"/>
      <c r="M32" s="30"/>
      <c r="N32" s="30">
        <v>2.4561999999999999</v>
      </c>
      <c r="O32" s="30"/>
      <c r="P32" s="30"/>
      <c r="Q32" s="30"/>
      <c r="R32" s="30"/>
      <c r="S32" s="21"/>
      <c r="T32" s="21"/>
      <c r="Y32" s="15">
        <f>+Y29</f>
        <v>12.4116</v>
      </c>
      <c r="Z32" s="1">
        <v>2.1065</v>
      </c>
    </row>
    <row r="33" spans="1:26" x14ac:dyDescent="0.3">
      <c r="A33" s="1" t="s">
        <v>18</v>
      </c>
      <c r="B33" s="14">
        <f>(B32-0.8091)/0.0787</f>
        <v>199.58703939008893</v>
      </c>
      <c r="C33" s="16">
        <f>(C32-0.8091)/0.0787</f>
        <v>194.92503176620073</v>
      </c>
      <c r="D33" s="16"/>
      <c r="E33" s="16">
        <f>(E32-0.7476)/0.0684</f>
        <v>140.79532163742689</v>
      </c>
      <c r="F33" s="16">
        <f>(F32-0.7349)/0.0789</f>
        <v>200.12674271229403</v>
      </c>
      <c r="G33" s="16">
        <f>(G32+0.7126)/0.0752</f>
        <v>198.72473404255319</v>
      </c>
      <c r="H33" s="16">
        <f>(H32-0.7022)/0.0753</f>
        <v>199.82470119521912</v>
      </c>
      <c r="I33" s="36"/>
      <c r="J33" s="16">
        <f>(J32-0.6059)/0.0783</f>
        <v>159.23627075351214</v>
      </c>
      <c r="K33" s="22"/>
      <c r="L33" s="22"/>
      <c r="M33" s="22"/>
      <c r="N33" s="16">
        <f>(N32-1.1278)/0.0773</f>
        <v>17.184993531694698</v>
      </c>
      <c r="O33" s="22"/>
      <c r="P33" s="22"/>
      <c r="Q33" s="22"/>
      <c r="R33" s="22"/>
      <c r="S33" s="22"/>
      <c r="T33" s="22"/>
      <c r="Y33" s="16">
        <f>(Y32+0.5814)/0.0656</f>
        <v>198.0640243902439</v>
      </c>
      <c r="Z33" s="3">
        <v>2.1032000000000002</v>
      </c>
    </row>
    <row r="34" spans="1:26" ht="43.2" x14ac:dyDescent="0.3">
      <c r="A34" s="1" t="s">
        <v>21</v>
      </c>
      <c r="B34" s="1">
        <v>1</v>
      </c>
      <c r="C34" s="1">
        <v>5</v>
      </c>
      <c r="N34" s="16">
        <f>(N32-1.1278)/0.0794</f>
        <v>16.730478589420656</v>
      </c>
    </row>
    <row r="36" spans="1:26" ht="28.8" x14ac:dyDescent="0.3">
      <c r="B36" s="1" t="s">
        <v>24</v>
      </c>
      <c r="U36" s="1" t="s">
        <v>25</v>
      </c>
    </row>
    <row r="37" spans="1:26" x14ac:dyDescent="0.3">
      <c r="B37" s="5">
        <v>11.0349</v>
      </c>
      <c r="C37" s="1">
        <v>132.30994897959187</v>
      </c>
    </row>
    <row r="38" spans="1:26" x14ac:dyDescent="0.3">
      <c r="B38" s="1">
        <v>14.696999999999999</v>
      </c>
      <c r="C38" s="6">
        <v>176.46632782719183</v>
      </c>
      <c r="D38" s="6"/>
      <c r="E38" s="6"/>
      <c r="F38" s="6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EE09-717E-427D-8A04-D39FAF96DCCB}">
  <dimension ref="A1:J25"/>
  <sheetViews>
    <sheetView workbookViewId="0">
      <selection activeCell="B5" sqref="B5:B7"/>
    </sheetView>
  </sheetViews>
  <sheetFormatPr baseColWidth="10" defaultRowHeight="14.4" x14ac:dyDescent="0.3"/>
  <cols>
    <col min="4" max="4" width="12.44140625" bestFit="1" customWidth="1"/>
  </cols>
  <sheetData>
    <row r="1" spans="1:10" ht="28.8" x14ac:dyDescent="0.3">
      <c r="A1" t="s">
        <v>52</v>
      </c>
      <c r="B1" t="s">
        <v>53</v>
      </c>
      <c r="C1" t="s">
        <v>54</v>
      </c>
      <c r="F1" t="s">
        <v>61</v>
      </c>
      <c r="H1" s="1" t="s">
        <v>58</v>
      </c>
      <c r="I1" s="1" t="s">
        <v>59</v>
      </c>
      <c r="J1" t="s">
        <v>60</v>
      </c>
    </row>
    <row r="2" spans="1:10" x14ac:dyDescent="0.3">
      <c r="A2">
        <v>3</v>
      </c>
      <c r="B2">
        <v>11.95</v>
      </c>
      <c r="C2" s="38">
        <f>+(A2*B2)/(1000/2.2)</f>
        <v>7.8869999999999996E-2</v>
      </c>
      <c r="G2">
        <v>1000</v>
      </c>
      <c r="H2">
        <f>+C2*G2</f>
        <v>78.86999999999999</v>
      </c>
      <c r="I2">
        <v>5000</v>
      </c>
      <c r="J2" s="45">
        <f>+H2/I2</f>
        <v>1.5773999999999996E-2</v>
      </c>
    </row>
    <row r="4" spans="1:10" x14ac:dyDescent="0.3">
      <c r="A4" t="s">
        <v>55</v>
      </c>
      <c r="B4" t="s">
        <v>56</v>
      </c>
      <c r="D4" t="s">
        <v>57</v>
      </c>
    </row>
    <row r="5" spans="1:10" x14ac:dyDescent="0.3">
      <c r="A5">
        <v>0</v>
      </c>
      <c r="B5">
        <v>1.0019</v>
      </c>
    </row>
    <row r="6" spans="1:10" x14ac:dyDescent="0.3">
      <c r="B6">
        <v>1.016</v>
      </c>
    </row>
    <row r="7" spans="1:10" x14ac:dyDescent="0.3">
      <c r="B7">
        <v>1.0133000000000001</v>
      </c>
    </row>
    <row r="8" spans="1:10" x14ac:dyDescent="0.3">
      <c r="A8">
        <v>0</v>
      </c>
      <c r="B8">
        <f>+AVERAGE(B5:B7)</f>
        <v>1.0104</v>
      </c>
      <c r="C8" s="38">
        <f t="shared" ref="C8:C13" si="0">+ROUND(B8/$J$2,0)*$J$2</f>
        <v>1.0095359999999998</v>
      </c>
      <c r="D8">
        <f t="shared" ref="D8:D13" si="1">+(C8-$C$8)/$C$2</f>
        <v>0</v>
      </c>
    </row>
    <row r="9" spans="1:10" x14ac:dyDescent="0.3">
      <c r="A9">
        <v>40</v>
      </c>
      <c r="B9">
        <v>4.0488999999999997</v>
      </c>
      <c r="C9" s="38">
        <f t="shared" si="0"/>
        <v>4.0539179999999995</v>
      </c>
      <c r="D9">
        <f t="shared" si="1"/>
        <v>38.6</v>
      </c>
      <c r="E9" s="39">
        <f>+A9-D9</f>
        <v>1.3999999999999986</v>
      </c>
      <c r="F9" s="41">
        <f>+E9/A9</f>
        <v>3.4999999999999962E-2</v>
      </c>
    </row>
    <row r="10" spans="1:10" x14ac:dyDescent="0.3">
      <c r="A10">
        <f>8*20</f>
        <v>160</v>
      </c>
      <c r="B10">
        <v>13.490600000000001</v>
      </c>
      <c r="C10" s="38">
        <f t="shared" si="0"/>
        <v>13.486769999999996</v>
      </c>
      <c r="D10">
        <f t="shared" si="1"/>
        <v>158.19999999999996</v>
      </c>
      <c r="E10" s="39">
        <f>+A10-D10</f>
        <v>1.8000000000000398</v>
      </c>
      <c r="F10" s="41">
        <f>+E10/A10</f>
        <v>1.1250000000000249E-2</v>
      </c>
    </row>
    <row r="11" spans="1:10" x14ac:dyDescent="0.3">
      <c r="A11">
        <v>200</v>
      </c>
      <c r="B11">
        <v>16.632200000000001</v>
      </c>
      <c r="C11" s="38">
        <f t="shared" si="0"/>
        <v>16.625795999999998</v>
      </c>
      <c r="D11">
        <f t="shared" si="1"/>
        <v>197.99999999999997</v>
      </c>
      <c r="E11" s="39">
        <f>+A11-D11</f>
        <v>2.0000000000000284</v>
      </c>
      <c r="F11" s="41">
        <f>+E11/A11</f>
        <v>1.0000000000000142E-2</v>
      </c>
      <c r="H11">
        <f>3/200</f>
        <v>1.4999999999999999E-2</v>
      </c>
      <c r="I11">
        <f>+H11*100</f>
        <v>1.5</v>
      </c>
    </row>
    <row r="12" spans="1:10" x14ac:dyDescent="0.3">
      <c r="A12">
        <v>200</v>
      </c>
      <c r="B12">
        <v>16.710699999999999</v>
      </c>
      <c r="C12" s="38">
        <f t="shared" si="0"/>
        <v>16.704665999999996</v>
      </c>
      <c r="D12">
        <f t="shared" si="1"/>
        <v>198.99999999999994</v>
      </c>
      <c r="E12" s="39">
        <f>+A12-D12</f>
        <v>1.0000000000000568</v>
      </c>
      <c r="F12" s="41">
        <f>+E12/A12</f>
        <v>5.0000000000002846E-3</v>
      </c>
    </row>
    <row r="13" spans="1:10" x14ac:dyDescent="0.3">
      <c r="A13">
        <v>200</v>
      </c>
      <c r="B13">
        <v>16.6539</v>
      </c>
      <c r="C13" s="38">
        <f t="shared" si="0"/>
        <v>16.657343999999995</v>
      </c>
      <c r="D13">
        <f t="shared" si="1"/>
        <v>198.39999999999995</v>
      </c>
      <c r="E13" s="39">
        <f>+A13-D13</f>
        <v>1.6000000000000512</v>
      </c>
      <c r="F13" s="41">
        <f>+E13/A13</f>
        <v>8.0000000000002552E-3</v>
      </c>
    </row>
    <row r="14" spans="1:10" x14ac:dyDescent="0.3">
      <c r="B14" s="42"/>
      <c r="C14" s="38"/>
    </row>
    <row r="15" spans="1:10" x14ac:dyDescent="0.3">
      <c r="A15" t="s">
        <v>62</v>
      </c>
    </row>
    <row r="16" spans="1:10" x14ac:dyDescent="0.3">
      <c r="A16" t="s">
        <v>55</v>
      </c>
      <c r="B16" t="s">
        <v>56</v>
      </c>
      <c r="D16" t="s">
        <v>57</v>
      </c>
    </row>
    <row r="17" spans="1:6" x14ac:dyDescent="0.3">
      <c r="A17">
        <v>0</v>
      </c>
      <c r="B17">
        <v>1.0121</v>
      </c>
    </row>
    <row r="18" spans="1:6" x14ac:dyDescent="0.3">
      <c r="B18">
        <v>1.0194000000000001</v>
      </c>
    </row>
    <row r="19" spans="1:6" x14ac:dyDescent="0.3">
      <c r="B19">
        <v>1.0321</v>
      </c>
    </row>
    <row r="20" spans="1:6" x14ac:dyDescent="0.3">
      <c r="A20">
        <v>0</v>
      </c>
      <c r="B20">
        <f>+AVERAGE(B17:B19)</f>
        <v>1.0212000000000001</v>
      </c>
      <c r="C20" s="38">
        <f>+ROUND(B20/$J$2,0)*$J$2</f>
        <v>1.0253099999999997</v>
      </c>
      <c r="D20">
        <f t="shared" ref="D20:D25" si="2">+(C20-$C$8)/$C$2</f>
        <v>0.19999999999999943</v>
      </c>
    </row>
    <row r="21" spans="1:6" x14ac:dyDescent="0.3">
      <c r="A21">
        <v>20</v>
      </c>
      <c r="B21">
        <v>2.6046</v>
      </c>
      <c r="C21" s="38">
        <f>+ROUND(B21/$J$2,0)*$J$2</f>
        <v>2.6027099999999992</v>
      </c>
      <c r="D21">
        <f t="shared" si="2"/>
        <v>20.199999999999992</v>
      </c>
      <c r="E21" s="39">
        <f>+A21-D21</f>
        <v>-0.19999999999999218</v>
      </c>
      <c r="F21" s="41">
        <f>+E21/A21</f>
        <v>-9.9999999999996099E-3</v>
      </c>
    </row>
    <row r="22" spans="1:6" x14ac:dyDescent="0.3">
      <c r="A22">
        <v>180</v>
      </c>
      <c r="B22">
        <v>15.149100000000001</v>
      </c>
      <c r="C22" s="38">
        <f>+ROUND(B22/$J$2,0)*$J$2</f>
        <v>15.143039999999996</v>
      </c>
      <c r="D22">
        <f t="shared" si="2"/>
        <v>179.19999999999993</v>
      </c>
      <c r="E22" s="39">
        <f>+A22-D22</f>
        <v>0.80000000000006821</v>
      </c>
      <c r="F22" s="41">
        <f>+E22/A22</f>
        <v>4.4444444444448235E-3</v>
      </c>
    </row>
    <row r="23" spans="1:6" x14ac:dyDescent="0.3">
      <c r="A23">
        <v>200</v>
      </c>
      <c r="B23">
        <v>16.716100000000001</v>
      </c>
      <c r="C23" s="38">
        <f>+ROUND(B23/$J$2,0)*$J$2</f>
        <v>16.720439999999996</v>
      </c>
      <c r="D23">
        <f t="shared" si="2"/>
        <v>199.19999999999996</v>
      </c>
      <c r="E23" s="39">
        <f>+A23-D23</f>
        <v>0.80000000000003979</v>
      </c>
      <c r="F23" s="41">
        <f>+E23/A23</f>
        <v>4.0000000000001987E-3</v>
      </c>
    </row>
    <row r="24" spans="1:6" x14ac:dyDescent="0.3">
      <c r="A24">
        <v>200</v>
      </c>
      <c r="C24" s="38">
        <f>1062*J2</f>
        <v>16.751987999999997</v>
      </c>
      <c r="D24">
        <f t="shared" si="2"/>
        <v>199.59999999999997</v>
      </c>
      <c r="E24" s="39">
        <f>+A24-D24</f>
        <v>0.40000000000003411</v>
      </c>
      <c r="F24" s="41">
        <f>+E24/A24</f>
        <v>2.0000000000001705E-3</v>
      </c>
    </row>
    <row r="25" spans="1:6" x14ac:dyDescent="0.3">
      <c r="C25" s="38">
        <v>4.2263999999999999</v>
      </c>
      <c r="D25" s="40">
        <f t="shared" si="2"/>
        <v>40.786915176873343</v>
      </c>
      <c r="E25" s="39"/>
      <c r="F25" s="41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307EF-50A2-4255-9447-3B48F955EBE8}">
  <dimension ref="A1:U30"/>
  <sheetViews>
    <sheetView tabSelected="1" topLeftCell="A13" zoomScale="107" zoomScaleNormal="145" workbookViewId="0">
      <selection activeCell="S26" sqref="S26"/>
    </sheetView>
  </sheetViews>
  <sheetFormatPr baseColWidth="10" defaultRowHeight="14.4" x14ac:dyDescent="0.3"/>
  <sheetData>
    <row r="1" spans="1:20" x14ac:dyDescent="0.3">
      <c r="A1" t="s">
        <v>53</v>
      </c>
      <c r="B1" s="39">
        <v>11.9</v>
      </c>
    </row>
    <row r="2" spans="1:20" x14ac:dyDescent="0.3">
      <c r="A2" t="s">
        <v>52</v>
      </c>
      <c r="B2" s="39">
        <f>+Hoja2!A2</f>
        <v>3</v>
      </c>
    </row>
    <row r="3" spans="1:20" x14ac:dyDescent="0.3">
      <c r="A3" t="s">
        <v>54</v>
      </c>
      <c r="B3" s="38">
        <f>+(B1*B2)/(1000/2.2)</f>
        <v>7.8540000000000013E-2</v>
      </c>
    </row>
    <row r="4" spans="1:20" x14ac:dyDescent="0.3">
      <c r="A4" t="s">
        <v>74</v>
      </c>
      <c r="B4" s="38">
        <f>1000*B3</f>
        <v>78.540000000000006</v>
      </c>
    </row>
    <row r="5" spans="1:20" ht="28.8" x14ac:dyDescent="0.3">
      <c r="A5" s="1" t="s">
        <v>75</v>
      </c>
      <c r="B5" s="43">
        <v>5000</v>
      </c>
    </row>
    <row r="6" spans="1:20" x14ac:dyDescent="0.3">
      <c r="A6" t="s">
        <v>73</v>
      </c>
      <c r="B6" s="45">
        <f>B4/B5</f>
        <v>1.5708E-2</v>
      </c>
    </row>
    <row r="8" spans="1:20" ht="43.2" x14ac:dyDescent="0.3">
      <c r="A8" t="s">
        <v>63</v>
      </c>
      <c r="B8" s="1" t="s">
        <v>64</v>
      </c>
      <c r="C8" s="1" t="s">
        <v>65</v>
      </c>
      <c r="D8" s="1" t="s">
        <v>66</v>
      </c>
      <c r="E8" s="1" t="s">
        <v>67</v>
      </c>
      <c r="G8" s="1" t="s">
        <v>77</v>
      </c>
      <c r="H8" s="1" t="s">
        <v>79</v>
      </c>
      <c r="I8" s="1" t="s">
        <v>78</v>
      </c>
      <c r="J8" s="1" t="s">
        <v>80</v>
      </c>
      <c r="K8" s="1" t="s">
        <v>64</v>
      </c>
      <c r="L8" s="1" t="s">
        <v>65</v>
      </c>
      <c r="M8" s="1" t="s">
        <v>83</v>
      </c>
    </row>
    <row r="9" spans="1:20" x14ac:dyDescent="0.3">
      <c r="A9">
        <v>0</v>
      </c>
      <c r="B9" s="1">
        <v>-1.0826</v>
      </c>
      <c r="C9" s="1">
        <v>1.0152000000000001</v>
      </c>
      <c r="D9" s="1">
        <v>-1.0826</v>
      </c>
      <c r="E9" s="1">
        <v>1.0152000000000001</v>
      </c>
      <c r="G9" s="1">
        <v>1</v>
      </c>
      <c r="H9" s="1">
        <v>605</v>
      </c>
      <c r="I9" s="1">
        <v>600</v>
      </c>
      <c r="J9">
        <f>+AVERAGE(H9:I9)</f>
        <v>602.5</v>
      </c>
      <c r="K9" s="4">
        <v>33.941200000000002</v>
      </c>
      <c r="L9" s="44">
        <v>32.414999999999999</v>
      </c>
      <c r="M9" s="44">
        <f>K9+L9</f>
        <v>66.356200000000001</v>
      </c>
    </row>
    <row r="10" spans="1:20" x14ac:dyDescent="0.3">
      <c r="A10">
        <v>1</v>
      </c>
      <c r="B10">
        <v>29.5746</v>
      </c>
      <c r="C10">
        <v>31.944600000000001</v>
      </c>
      <c r="D10" s="1">
        <v>28.2864</v>
      </c>
      <c r="E10" s="1">
        <v>37.931199999999997</v>
      </c>
      <c r="G10">
        <v>2</v>
      </c>
      <c r="H10">
        <v>504</v>
      </c>
      <c r="I10">
        <v>500</v>
      </c>
      <c r="J10">
        <f t="shared" ref="J10:J14" si="0">+AVERAGE(H10:I10)</f>
        <v>502</v>
      </c>
      <c r="K10" s="44">
        <v>33.516500000000001</v>
      </c>
      <c r="L10" s="44">
        <v>32.413699999999999</v>
      </c>
      <c r="M10" s="44">
        <f t="shared" ref="M10:M14" si="1">K10+L10</f>
        <v>65.930199999999999</v>
      </c>
    </row>
    <row r="11" spans="1:20" x14ac:dyDescent="0.3">
      <c r="A11">
        <v>2</v>
      </c>
      <c r="B11">
        <v>29.126200000000001</v>
      </c>
      <c r="C11">
        <v>31.8612</v>
      </c>
      <c r="D11">
        <v>28.985099999999999</v>
      </c>
      <c r="E11">
        <v>37.844700000000003</v>
      </c>
      <c r="G11">
        <v>3</v>
      </c>
      <c r="H11">
        <v>404</v>
      </c>
      <c r="I11">
        <v>400</v>
      </c>
      <c r="J11">
        <f t="shared" si="0"/>
        <v>402</v>
      </c>
      <c r="K11" s="44">
        <v>33.0792</v>
      </c>
      <c r="L11" s="44">
        <v>32.2485</v>
      </c>
      <c r="M11" s="44">
        <f t="shared" si="1"/>
        <v>65.327699999999993</v>
      </c>
    </row>
    <row r="12" spans="1:20" x14ac:dyDescent="0.3">
      <c r="A12">
        <v>3</v>
      </c>
      <c r="B12">
        <v>28.849399999999999</v>
      </c>
      <c r="C12">
        <v>31.843499999999999</v>
      </c>
      <c r="D12" s="1">
        <v>29.288499999999999</v>
      </c>
      <c r="E12" s="1">
        <v>37.862400000000001</v>
      </c>
      <c r="G12">
        <v>4</v>
      </c>
      <c r="H12">
        <v>305</v>
      </c>
      <c r="I12">
        <v>301</v>
      </c>
      <c r="J12">
        <f t="shared" si="0"/>
        <v>303</v>
      </c>
      <c r="K12" s="44">
        <v>32.605800000000002</v>
      </c>
      <c r="L12" s="44">
        <v>32.172699999999999</v>
      </c>
      <c r="M12" s="44">
        <f t="shared" si="1"/>
        <v>64.778500000000008</v>
      </c>
    </row>
    <row r="13" spans="1:20" x14ac:dyDescent="0.3">
      <c r="A13" t="s">
        <v>72</v>
      </c>
      <c r="B13">
        <f>+AVERAGE(B10:B12)</f>
        <v>29.183400000000002</v>
      </c>
      <c r="C13">
        <f>+AVERAGE(C10:C12)</f>
        <v>31.883100000000002</v>
      </c>
      <c r="D13">
        <f t="shared" ref="D13:E13" si="2">+AVERAGE(D10:D12)</f>
        <v>28.853333333333335</v>
      </c>
      <c r="E13">
        <f t="shared" si="2"/>
        <v>37.879433333333338</v>
      </c>
      <c r="G13">
        <v>5</v>
      </c>
      <c r="H13">
        <v>303</v>
      </c>
      <c r="I13">
        <v>200</v>
      </c>
      <c r="J13">
        <f t="shared" si="0"/>
        <v>251.5</v>
      </c>
      <c r="K13" s="44">
        <v>32.074100000000001</v>
      </c>
      <c r="L13" s="44">
        <v>32.087200000000003</v>
      </c>
      <c r="M13" s="44">
        <f t="shared" si="1"/>
        <v>64.161300000000011</v>
      </c>
    </row>
    <row r="14" spans="1:20" x14ac:dyDescent="0.3">
      <c r="G14">
        <v>6</v>
      </c>
      <c r="H14">
        <v>100</v>
      </c>
      <c r="I14">
        <v>100</v>
      </c>
      <c r="J14">
        <f t="shared" si="0"/>
        <v>100</v>
      </c>
      <c r="K14" s="44">
        <v>32.653100000000002</v>
      </c>
      <c r="L14" s="44">
        <v>31.202999999999999</v>
      </c>
      <c r="M14" s="44">
        <f t="shared" si="1"/>
        <v>63.856099999999998</v>
      </c>
    </row>
    <row r="15" spans="1:20" ht="28.8" x14ac:dyDescent="0.3">
      <c r="A15" t="s">
        <v>63</v>
      </c>
      <c r="B15" s="1" t="s">
        <v>64</v>
      </c>
      <c r="C15" s="1" t="s">
        <v>65</v>
      </c>
      <c r="D15" s="1" t="s">
        <v>66</v>
      </c>
      <c r="E15" s="1" t="s">
        <v>67</v>
      </c>
      <c r="G15" s="1" t="s">
        <v>84</v>
      </c>
      <c r="M15" s="44"/>
    </row>
    <row r="16" spans="1:20" ht="28.8" x14ac:dyDescent="0.3">
      <c r="A16">
        <v>0</v>
      </c>
      <c r="B16" s="46">
        <f>+ROUND(B9/$B$6,0)*$B$6</f>
        <v>-1.083852</v>
      </c>
      <c r="C16" s="46">
        <f t="shared" ref="C16:E16" si="3">+ROUND(C9/$B$6,0)*$B$6</f>
        <v>1.02102</v>
      </c>
      <c r="D16" s="46">
        <f t="shared" si="3"/>
        <v>-1.083852</v>
      </c>
      <c r="E16" s="46">
        <f t="shared" si="3"/>
        <v>1.02102</v>
      </c>
      <c r="G16" s="1" t="s">
        <v>77</v>
      </c>
      <c r="H16" s="1" t="s">
        <v>79</v>
      </c>
      <c r="I16" s="1" t="s">
        <v>78</v>
      </c>
      <c r="J16" s="1" t="s">
        <v>80</v>
      </c>
      <c r="K16" s="1" t="s">
        <v>64</v>
      </c>
      <c r="L16" s="1" t="s">
        <v>65</v>
      </c>
      <c r="M16" s="1" t="s">
        <v>90</v>
      </c>
      <c r="O16" s="48" t="s">
        <v>81</v>
      </c>
      <c r="P16" s="48"/>
      <c r="T16" s="44"/>
    </row>
    <row r="17" spans="1:21" x14ac:dyDescent="0.3">
      <c r="A17">
        <v>1</v>
      </c>
      <c r="B17" s="46">
        <f t="shared" ref="B17:E17" si="4">+ROUND(B10/$B$6,0)*$B$6</f>
        <v>29.578164000000001</v>
      </c>
      <c r="C17" s="46">
        <f t="shared" si="4"/>
        <v>31.950071999999999</v>
      </c>
      <c r="D17" s="46">
        <f t="shared" si="4"/>
        <v>28.290108</v>
      </c>
      <c r="E17" s="46">
        <f t="shared" si="4"/>
        <v>37.934820000000002</v>
      </c>
      <c r="G17" s="1">
        <v>1</v>
      </c>
      <c r="H17" s="1">
        <v>605</v>
      </c>
      <c r="I17" s="1">
        <v>600</v>
      </c>
      <c r="J17">
        <f>+AVERAGE(H17:I17)</f>
        <v>602.5</v>
      </c>
      <c r="K17" s="4">
        <f>+ROUND(K9/$B$6,0)*$B$6</f>
        <v>33.944988000000002</v>
      </c>
      <c r="L17" s="4">
        <f t="shared" ref="L17:M17" si="5">+ROUND(L9/$B$6,0)*$B$6</f>
        <v>32.421312</v>
      </c>
      <c r="M17" s="4">
        <f t="shared" si="5"/>
        <v>66.350592000000006</v>
      </c>
      <c r="T17" s="44"/>
    </row>
    <row r="18" spans="1:21" x14ac:dyDescent="0.3">
      <c r="A18">
        <v>2</v>
      </c>
      <c r="B18" s="46">
        <f t="shared" ref="B18:E18" si="6">+ROUND(B11/$B$6,0)*$B$6</f>
        <v>29.122631999999999</v>
      </c>
      <c r="C18" s="46">
        <f t="shared" si="6"/>
        <v>31.855823999999998</v>
      </c>
      <c r="D18" s="46">
        <f t="shared" si="6"/>
        <v>28.981259999999999</v>
      </c>
      <c r="E18" s="46">
        <f t="shared" si="6"/>
        <v>37.840572000000002</v>
      </c>
      <c r="G18">
        <v>2</v>
      </c>
      <c r="H18">
        <v>504</v>
      </c>
      <c r="I18">
        <v>500</v>
      </c>
      <c r="J18">
        <f t="shared" ref="J18:J22" si="7">+AVERAGE(H18:I18)</f>
        <v>502</v>
      </c>
      <c r="K18" s="4">
        <f t="shared" ref="K18:M18" si="8">+ROUND(K10/$B$6,0)*$B$6</f>
        <v>33.520871999999997</v>
      </c>
      <c r="L18" s="4">
        <f t="shared" si="8"/>
        <v>32.421312</v>
      </c>
      <c r="M18" s="4">
        <f t="shared" si="8"/>
        <v>65.926475999999994</v>
      </c>
    </row>
    <row r="19" spans="1:21" x14ac:dyDescent="0.3">
      <c r="A19">
        <v>3</v>
      </c>
      <c r="B19" s="46">
        <f t="shared" ref="B19:E19" si="9">+ROUND(B12/$B$6,0)*$B$6</f>
        <v>28.855595999999998</v>
      </c>
      <c r="C19" s="46">
        <f t="shared" si="9"/>
        <v>31.840115999999998</v>
      </c>
      <c r="D19" s="46">
        <f t="shared" si="9"/>
        <v>29.29542</v>
      </c>
      <c r="E19" s="46">
        <f t="shared" si="9"/>
        <v>37.856279999999998</v>
      </c>
      <c r="G19">
        <v>3</v>
      </c>
      <c r="H19">
        <v>404</v>
      </c>
      <c r="I19">
        <v>400</v>
      </c>
      <c r="J19">
        <f t="shared" si="7"/>
        <v>402</v>
      </c>
      <c r="K19" s="4">
        <f t="shared" ref="K19:M19" si="10">+ROUND(K11/$B$6,0)*$B$6</f>
        <v>33.081048000000003</v>
      </c>
      <c r="L19" s="4">
        <f t="shared" si="10"/>
        <v>32.248523999999996</v>
      </c>
      <c r="M19" s="4">
        <f t="shared" si="10"/>
        <v>65.329571999999999</v>
      </c>
    </row>
    <row r="20" spans="1:21" x14ac:dyDescent="0.3">
      <c r="A20" t="s">
        <v>72</v>
      </c>
      <c r="B20" s="46">
        <f>+ROUND(B13/$B$6,0)*$B$6</f>
        <v>29.185464</v>
      </c>
      <c r="C20" s="46">
        <f t="shared" ref="C20:E20" si="11">+ROUND(C13/$B$6,0)*$B$6</f>
        <v>31.887239999999998</v>
      </c>
      <c r="D20" s="46">
        <f t="shared" si="11"/>
        <v>28.855595999999998</v>
      </c>
      <c r="E20" s="46">
        <f t="shared" si="11"/>
        <v>37.871988000000002</v>
      </c>
      <c r="G20">
        <v>4</v>
      </c>
      <c r="H20">
        <v>305</v>
      </c>
      <c r="I20">
        <v>301</v>
      </c>
      <c r="J20">
        <f t="shared" si="7"/>
        <v>303</v>
      </c>
      <c r="K20" s="4">
        <f t="shared" ref="K20:M20" si="12">+ROUND(K12/$B$6,0)*$B$6</f>
        <v>32.609808000000001</v>
      </c>
      <c r="L20" s="4">
        <f t="shared" si="12"/>
        <v>32.169983999999999</v>
      </c>
      <c r="M20" s="4">
        <f t="shared" si="12"/>
        <v>64.779792</v>
      </c>
    </row>
    <row r="21" spans="1:21" x14ac:dyDescent="0.3">
      <c r="G21">
        <v>5</v>
      </c>
      <c r="H21">
        <v>303</v>
      </c>
      <c r="I21">
        <v>200</v>
      </c>
      <c r="J21">
        <f t="shared" si="7"/>
        <v>251.5</v>
      </c>
      <c r="K21" s="4">
        <f t="shared" ref="K21:M21" si="13">+ROUND(K13/$B$6,0)*$B$6</f>
        <v>32.075735999999999</v>
      </c>
      <c r="L21" s="4">
        <f t="shared" si="13"/>
        <v>32.091444000000003</v>
      </c>
      <c r="M21" s="4">
        <f t="shared" si="13"/>
        <v>64.167180000000002</v>
      </c>
      <c r="O21" t="s">
        <v>94</v>
      </c>
      <c r="P21" t="s">
        <v>95</v>
      </c>
      <c r="Q21" t="s">
        <v>96</v>
      </c>
      <c r="R21" t="s">
        <v>92</v>
      </c>
      <c r="S21" t="s">
        <v>93</v>
      </c>
      <c r="T21" t="s">
        <v>97</v>
      </c>
    </row>
    <row r="22" spans="1:21" ht="28.8" x14ac:dyDescent="0.3">
      <c r="A22" t="s">
        <v>63</v>
      </c>
      <c r="B22" s="8" t="s">
        <v>68</v>
      </c>
      <c r="C22" s="8" t="s">
        <v>69</v>
      </c>
      <c r="D22" s="8" t="s">
        <v>70</v>
      </c>
      <c r="E22" s="8" t="s">
        <v>71</v>
      </c>
      <c r="G22">
        <v>6</v>
      </c>
      <c r="H22">
        <v>100</v>
      </c>
      <c r="I22">
        <v>100</v>
      </c>
      <c r="J22">
        <f t="shared" si="7"/>
        <v>100</v>
      </c>
      <c r="K22" s="4">
        <f t="shared" ref="K22:M22" si="14">+ROUND(K14/$B$6,0)*$B$6</f>
        <v>32.656931999999998</v>
      </c>
      <c r="L22" s="4">
        <f t="shared" si="14"/>
        <v>31.196088</v>
      </c>
      <c r="M22" s="4">
        <f t="shared" si="14"/>
        <v>63.853020000000001</v>
      </c>
      <c r="O22" s="53">
        <v>100</v>
      </c>
      <c r="P22" s="53">
        <v>100</v>
      </c>
      <c r="Q22" s="53">
        <f>+AVERAGE(O22:P22)</f>
        <v>100</v>
      </c>
      <c r="R22" s="53">
        <f>2000*0.0150555971356992</f>
        <v>30.1111942713984</v>
      </c>
      <c r="S22" s="53">
        <f>2000*0.0157684958763749</f>
        <v>31.536991752749799</v>
      </c>
      <c r="T22" s="54">
        <f>SUM(R22:S22)</f>
        <v>61.648186024148202</v>
      </c>
      <c r="U22" s="55" t="s">
        <v>82</v>
      </c>
    </row>
    <row r="23" spans="1:21" x14ac:dyDescent="0.3">
      <c r="A23">
        <v>1</v>
      </c>
      <c r="B23" s="47">
        <f>+(B17-B$16)/$B$3</f>
        <v>390.4</v>
      </c>
      <c r="C23" s="47">
        <f t="shared" ref="C23:E23" si="15">+(C17-C$16)/$B$3</f>
        <v>393.7999999999999</v>
      </c>
      <c r="D23" s="47">
        <f t="shared" si="15"/>
        <v>373.99999999999994</v>
      </c>
      <c r="E23" s="47">
        <f t="shared" si="15"/>
        <v>469.99999999999994</v>
      </c>
      <c r="G23" t="s">
        <v>85</v>
      </c>
    </row>
    <row r="24" spans="1:21" ht="28.8" x14ac:dyDescent="0.3">
      <c r="A24">
        <v>2</v>
      </c>
      <c r="B24" s="47">
        <f t="shared" ref="B24:E24" si="16">+(B18-B$16)/$B$3</f>
        <v>384.59999999999991</v>
      </c>
      <c r="C24" s="47">
        <f t="shared" si="16"/>
        <v>392.59999999999991</v>
      </c>
      <c r="D24" s="47">
        <f t="shared" si="16"/>
        <v>382.79999999999995</v>
      </c>
      <c r="E24" s="47">
        <f t="shared" si="16"/>
        <v>468.79999999999995</v>
      </c>
      <c r="G24" s="51" t="s">
        <v>77</v>
      </c>
      <c r="H24" s="51" t="s">
        <v>79</v>
      </c>
      <c r="I24" s="51" t="s">
        <v>78</v>
      </c>
      <c r="J24" s="51" t="s">
        <v>80</v>
      </c>
      <c r="K24" s="51" t="s">
        <v>86</v>
      </c>
      <c r="L24" s="51" t="s">
        <v>87</v>
      </c>
      <c r="M24" s="51" t="s">
        <v>91</v>
      </c>
    </row>
    <row r="25" spans="1:21" x14ac:dyDescent="0.3">
      <c r="A25">
        <v>3</v>
      </c>
      <c r="B25" s="47">
        <f t="shared" ref="B25:E26" si="17">+(B19-B$16)/$B$3</f>
        <v>381.19999999999993</v>
      </c>
      <c r="C25" s="47">
        <f t="shared" si="17"/>
        <v>392.39999999999992</v>
      </c>
      <c r="D25" s="47">
        <f t="shared" si="17"/>
        <v>386.79999999999995</v>
      </c>
      <c r="E25" s="47">
        <f t="shared" si="17"/>
        <v>468.99999999999989</v>
      </c>
      <c r="G25" s="51">
        <v>1</v>
      </c>
      <c r="H25" s="8">
        <v>605</v>
      </c>
      <c r="I25" s="8">
        <v>600</v>
      </c>
      <c r="J25" s="49">
        <f>+AVERAGE(H25:I25)</f>
        <v>602.5</v>
      </c>
      <c r="K25" s="50">
        <f>+(K17-B$16)/$B$3</f>
        <v>445.99999999999994</v>
      </c>
      <c r="L25" s="50">
        <f>+(L17-C$16)/$B$3</f>
        <v>399.79999999999995</v>
      </c>
      <c r="M25" s="50">
        <f>+(M17-D$16)/$B$3</f>
        <v>858.5999999999998</v>
      </c>
      <c r="R25" t="s">
        <v>99</v>
      </c>
      <c r="S25">
        <v>32.656931999999998</v>
      </c>
      <c r="T25">
        <v>31.196088</v>
      </c>
    </row>
    <row r="26" spans="1:21" x14ac:dyDescent="0.3">
      <c r="A26">
        <v>4</v>
      </c>
      <c r="B26" s="47">
        <f t="shared" si="17"/>
        <v>385.39999999999992</v>
      </c>
      <c r="C26" s="47">
        <f t="shared" si="17"/>
        <v>392.99999999999994</v>
      </c>
      <c r="D26" s="47">
        <f t="shared" si="17"/>
        <v>381.19999999999993</v>
      </c>
      <c r="E26" s="47">
        <f t="shared" si="17"/>
        <v>469.19999999999993</v>
      </c>
      <c r="G26" s="52">
        <v>2</v>
      </c>
      <c r="H26" s="49">
        <v>504</v>
      </c>
      <c r="I26" s="49">
        <v>500</v>
      </c>
      <c r="J26" s="49">
        <f t="shared" ref="J26:J30" si="18">+AVERAGE(H26:I26)</f>
        <v>502</v>
      </c>
      <c r="K26" s="50">
        <f t="shared" ref="K26:M26" si="19">+(K18-B$16)/$B$3</f>
        <v>440.59999999999991</v>
      </c>
      <c r="L26" s="50">
        <f t="shared" si="19"/>
        <v>399.79999999999995</v>
      </c>
      <c r="M26" s="50">
        <f t="shared" si="19"/>
        <v>853.1999999999997</v>
      </c>
      <c r="R26" t="s">
        <v>98</v>
      </c>
      <c r="S26">
        <f>+S25+D9</f>
        <v>31.574331999999998</v>
      </c>
      <c r="T26">
        <f>+T25-E9</f>
        <v>30.180887999999999</v>
      </c>
    </row>
    <row r="27" spans="1:21" x14ac:dyDescent="0.3">
      <c r="B27" s="57" t="s">
        <v>89</v>
      </c>
      <c r="C27" s="57"/>
      <c r="D27" s="57" t="s">
        <v>88</v>
      </c>
      <c r="E27" s="57"/>
      <c r="G27" s="52">
        <v>3</v>
      </c>
      <c r="H27" s="49">
        <v>404</v>
      </c>
      <c r="I27" s="49">
        <v>400</v>
      </c>
      <c r="J27" s="49">
        <f t="shared" si="18"/>
        <v>402</v>
      </c>
      <c r="K27" s="50">
        <f t="shared" ref="K27:M27" si="20">+(K19-B$16)/$B$3</f>
        <v>434.99999999999994</v>
      </c>
      <c r="L27" s="50">
        <f t="shared" si="20"/>
        <v>397.59999999999991</v>
      </c>
      <c r="M27" s="50">
        <f t="shared" si="20"/>
        <v>845.5999999999998</v>
      </c>
    </row>
    <row r="28" spans="1:21" x14ac:dyDescent="0.3">
      <c r="B28" s="56">
        <f>+B26+C26</f>
        <v>778.39999999999986</v>
      </c>
      <c r="C28" s="57"/>
      <c r="D28" s="56">
        <f>+D26+E26</f>
        <v>850.39999999999986</v>
      </c>
      <c r="E28" s="57"/>
      <c r="G28" s="52">
        <v>4</v>
      </c>
      <c r="H28" s="49">
        <v>305</v>
      </c>
      <c r="I28" s="49">
        <v>301</v>
      </c>
      <c r="J28" s="49">
        <f t="shared" si="18"/>
        <v>303</v>
      </c>
      <c r="K28" s="50">
        <f t="shared" ref="K28:M28" si="21">+(K20-B$16)/$B$3</f>
        <v>428.99999999999994</v>
      </c>
      <c r="L28" s="50">
        <f t="shared" si="21"/>
        <v>396.59999999999991</v>
      </c>
      <c r="M28" s="50">
        <f t="shared" si="21"/>
        <v>838.5999999999998</v>
      </c>
    </row>
    <row r="29" spans="1:21" x14ac:dyDescent="0.3">
      <c r="B29" s="57" t="s">
        <v>76</v>
      </c>
      <c r="C29" s="57"/>
      <c r="D29" s="57"/>
      <c r="E29" s="57"/>
      <c r="G29" s="52">
        <v>5</v>
      </c>
      <c r="H29" s="49">
        <v>203</v>
      </c>
      <c r="I29" s="49">
        <v>200</v>
      </c>
      <c r="J29" s="49">
        <f t="shared" si="18"/>
        <v>201.5</v>
      </c>
      <c r="K29" s="50">
        <f t="shared" ref="K29:M29" si="22">+(K21-B$16)/$B$3</f>
        <v>422.19999999999993</v>
      </c>
      <c r="L29" s="50">
        <f t="shared" si="22"/>
        <v>395.59999999999997</v>
      </c>
      <c r="M29" s="50">
        <f t="shared" si="22"/>
        <v>830.79999999999984</v>
      </c>
    </row>
    <row r="30" spans="1:21" x14ac:dyDescent="0.3">
      <c r="B30" s="56">
        <f>+B28+D28</f>
        <v>1628.7999999999997</v>
      </c>
      <c r="C30" s="57"/>
      <c r="D30" s="57"/>
      <c r="E30" s="57"/>
      <c r="G30" s="52">
        <v>6</v>
      </c>
      <c r="H30" s="49">
        <v>100</v>
      </c>
      <c r="I30" s="49">
        <v>100</v>
      </c>
      <c r="J30" s="49">
        <f t="shared" si="18"/>
        <v>100</v>
      </c>
      <c r="K30" s="50">
        <f t="shared" ref="K30:M30" si="23">+(K22-B$16)/$B$3</f>
        <v>429.59999999999991</v>
      </c>
      <c r="L30" s="50">
        <f t="shared" si="23"/>
        <v>384.19999999999993</v>
      </c>
      <c r="M30" s="50">
        <f t="shared" si="23"/>
        <v>826.79999999999984</v>
      </c>
    </row>
  </sheetData>
  <mergeCells count="6">
    <mergeCell ref="B30:E30"/>
    <mergeCell ref="B27:C27"/>
    <mergeCell ref="B28:C28"/>
    <mergeCell ref="D27:E27"/>
    <mergeCell ref="D28:E28"/>
    <mergeCell ref="B29:E2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DiegoR</dc:creator>
  <cp:lastModifiedBy>DiegoR</cp:lastModifiedBy>
  <dcterms:created xsi:type="dcterms:W3CDTF">2022-08-24T17:00:47Z</dcterms:created>
  <dcterms:modified xsi:type="dcterms:W3CDTF">2022-09-13T21:22:26Z</dcterms:modified>
</cp:coreProperties>
</file>