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<sst xmlns="http://schemas.openxmlformats.org/spreadsheetml/2006/main" count="84" uniqueCount="52">
  <si>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</si>
  <si>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</si>
  <si>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</si>
  <si>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</si>
  <si>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</si>
  <si>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</si>
  <si>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</si>
  <si>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</si>
  <si>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</si>
  <si>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</si>
  <si>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</si>
  <si>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</si>
  <si>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</si>
  <si>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</si>
  <si>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</si>
  <si>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</si>
  <si>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</si>
  <si>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</si>
  <si>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</si>
  <si>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</si>
  <si>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</si>
  <si>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</si>
  <si>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</si>
  <si>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</si>
  <si>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</si>
  <si>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</si>
  <si>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</si>
  <si>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</si>
  <si>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</si>
  <si>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</si>
  <si>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</si>
  <si>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</si>
  <si>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</si>
  <si>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</si>
  <si>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</si>
  <si>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</si>
  <si>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</si>
  <si>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</si>
  <si>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</si>
  <si>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</si>
  <si>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</si>
  <si>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</si>
  <si>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</si>
  <si>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</si>
  <si>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</si>
  <si>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</si>
  <si>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</si>
  <si>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</si>
  <si>
    <t>Soporta una varación en contra %</t>
  </si>
  <si>
    <t>peor de los casos</t>
  </si>
  <si>
    <t>donde quedaría el precio al final</t>
  </si>
  <si>
    <t>distancia entre posicion y precio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</si>
</sst>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00"/>
    <numFmt numFmtId="178" formatCode="_ * #,##0.00_ ;_ * \-#,##0.00_ ;_ * &quot;-&quot;??_ ;_ @_ "/>
    <numFmt numFmtId="42" formatCode="_(&quot;$&quot;* #,##0_);_(&quot;$&quot;* \(#,##0\);_(&quot;$&quot;* &quot;-&quot;_);_(@_)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0" borderId="2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2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6" borderId="24" applyNumberFormat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7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7" fontId="0" fillId="3" borderId="7" xfId="0" applyNumberFormat="1" applyFont="1" applyFill="1" applyBorder="1" applyAlignment="1">
      <alignment vertical="center"/>
    </xf>
    <xf numFmtId="177" fontId="0" fillId="2" borderId="7" xfId="0" applyNumberFormat="1" applyFont="1" applyFill="1" applyBorder="1" applyAlignment="1">
      <alignment vertical="center"/>
    </xf>
    <xf numFmtId="177" fontId="0" fillId="0" borderId="8" xfId="0" applyNumberFormat="1" applyFont="1" applyFill="1" applyBorder="1" applyAlignment="1">
      <alignment vertical="center"/>
    </xf>
    <xf numFmtId="177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7" fontId="0" fillId="3" borderId="10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7" fontId="0" fillId="3" borderId="12" xfId="0" applyNumberFormat="1" applyFont="1" applyFill="1" applyBorder="1" applyAlignment="1">
      <alignment vertical="center"/>
    </xf>
    <xf numFmtId="177" fontId="5" fillId="3" borderId="13" xfId="0" applyNumberFormat="1" applyFont="1" applyFill="1" applyBorder="1" applyAlignment="1">
      <alignment vertical="center"/>
    </xf>
    <xf numFmtId="177" fontId="0" fillId="0" borderId="1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0" fillId="4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>
      <alignment vertical="center"/>
    </xf>
    <xf numFmtId="177" fontId="5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179" fontId="0" fillId="5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7" fontId="0" fillId="0" borderId="16" xfId="0" applyNumberFormat="1" applyFont="1" applyFill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2" borderId="18" xfId="0" applyNumberFormat="1" applyFont="1" applyFill="1" applyBorder="1" applyAlignment="1">
      <alignment vertical="center"/>
    </xf>
    <xf numFmtId="177" fontId="0" fillId="2" borderId="19" xfId="0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47" customWidth="1"/>
    <col min="2" max="2" width="34.287037037037" style="47" customWidth="1"/>
    <col min="3" max="3" width="14.1481481481481" style="48" customWidth="1"/>
  </cols>
  <sheetData>
    <row r="1" ht="19.5" customHeight="1" spans="1:3">
      <c r="A1" s="49" t="s">
        <v>0</v>
      </c>
      <c r="B1" s="49" t="s">
        <v>1</v>
      </c>
      <c r="C1" s="50" t="s">
        <v>2</v>
      </c>
    </row>
    <row r="2" ht="19.5" customHeight="1" spans="1:3">
      <c r="A2" s="51">
        <v>449.74</v>
      </c>
      <c r="B2" s="52">
        <v>1</v>
      </c>
      <c r="C2" s="51">
        <v>30</v>
      </c>
    </row>
    <row r="3" ht="19.5" customHeight="1" spans="1:2">
      <c r="A3" s="53"/>
      <c r="B3" s="53"/>
    </row>
    <row r="4" ht="19.5" customHeight="1" spans="1:2">
      <c r="A4" s="49" t="s">
        <v>3</v>
      </c>
      <c r="B4" s="49" t="s">
        <v>4</v>
      </c>
    </row>
    <row r="5" ht="19.5" customHeight="1" spans="1:2">
      <c r="A5" s="52">
        <f>POWER(1+(B2/100),C2)*A2</f>
        <v>606.181571181821</v>
      </c>
      <c r="B5" s="52">
        <f>A5-A2</f>
        <v>156.441571181821</v>
      </c>
    </row>
    <row r="6" ht="19.5" customHeight="1" spans="1:2">
      <c r="A6" s="54"/>
      <c r="B6" s="54"/>
    </row>
    <row r="7" spans="1:2">
      <c r="A7" s="55" t="s">
        <v>5</v>
      </c>
      <c r="B7" s="55"/>
    </row>
    <row r="8" spans="1:2">
      <c r="A8" s="53" t="s">
        <v>6</v>
      </c>
      <c r="B8" s="53" t="s">
        <v>1</v>
      </c>
    </row>
    <row r="9" spans="1:2">
      <c r="A9" s="53">
        <v>3</v>
      </c>
      <c r="B9" s="53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3">
        <f>G3/F3</f>
        <v>3607.69371679795</v>
      </c>
      <c r="F3" s="44">
        <v>0.005459</v>
      </c>
      <c r="G3" s="13">
        <f>B8</f>
        <v>19.6944</v>
      </c>
      <c r="I3" s="8" t="s">
        <v>15</v>
      </c>
      <c r="J3" s="24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1">
        <f t="shared" ref="E4:E11" si="0">E3*(1+$B$6/100)</f>
        <v>4690.00183183733</v>
      </c>
      <c r="F4" s="16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4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1">
        <f t="shared" si="0"/>
        <v>6097.00238138853</v>
      </c>
      <c r="F5" s="16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4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1">
        <f t="shared" si="0"/>
        <v>7926.10309580509</v>
      </c>
      <c r="F6" s="16">
        <f t="shared" si="2"/>
        <v>0.005742168773067</v>
      </c>
      <c r="G6" s="13">
        <f t="shared" si="1"/>
        <v>45.5130216888417</v>
      </c>
      <c r="I6" s="8" t="s">
        <v>21</v>
      </c>
      <c r="J6" s="24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1">
        <f t="shared" si="0"/>
        <v>10303.9340245466</v>
      </c>
      <c r="F7" s="16">
        <f t="shared" si="2"/>
        <v>0.00583978564220914</v>
      </c>
      <c r="G7" s="13">
        <f t="shared" si="1"/>
        <v>60.1727659748174</v>
      </c>
      <c r="I7" s="8" t="s">
        <v>23</v>
      </c>
      <c r="J7" s="17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1">
        <f t="shared" si="0"/>
        <v>13395.1142319106</v>
      </c>
      <c r="F8" s="16">
        <f t="shared" si="2"/>
        <v>0.00593906199812669</v>
      </c>
      <c r="G8" s="13">
        <f t="shared" si="1"/>
        <v>79.5544138953063</v>
      </c>
    </row>
    <row r="9" s="1" customFormat="1" spans="1:10">
      <c r="A9" s="45" t="s">
        <v>25</v>
      </c>
      <c r="B9" s="46">
        <v>8</v>
      </c>
      <c r="D9" s="15">
        <v>6</v>
      </c>
      <c r="E9" s="11">
        <f t="shared" si="0"/>
        <v>17413.6485014838</v>
      </c>
      <c r="F9" s="16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45" t="s">
        <v>28</v>
      </c>
      <c r="B10" s="46">
        <f>((1-POWER(1+$B$6/100,$B$9+1))/(1-(1+$B$6/100)))*$E$3</f>
        <v>115500.306803206</v>
      </c>
      <c r="D10" s="15">
        <v>7</v>
      </c>
      <c r="E10" s="11">
        <f t="shared" si="0"/>
        <v>22637.7430519289</v>
      </c>
      <c r="F10" s="16">
        <f>IF($B$1="BUY",F9*(1-$B$5/100),F9*(1+$B$5/100))</f>
        <v>0.00614270649498046</v>
      </c>
      <c r="G10" s="13">
        <f t="shared" si="1"/>
        <v>139.057011276782</v>
      </c>
      <c r="I10" s="25">
        <f>G18/E18</f>
        <v>0.00621293583368965</v>
      </c>
      <c r="J10" s="26">
        <f>IF(B1="BUY",((B4/G18)+1)*I10,((B4/-G18)+1)*I10)</f>
        <v>0.00628398326401364</v>
      </c>
    </row>
    <row r="11" s="1" customFormat="1" spans="1:7">
      <c r="A11" s="45" t="s">
        <v>29</v>
      </c>
      <c r="B11" s="46">
        <f>((1-POWER(1+$B$6/100,$B$9+1))/(1-(1+$B$6/100)))*$G$3</f>
        <v>630.516174838704</v>
      </c>
      <c r="D11" s="15">
        <v>8</v>
      </c>
      <c r="E11" s="11">
        <f t="shared" si="0"/>
        <v>29429.0659675076</v>
      </c>
      <c r="F11" s="16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45" t="s">
        <v>30</v>
      </c>
      <c r="B12" s="46">
        <f>B10*3</f>
        <v>346500.920409619</v>
      </c>
      <c r="D12" s="15">
        <v>9</v>
      </c>
      <c r="E12" s="11"/>
      <c r="F12" s="16"/>
      <c r="G12" s="13">
        <f t="shared" si="1"/>
        <v>0</v>
      </c>
    </row>
    <row r="13" s="1" customFormat="1" spans="1:7">
      <c r="A13" s="45" t="s">
        <v>31</v>
      </c>
      <c r="B13" s="46">
        <f>B11*3</f>
        <v>1891.54852451611</v>
      </c>
      <c r="D13" s="15">
        <v>10</v>
      </c>
      <c r="E13" s="11"/>
      <c r="F13" s="16"/>
      <c r="G13" s="13">
        <f t="shared" si="1"/>
        <v>0</v>
      </c>
    </row>
    <row r="14" s="1" customFormat="1" spans="1:7">
      <c r="A14" s="45" t="s">
        <v>32</v>
      </c>
      <c r="B14" s="46">
        <f>B12+B10</f>
        <v>462001.227212826</v>
      </c>
      <c r="D14" s="15">
        <v>11</v>
      </c>
      <c r="E14" s="11"/>
      <c r="F14" s="16"/>
      <c r="G14" s="13">
        <f t="shared" si="1"/>
        <v>0</v>
      </c>
    </row>
    <row r="15" s="1" customFormat="1" spans="1:7">
      <c r="A15" s="45" t="s">
        <v>33</v>
      </c>
      <c r="B15" s="46">
        <f>B13+B11</f>
        <v>2522.06469935482</v>
      </c>
      <c r="D15" s="15">
        <v>12</v>
      </c>
      <c r="E15" s="11"/>
      <c r="F15" s="16"/>
      <c r="G15" s="13">
        <f t="shared" si="1"/>
        <v>0</v>
      </c>
    </row>
    <row r="16" s="1" customFormat="1" spans="1:7">
      <c r="A16" s="45" t="s">
        <v>34</v>
      </c>
      <c r="B16" s="46">
        <f>B15/B14</f>
        <v>0.005459</v>
      </c>
      <c r="D16" s="15">
        <v>13</v>
      </c>
      <c r="E16" s="11"/>
      <c r="F16" s="16"/>
      <c r="G16" s="13">
        <f t="shared" si="1"/>
        <v>0</v>
      </c>
    </row>
    <row r="17" s="1" customFormat="1" ht="18.15" spans="1:10">
      <c r="A17" s="45" t="s">
        <v>35</v>
      </c>
      <c r="B17" s="46">
        <f>IF(B1="BUY",((B4/B15)+1)*B16,((B4/-B15)+1)*B16)</f>
        <v>0.00553004743032399</v>
      </c>
      <c r="D17" s="18" t="s">
        <v>30</v>
      </c>
      <c r="E17" s="19">
        <f>SUM(E3:E15)*3</f>
        <v>346500.920409619</v>
      </c>
      <c r="F17" s="20">
        <f>IF(B1="BUY",MIN(F3:F16)*(1-($B$5/3)/100),MAX(F3:F16)*(1+($B$5/3)/100))</f>
        <v>0.0062825329229257</v>
      </c>
      <c r="G17" s="21">
        <f t="shared" si="1"/>
        <v>2176.90344029749</v>
      </c>
      <c r="J17" s="31"/>
    </row>
    <row r="18" s="1" customFormat="1" spans="1:10">
      <c r="A18" s="8" t="s">
        <v>36</v>
      </c>
      <c r="B18" s="17">
        <v>6</v>
      </c>
      <c r="D18" s="22"/>
      <c r="E18" s="23">
        <f>SUM(E3:E17)</f>
        <v>462001.227212826</v>
      </c>
      <c r="F18" s="23"/>
      <c r="G18" s="23">
        <f>SUM(G3:G17)</f>
        <v>2870.38397975916</v>
      </c>
      <c r="H18" s="22"/>
      <c r="J18" s="31"/>
    </row>
    <row r="19" s="1" customFormat="1" spans="1:10">
      <c r="A19" s="8" t="s">
        <v>37</v>
      </c>
      <c r="B19" s="17">
        <v>10</v>
      </c>
      <c r="J19" s="31"/>
    </row>
    <row r="20" s="1" customFormat="1" spans="10:10">
      <c r="J20" s="31"/>
    </row>
    <row r="21" s="1" customFormat="1" spans="10:10">
      <c r="J21" s="31"/>
    </row>
    <row r="22" spans="10:10">
      <c r="J22" s="31"/>
    </row>
    <row r="23" spans="10:10">
      <c r="J23" s="31"/>
    </row>
    <row r="24" spans="10:10">
      <c r="J24" s="3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F5" sqref="F5"/>
    </sheetView>
  </sheetViews>
  <sheetFormatPr defaultColWidth="8.88888888888889" defaultRowHeight="14.4"/>
  <cols>
    <col min="1" max="1" width="26.5833333333333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2" t="s">
        <v>8</v>
      </c>
      <c r="B2" s="1"/>
      <c r="C2" s="1"/>
      <c r="D2" s="1"/>
      <c r="E2" s="33" t="s">
        <v>38</v>
      </c>
      <c r="F2" s="27" t="s">
        <v>39</v>
      </c>
      <c r="G2" s="27" t="s">
        <v>40</v>
      </c>
      <c r="H2" s="27" t="s">
        <v>41</v>
      </c>
      <c r="I2" s="27" t="s">
        <v>42</v>
      </c>
      <c r="J2" s="27" t="s">
        <v>43</v>
      </c>
      <c r="K2" s="27" t="s">
        <v>44</v>
      </c>
    </row>
    <row r="3" spans="1:11">
      <c r="A3" s="8" t="s">
        <v>13</v>
      </c>
      <c r="B3" s="34">
        <v>498.78</v>
      </c>
      <c r="C3" s="1"/>
      <c r="D3" s="35" t="s">
        <v>45</v>
      </c>
      <c r="E3" s="36">
        <v>178.96</v>
      </c>
      <c r="F3" s="37">
        <v>1.3</v>
      </c>
      <c r="G3" s="17">
        <f>E3/F3</f>
        <v>137.661538461538</v>
      </c>
      <c r="H3" s="38">
        <f>IF(A2="BUY",(J3/I3)-1,(I3/J3)-1)*100</f>
        <v>-12.2599167236099</v>
      </c>
      <c r="I3" s="38">
        <f>SUM(E3:E4)/SUM(G3:G4)</f>
        <v>1.30989677247175</v>
      </c>
      <c r="J3" s="40">
        <f>IF(A2="BUY",((B4/SUM(E3:E4))+1)*I3,((B4/-SUM(E3:E4))+1)*I3)</f>
        <v>1.49292857216176</v>
      </c>
      <c r="K3" s="41">
        <f>H3/100*SUM(G3:G4)*J3</f>
        <v>-49.878</v>
      </c>
    </row>
    <row r="4" spans="1:11">
      <c r="A4" s="8" t="s">
        <v>16</v>
      </c>
      <c r="B4" s="14">
        <f>-B3*10/100</f>
        <v>-49.878</v>
      </c>
      <c r="C4" s="1"/>
      <c r="D4" s="35" t="s">
        <v>46</v>
      </c>
      <c r="E4" s="36">
        <v>178</v>
      </c>
      <c r="F4" s="37">
        <v>1.32</v>
      </c>
      <c r="G4" s="17">
        <f>E4/F4</f>
        <v>134.848484848485</v>
      </c>
      <c r="H4" s="39"/>
      <c r="I4" s="39"/>
      <c r="J4" s="39"/>
      <c r="K4" s="42"/>
    </row>
    <row r="5" spans="1:10">
      <c r="A5" s="8" t="s">
        <v>18</v>
      </c>
      <c r="B5" s="14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4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4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4">
        <f>B3*10/100</f>
        <v>49.878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17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47</v>
      </c>
      <c r="B10" s="17">
        <f>((1-POWER(1+$B$6/100,B9+1))/(1-(1+$B$6/100)))*E3</f>
        <v>3146.62486744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" sqref="B1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1.66666666666667" style="1" customWidth="1"/>
    <col min="9" max="9" width="32.8888888888889" style="1" customWidth="1"/>
    <col min="10" max="10" width="31.2222222222222" style="1" customWidth="1"/>
    <col min="11" max="11" width="8.44444444444444" style="1" customWidth="1"/>
    <col min="12" max="12" width="31.2222222222222" style="1" customWidth="1"/>
    <col min="13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502.22</v>
      </c>
      <c r="D3" s="10" t="s">
        <v>14</v>
      </c>
      <c r="E3" s="11">
        <f>G3/F3</f>
        <v>5673.73376012051</v>
      </c>
      <c r="F3" s="12">
        <v>0.005311</v>
      </c>
      <c r="G3" s="13">
        <f>B8</f>
        <v>30.1332</v>
      </c>
      <c r="I3" s="8" t="s">
        <v>15</v>
      </c>
      <c r="J3" s="24">
        <f>IF(B1="BUY",((I10/J10)-1)*-100,((I10/J10)-1)*100)</f>
        <v>-4.5193163771672</v>
      </c>
    </row>
    <row r="4" s="1" customFormat="1" spans="1:10">
      <c r="A4" s="8" t="s">
        <v>16</v>
      </c>
      <c r="B4" s="14">
        <f>-B3*$B$10/100</f>
        <v>-50.222</v>
      </c>
      <c r="D4" s="15">
        <v>1</v>
      </c>
      <c r="E4" s="11">
        <f>E3*(1+$B$6/100)</f>
        <v>7375.85388815666</v>
      </c>
      <c r="F4" s="16">
        <f>IF($B$1="BUY",F3*(1-$B$5/100),F3*(1+$B$5/100))</f>
        <v>0.005401287</v>
      </c>
      <c r="G4" s="13">
        <f t="shared" ref="G4:G17" si="0">E4*F4</f>
        <v>39.83910372</v>
      </c>
      <c r="I4" s="8" t="s">
        <v>17</v>
      </c>
      <c r="J4" s="24">
        <f>E18</f>
        <v>181644.574472154</v>
      </c>
    </row>
    <row r="5" s="1" customFormat="1" spans="1:10">
      <c r="A5" s="8" t="s">
        <v>18</v>
      </c>
      <c r="B5" s="14">
        <v>1.7</v>
      </c>
      <c r="D5" s="15">
        <v>2</v>
      </c>
      <c r="E5" s="11">
        <f>E4*(1+$B$6/100)</f>
        <v>9588.61005460365</v>
      </c>
      <c r="F5" s="16">
        <f>IF($B$1="BUY",F4*(1-$B$5/100),F4*(1+$B$5/100))</f>
        <v>0.005493108879</v>
      </c>
      <c r="G5" s="13">
        <f t="shared" si="0"/>
        <v>52.671279028212</v>
      </c>
      <c r="I5" s="8" t="s">
        <v>19</v>
      </c>
      <c r="J5" s="24">
        <f>J4*J10</f>
        <v>1111.27426824409</v>
      </c>
    </row>
    <row r="6" s="1" customFormat="1" spans="1:10">
      <c r="A6" s="8" t="s">
        <v>20</v>
      </c>
      <c r="B6" s="14">
        <v>30</v>
      </c>
      <c r="D6" s="15">
        <v>3</v>
      </c>
      <c r="E6" s="11">
        <f>E5*(1+$B$6/100)</f>
        <v>12465.1930709848</v>
      </c>
      <c r="F6" s="16">
        <f>IF($B$1="BUY",F5*(1-$B$5/100),F5*(1+$B$5/100))</f>
        <v>0.005586491729943</v>
      </c>
      <c r="G6" s="13">
        <f t="shared" si="0"/>
        <v>69.6366980031991</v>
      </c>
      <c r="I6" s="8" t="s">
        <v>21</v>
      </c>
      <c r="J6" s="24">
        <f>J3/100*J4*J10</f>
        <v>-50.2220000000002</v>
      </c>
    </row>
    <row r="7" s="1" customFormat="1" spans="1:10">
      <c r="A7" s="8" t="s">
        <v>22</v>
      </c>
      <c r="B7" s="14">
        <v>10</v>
      </c>
      <c r="D7" s="15">
        <v>4</v>
      </c>
      <c r="E7" s="11">
        <f>E6*(1+$B$6/100)</f>
        <v>16204.7509922802</v>
      </c>
      <c r="F7" s="16">
        <f>IF($B$1="BUY",F6*(1-$B$5/100),F6*(1+$B$5/100))</f>
        <v>0.00568146208935203</v>
      </c>
      <c r="G7" s="13">
        <f t="shared" si="0"/>
        <v>92.0666784300295</v>
      </c>
      <c r="I7" s="8" t="s">
        <v>48</v>
      </c>
      <c r="J7" s="17">
        <f>IF(B1="BUY",(((J10/F3)-1)*-1),(J10/F3)-1)*100</f>
        <v>15.1920550884314</v>
      </c>
    </row>
    <row r="8" s="1" customFormat="1" spans="1:7">
      <c r="A8" s="8" t="s">
        <v>24</v>
      </c>
      <c r="B8" s="14">
        <f>B3*$B$9/100</f>
        <v>30.1332</v>
      </c>
      <c r="D8" s="15">
        <v>5</v>
      </c>
      <c r="E8" s="11">
        <f>E7*(1+$B$6/100)</f>
        <v>21066.1762899642</v>
      </c>
      <c r="F8" s="16">
        <f>IF($B$1="BUY",F7*(1-$B$5/100),F7*(1+$B$5/100))</f>
        <v>0.00577804694487101</v>
      </c>
      <c r="G8" s="13">
        <f t="shared" si="0"/>
        <v>121.721355552342</v>
      </c>
    </row>
    <row r="9" s="1" customFormat="1" spans="1:10">
      <c r="A9" s="8" t="s">
        <v>36</v>
      </c>
      <c r="B9" s="17">
        <v>6</v>
      </c>
      <c r="D9" s="15">
        <v>6</v>
      </c>
      <c r="E9" s="11">
        <f>E8*(1+$B$6/100)</f>
        <v>27386.0291769535</v>
      </c>
      <c r="F9" s="16">
        <f>IF($B$1="BUY",F8*(1-$B$5/100),F8*(1+$B$5/100))</f>
        <v>0.00587627374293382</v>
      </c>
      <c r="G9" s="13">
        <f t="shared" si="0"/>
        <v>160.927804175751</v>
      </c>
      <c r="I9" s="8" t="s">
        <v>26</v>
      </c>
      <c r="J9" s="8" t="s">
        <v>27</v>
      </c>
    </row>
    <row r="10" s="1" customFormat="1" ht="17.4" spans="1:10">
      <c r="A10" s="8" t="s">
        <v>37</v>
      </c>
      <c r="B10" s="17">
        <v>10</v>
      </c>
      <c r="D10" s="15">
        <v>7</v>
      </c>
      <c r="E10" s="11">
        <f>E9*(1+$B$6/100)</f>
        <v>35601.8379300396</v>
      </c>
      <c r="F10" s="16">
        <f>IF($B$1="BUY",F9*(1-$B$5/100),F9*(1+$B$5/100))</f>
        <v>0.00597617039656369</v>
      </c>
      <c r="G10" s="13">
        <f t="shared" si="0"/>
        <v>212.762649900761</v>
      </c>
      <c r="I10" s="25">
        <f>G18/E18</f>
        <v>0.00584136504669864</v>
      </c>
      <c r="J10" s="26">
        <f>IF(B1="BUY",((B4/G18)+1)*I10,((B4/-G18)+1)*I10)</f>
        <v>0.00611785004574659</v>
      </c>
    </row>
    <row r="11" s="1" customFormat="1" spans="4:7">
      <c r="D11" s="15">
        <v>8</v>
      </c>
      <c r="E11" s="11">
        <f>E10*(1+$B$6/100)</f>
        <v>46282.3893090514</v>
      </c>
      <c r="F11" s="16">
        <f>IF($B$1="BUY",F10*(1-$B$5/100),F10*(1+$B$5/100))</f>
        <v>0.00607776529330528</v>
      </c>
      <c r="G11" s="13">
        <f t="shared" si="0"/>
        <v>281.293499433796</v>
      </c>
    </row>
    <row r="12" s="1" customFormat="1" spans="4:7">
      <c r="D12" s="15">
        <v>9</v>
      </c>
      <c r="E12" s="11"/>
      <c r="F12" s="16"/>
      <c r="G12" s="13">
        <f t="shared" si="0"/>
        <v>0</v>
      </c>
    </row>
    <row r="13" s="1" customFormat="1" spans="4:10">
      <c r="D13" s="15">
        <v>10</v>
      </c>
      <c r="E13" s="11"/>
      <c r="F13" s="16"/>
      <c r="G13" s="13">
        <f t="shared" si="0"/>
        <v>0</v>
      </c>
      <c r="I13" s="27" t="s">
        <v>49</v>
      </c>
      <c r="J13" s="27"/>
    </row>
    <row r="14" s="1" customFormat="1" spans="4:9">
      <c r="D14" s="15">
        <v>11</v>
      </c>
      <c r="E14" s="11"/>
      <c r="F14" s="16"/>
      <c r="G14" s="13">
        <f t="shared" si="0"/>
        <v>0</v>
      </c>
      <c r="I14" s="28" t="s">
        <v>50</v>
      </c>
    </row>
    <row r="15" s="1" customFormat="1" spans="4:9">
      <c r="D15" s="15">
        <v>12</v>
      </c>
      <c r="E15" s="11"/>
      <c r="F15" s="16"/>
      <c r="G15" s="13">
        <f t="shared" si="0"/>
        <v>0</v>
      </c>
      <c r="I15" s="17">
        <f>IF(B1="BUY",F3*(1-(J7)/100),F3*(1+(J7)/100))</f>
        <v>0.00611785004574659</v>
      </c>
    </row>
    <row r="16" s="1" customFormat="1" spans="4:9">
      <c r="D16" s="15">
        <v>13</v>
      </c>
      <c r="E16" s="11"/>
      <c r="F16" s="16"/>
      <c r="G16" s="13">
        <f t="shared" si="0"/>
        <v>0</v>
      </c>
      <c r="I16" s="29" t="s">
        <v>51</v>
      </c>
    </row>
    <row r="17" s="1" customFormat="1" ht="18.15" spans="4:10">
      <c r="D17" s="18" t="s">
        <v>30</v>
      </c>
      <c r="E17" s="19"/>
      <c r="F17" s="20">
        <f>IF(B1="BUY",MIN(F3:F16)*(1-($B$5/3)/100),MAX(F3:F16)*(1+($B$5/3)/100))</f>
        <v>0.00611220596330067</v>
      </c>
      <c r="G17" s="21">
        <f t="shared" si="0"/>
        <v>0</v>
      </c>
      <c r="I17" s="17">
        <f>IF(B1="BUY",(((I15/I10)-1)*-1),((I15/I10)-1))*100</f>
        <v>4.73322582714151</v>
      </c>
      <c r="J17" s="30" t="str">
        <f>IF(B1="BUY","TIENE QUE SUBIR","TIENE QUE BAJAR")</f>
        <v>TIENE QUE BAJAR</v>
      </c>
    </row>
    <row r="18" s="1" customFormat="1" spans="4:10">
      <c r="D18" s="22"/>
      <c r="E18" s="23">
        <f>SUM(E3:E17)</f>
        <v>181644.574472154</v>
      </c>
      <c r="F18" s="23"/>
      <c r="G18" s="23">
        <f>SUM(G3:G17)</f>
        <v>1061.05226824409</v>
      </c>
      <c r="H18" s="22"/>
      <c r="J18" s="31"/>
    </row>
    <row r="19" s="1" customFormat="1" spans="10:10">
      <c r="J19" s="31"/>
    </row>
    <row r="20" s="1" customFormat="1" spans="10:10">
      <c r="J20" s="31"/>
    </row>
    <row r="21" s="1" customFormat="1" spans="10:10">
      <c r="J21" s="31"/>
    </row>
    <row r="22" s="1" customFormat="1" spans="10:16384">
      <c r="J22" s="31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1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1"/>
      <c r="XEV24"/>
      <c r="XEW24"/>
      <c r="XEX24"/>
      <c r="XEY24"/>
      <c r="XEZ24"/>
      <c r="XFA24"/>
      <c r="XFB24"/>
      <c r="XFC24"/>
      <c r="XFD24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2022-10-06T21:15:32Z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