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<sst xmlns="http://schemas.openxmlformats.org/spreadsheetml/2006/main" count="361" uniqueCount="110">
  <si>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</si>
  <si>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</si>
  <si>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</si>
  <si>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</si>
  <si>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</si>
  <si>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1487</t>
  </si>
  <si>
    <t>1.5</t>
  </si>
  <si>
    <t>90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</si>
  <si>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</si>
  <si>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</si>
  <si>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</si>
  <si>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</si>
  <si>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</si>
  <si>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</si>
  <si>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</si>
  <si>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</si>
  <si>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</si>
  <si>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</si>
  <si>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</si>
  <si>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</si>
  <si>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</si>
  <si>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</si>
  <si>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</si>
  <si>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</si>
  <si>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</si>
  <si>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</si>
  <si>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</si>
  <si>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</si>
  <si>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</si>
  <si>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</si>
  <si>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</si>
  <si>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</si>
  <si>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</si>
  <si>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</si>
  <si>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</si>
  <si>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</si>
  <si>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</si>
  <si>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</si>
  <si>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</si>
  <si>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1.7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</si>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</sst>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7" borderId="2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7" borderId="18" applyNumberFormat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tabSelected="1" workbookViewId="0">
      <selection activeCell="C3" sqref="C3"/>
    </sheetView>
  </sheetViews>
  <sheetFormatPr defaultColWidth="9" defaultRowHeight="14.4" outlineLevelCol="4"/>
  <cols>
    <col min="1" max="1" width="20.5740740740741" style="49" customWidth="1"/>
    <col min="2" max="2" width="34.287037037037" style="49" customWidth="1"/>
    <col min="3" max="3" width="14.1481481481481" style="50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</row>
    <row r="2" ht="19.5" customHeight="1" spans="1:5">
      <c r="A2" s="52" t="s">
        <v>5</v>
      </c>
      <c r="B2" s="52" t="s">
        <v>6</v>
      </c>
      <c r="C2" s="52" t="s">
        <v>7</v>
      </c>
      <c r="D2" s="53">
        <f>POWER(1+(B2/100),C2)*A2</f>
        <v>5678.77642796506</v>
      </c>
      <c r="E2" s="53">
        <f>D2-A2</f>
        <v>4191.77642796506</v>
      </c>
    </row>
    <row r="3" ht="19.5" customHeight="1" spans="1:2">
      <c r="A3" s="50"/>
      <c r="B3" s="50"/>
    </row>
    <row r="4" ht="19.5" customHeight="1"/>
    <row r="5" ht="19.5" customHeight="1"/>
    <row r="6" ht="19.5" customHeight="1" spans="1:2">
      <c r="A6" s="54"/>
      <c r="B6" s="54"/>
    </row>
    <row r="7" spans="1:2">
      <c r="A7" s="55" t="s">
        <v>8</v>
      </c>
      <c r="B7" s="55"/>
    </row>
    <row r="8" spans="1:2">
      <c r="A8" s="56" t="s">
        <v>9</v>
      </c>
      <c r="B8" s="56" t="s">
        <v>1</v>
      </c>
    </row>
    <row r="9" spans="1:2">
      <c r="A9" s="57" t="s">
        <v>10</v>
      </c>
      <c r="B9" s="56">
        <f>A9*100/A2</f>
        <v>1.68123739071957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E17" sqref="E17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2">
        <f>IF(B1="BUY",((I10/J10)-1)*-100,((I10/J10)-1)*100)</f>
        <v>-7.05645174826999</v>
      </c>
    </row>
    <row r="4" s="19" customFormat="1" spans="1:10">
      <c r="A4" s="27" t="s">
        <v>20</v>
      </c>
      <c r="B4" s="33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2">
        <f>E18</f>
        <v>1206.77910471736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2">
        <f>J4*J10</f>
        <v>2064.77710324769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2">
        <f>J3/100*J4*J10</f>
        <v>-145.7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33">
        <f>IF(B1="BUY",(((J10/F3)-1)*-1),(J10/F3)-1)*100</f>
        <v>15.1400952418302</v>
      </c>
    </row>
    <row r="8" s="19" customFormat="1" spans="1:7">
      <c r="A8" s="27" t="s">
        <v>28</v>
      </c>
      <c r="B8" s="33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28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7" t="s">
        <v>37</v>
      </c>
      <c r="E17" s="38"/>
      <c r="F17" s="39">
        <f>IF(B1="BUY",MIN(F3:F16)*(1-($B$5/3)/100),MAX(F3:F16)*(1+($B$5/3)/100))</f>
        <v>1.65347861503125</v>
      </c>
      <c r="G17" s="40">
        <f>E17*F17</f>
        <v>0</v>
      </c>
      <c r="I17" s="33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1206.77910471736</v>
      </c>
      <c r="F18" s="41"/>
      <c r="G18" s="41">
        <f>SUM(G3:G17)</f>
        <v>1919.07710324769</v>
      </c>
      <c r="H18" s="41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zoomScale="120" zoomScaleNormal="120" workbookViewId="0">
      <selection activeCell="B6" sqref="B6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1457</v>
      </c>
      <c r="D3" s="29" t="s">
        <v>18</v>
      </c>
      <c r="E3" s="30">
        <f>G3/F3</f>
        <v>41.6682554814109</v>
      </c>
      <c r="F3" s="31">
        <v>2.098</v>
      </c>
      <c r="G3" s="32">
        <f>B8</f>
        <v>87.42</v>
      </c>
      <c r="I3" s="27" t="s">
        <v>19</v>
      </c>
      <c r="J3" s="42">
        <f>IF(B1="BUY",((I10/J10)-1)*-100,((I10/J10)-1)*100)</f>
        <v>-4.51931637716719</v>
      </c>
    </row>
    <row r="4" s="19" customFormat="1" spans="1:10">
      <c r="A4" s="27" t="s">
        <v>20</v>
      </c>
      <c r="B4" s="33">
        <f>-B3*$B$10/100</f>
        <v>-145.7</v>
      </c>
      <c r="D4" s="34">
        <v>1</v>
      </c>
      <c r="E4" s="30">
        <f t="shared" ref="E4:E11" si="0">E3*(1+$B$6/100)</f>
        <v>54.1687321258341</v>
      </c>
      <c r="F4" s="35">
        <f>IF($B$1="BUY",F3*(1-$B$5/100),F3*(1+$B$5/100))</f>
        <v>2.133666</v>
      </c>
      <c r="G4" s="32">
        <f t="shared" ref="G4:G17" si="1">E4*F4</f>
        <v>115.577982</v>
      </c>
      <c r="I4" s="27" t="s">
        <v>21</v>
      </c>
      <c r="J4" s="42">
        <f>E18</f>
        <v>1334.00911215072</v>
      </c>
    </row>
    <row r="5" s="19" customFormat="1" spans="1:10">
      <c r="A5" s="27" t="s">
        <v>22</v>
      </c>
      <c r="B5" s="33" t="s">
        <v>39</v>
      </c>
      <c r="D5" s="34">
        <v>2</v>
      </c>
      <c r="E5" s="30">
        <f t="shared" si="0"/>
        <v>70.4193517635844</v>
      </c>
      <c r="F5" s="35">
        <f>IF($B$1="BUY",F4*(1-$B$5/100),F4*(1+$B$5/100))</f>
        <v>2.169938322</v>
      </c>
      <c r="G5" s="32">
        <f t="shared" si="1"/>
        <v>152.8056500022</v>
      </c>
      <c r="I5" s="27" t="s">
        <v>23</v>
      </c>
      <c r="J5" s="42">
        <f>J4*J10</f>
        <v>3223.93892881932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0"/>
        <v>91.5451572926597</v>
      </c>
      <c r="F6" s="35">
        <f>IF($B$1="BUY",F5*(1-$B$5/100),F5*(1+$B$5/100))</f>
        <v>2.206827273474</v>
      </c>
      <c r="G6" s="32">
        <f t="shared" si="1"/>
        <v>202.024349867909</v>
      </c>
      <c r="I6" s="27" t="s">
        <v>25</v>
      </c>
      <c r="J6" s="42">
        <f>J3/100*J4*J10</f>
        <v>-145.7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0"/>
        <v>119.008704480458</v>
      </c>
      <c r="F7" s="35">
        <f>IF($B$1="BUY",F6*(1-$B$5/100),F6*(1+$B$5/100))</f>
        <v>2.24434333712306</v>
      </c>
      <c r="G7" s="32">
        <f t="shared" si="1"/>
        <v>267.096392960362</v>
      </c>
      <c r="I7" s="27" t="s">
        <v>27</v>
      </c>
      <c r="J7" s="33">
        <f>IF(B1="BUY",(((J10/F3)-1)*-1),(J10/F3)-1)*100</f>
        <v>15.1920550884314</v>
      </c>
    </row>
    <row r="8" s="19" customFormat="1" spans="1:7">
      <c r="A8" s="27" t="s">
        <v>28</v>
      </c>
      <c r="B8" s="33">
        <f>B3*$B$9/100</f>
        <v>87.42</v>
      </c>
      <c r="D8" s="34">
        <v>5</v>
      </c>
      <c r="E8" s="30">
        <f t="shared" si="0"/>
        <v>154.711315824595</v>
      </c>
      <c r="F8" s="35">
        <f>IF($B$1="BUY",F7*(1-$B$5/100),F7*(1+$B$5/100))</f>
        <v>2.28249717385415</v>
      </c>
      <c r="G8" s="32">
        <f t="shared" si="1"/>
        <v>353.128141132895</v>
      </c>
    </row>
    <row r="9" s="19" customFormat="1" spans="1:10">
      <c r="A9" s="27" t="s">
        <v>29</v>
      </c>
      <c r="B9" s="28">
        <v>6</v>
      </c>
      <c r="D9" s="34">
        <v>6</v>
      </c>
      <c r="E9" s="30">
        <f t="shared" si="0"/>
        <v>201.124710571973</v>
      </c>
      <c r="F9" s="35">
        <f>IF($B$1="BUY",F8*(1-$B$5/100),F8*(1+$B$5/100))</f>
        <v>2.32129962580967</v>
      </c>
      <c r="G9" s="32">
        <f t="shared" si="1"/>
        <v>466.8707153918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>
        <f t="shared" si="0"/>
        <v>261.462123743565</v>
      </c>
      <c r="F10" s="35">
        <f>IF($B$1="BUY",F9*(1-$B$5/100),F9*(1+$B$5/100))</f>
        <v>2.36076171944843</v>
      </c>
      <c r="G10" s="32">
        <f t="shared" ref="G10:G16" si="2">E10*F10</f>
        <v>617.249772819499</v>
      </c>
      <c r="I10" s="43">
        <f>G18/E18</f>
        <v>2.30750967199656</v>
      </c>
      <c r="J10" s="44">
        <f>IF(B1="BUY",((B4/G18)+1)*I10,((B4/-G18)+1)*I10)</f>
        <v>2.41672931575529</v>
      </c>
    </row>
    <row r="11" s="19" customFormat="1" spans="1:7">
      <c r="A11" s="27" t="s">
        <v>40</v>
      </c>
      <c r="B11" s="36">
        <f>B8*0.7/100</f>
        <v>0.61194</v>
      </c>
      <c r="D11" s="34">
        <v>8</v>
      </c>
      <c r="E11" s="30">
        <f t="shared" si="0"/>
        <v>339.900760866635</v>
      </c>
      <c r="F11" s="35">
        <f>IF($B$1="BUY",F10*(1-$B$5/100),F10*(1+$B$5/100))</f>
        <v>2.40089466867906</v>
      </c>
      <c r="G11" s="32">
        <f t="shared" si="2"/>
        <v>816.065924644659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2.41672931575529</v>
      </c>
    </row>
    <row r="16" s="19" customFormat="1" spans="4:9">
      <c r="D16" s="34">
        <v>13</v>
      </c>
      <c r="E16" s="30"/>
      <c r="F16" s="35"/>
      <c r="G16" s="32"/>
      <c r="I16" s="47" t="s">
        <v>41</v>
      </c>
    </row>
    <row r="17" s="19" customFormat="1" ht="18.15" spans="4:10">
      <c r="D17" s="37" t="s">
        <v>37</v>
      </c>
      <c r="E17" s="38"/>
      <c r="F17" s="39">
        <f>IF(B1="BUY",MIN(F3:F16)*(1-($B$5/3)/100),MAX(F3:F16)*(1+($B$5/3)/100))</f>
        <v>2.41449973846824</v>
      </c>
      <c r="G17" s="40">
        <f t="shared" si="1"/>
        <v>0</v>
      </c>
      <c r="I17" s="33">
        <f>IF(B1="BUY",(((I15/I10)-1)*-1),((I15/I10)-1))*100</f>
        <v>4.73322582714151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1334.00911215072</v>
      </c>
      <c r="F18" s="41"/>
      <c r="G18" s="41">
        <f>SUM(G3:G17)</f>
        <v>3078.23892881932</v>
      </c>
      <c r="H18" s="41"/>
      <c r="I18" s="47" t="s">
        <v>38</v>
      </c>
    </row>
    <row r="19" s="19" customFormat="1" spans="9:9">
      <c r="I19" s="48">
        <f>G18/B3</f>
        <v>2.11272404174284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14" sqref="F14"/>
    </sheetView>
  </sheetViews>
  <sheetFormatPr defaultColWidth="8.88888888888889" defaultRowHeight="14.4"/>
  <cols>
    <col min="1" max="1" width="13" style="6" customWidth="1"/>
    <col min="2" max="2" width="11.4444444444444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42</v>
      </c>
      <c r="B2" s="7"/>
      <c r="C2" s="7"/>
      <c r="D2" s="7"/>
      <c r="E2" s="9" t="s">
        <v>43</v>
      </c>
      <c r="F2" s="9" t="s">
        <v>44</v>
      </c>
      <c r="G2" s="9" t="s">
        <v>45</v>
      </c>
      <c r="H2" s="9" t="s">
        <v>46</v>
      </c>
      <c r="I2" s="9" t="s">
        <v>47</v>
      </c>
      <c r="J2" s="9" t="s">
        <v>48</v>
      </c>
      <c r="K2" s="9" t="s">
        <v>49</v>
      </c>
    </row>
    <row r="3" spans="1:11">
      <c r="A3" s="10" t="s">
        <v>17</v>
      </c>
      <c r="B3" s="11">
        <v>112</v>
      </c>
      <c r="C3" s="7"/>
      <c r="D3" s="12" t="s">
        <v>50</v>
      </c>
      <c r="E3" s="11">
        <v>109.75</v>
      </c>
      <c r="F3" s="11">
        <v>13.202</v>
      </c>
      <c r="G3" s="13">
        <f t="shared" ref="G3:G6" si="0">E3/F3</f>
        <v>8.31313437357976</v>
      </c>
      <c r="H3" s="14">
        <f>IF(A2="BUY",((I3/J3)-1)*-100,((I3/J3)-1)*100)</f>
        <v>-11.3647894469812</v>
      </c>
      <c r="I3" s="14">
        <f>SUM(E3:E4)/SUM(G3:G4)</f>
        <v>13.202</v>
      </c>
      <c r="J3" s="14">
        <f>IF(A2="BUY",((B5/SUM(E3:E4))+1)*I3,((B5/-SUM(E3:E4))+1)*I3)</f>
        <v>11.8547343963554</v>
      </c>
      <c r="K3" s="16">
        <f>H3/100*SUM(G3:G4)*J3</f>
        <v>-11.2</v>
      </c>
    </row>
    <row r="4" spans="1:11">
      <c r="A4" s="10" t="s">
        <v>51</v>
      </c>
      <c r="B4" s="6">
        <v>10</v>
      </c>
      <c r="C4" s="7"/>
      <c r="D4" s="12" t="s">
        <v>52</v>
      </c>
      <c r="E4" s="11">
        <v>0</v>
      </c>
      <c r="F4" s="11">
        <v>2.2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-11.2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0.692041522491349</v>
      </c>
      <c r="I6" s="13"/>
      <c r="J6" s="11">
        <v>13.294</v>
      </c>
      <c r="K6" s="18">
        <f>H6/100*SUM(G3:G4)*J6</f>
        <v>0.764808362369337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"/>
  <sheetViews>
    <sheetView workbookViewId="0">
      <selection activeCell="E5" sqref="D5:E5"/>
    </sheetView>
  </sheetViews>
  <sheetFormatPr defaultColWidth="8.88888888888889" defaultRowHeight="14.4" outlineLevelRow="4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53</v>
      </c>
      <c r="D1" s="2" t="s">
        <v>54</v>
      </c>
      <c r="E1" s="2" t="s">
        <v>55</v>
      </c>
    </row>
    <row r="2" spans="2:5">
      <c r="B2" s="2" t="s">
        <v>56</v>
      </c>
      <c r="C2" s="2">
        <v>26</v>
      </c>
      <c r="D2" s="2">
        <v>2</v>
      </c>
      <c r="E2" s="2"/>
    </row>
    <row r="3" spans="2:5">
      <c r="B3" s="3" t="s">
        <v>57</v>
      </c>
      <c r="C3" s="3">
        <v>10</v>
      </c>
      <c r="D3" s="3">
        <v>6</v>
      </c>
      <c r="E3" s="2"/>
    </row>
    <row r="4" spans="2:5">
      <c r="B4" s="2" t="s">
        <v>58</v>
      </c>
      <c r="C4" s="2">
        <v>5</v>
      </c>
      <c r="D4" s="2">
        <v>6</v>
      </c>
      <c r="E4" s="2"/>
    </row>
    <row r="5" spans="2:5">
      <c r="B5" s="4" t="s">
        <v>58</v>
      </c>
      <c r="C5" s="4">
        <v>7</v>
      </c>
      <c r="D5" s="4">
        <v>6</v>
      </c>
      <c r="E5" s="5">
        <v>20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40"/>
  <sheetViews>
    <sheetView zoomScale="140" zoomScaleNormal="140" workbookViewId="0">
      <selection activeCell="C41" sqref="C41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hidden="1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hidden="1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hidden="1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hidden="1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hidden="1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hidden="1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hidden="1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hidden="1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hidden="1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74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hidden="1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hidden="1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hidden="1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54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hidden="1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hidden="1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hidden="1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hidden="1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hidden="1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hidden="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hidden="1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hidden="1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hidden="1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hidden="1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hidden="1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hidden="1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hidden="1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hidden="1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hidden="1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autoFilter ref="A1:G40">
    <filterColumn colId="2">
      <customFilters>
        <customFilter operator="equal" val="POR SELECCION"/>
      </customFilters>
    </filterColumn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2022-11-22T21:35:28Z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